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mc:AlternateContent xmlns:mc="http://schemas.openxmlformats.org/markup-compatibility/2006">
    <mc:Choice Requires="x15">
      <x15ac:absPath xmlns:x15ac="http://schemas.microsoft.com/office/spreadsheetml/2010/11/ac" url="E:\INTELISPARKZ\FASTRAGAI\PBE for AI Work 10.02.26\"/>
    </mc:Choice>
  </mc:AlternateContent>
  <xr:revisionPtr revIDLastSave="0" documentId="8_{FFB41889-C197-4701-9351-89A490FFD0B2}" xr6:coauthVersionLast="36" xr6:coauthVersionMax="36" xr10:uidLastSave="{00000000-0000-0000-0000-000000000000}"/>
  <bookViews>
    <workbookView xWindow="0" yWindow="0" windowWidth="23040" windowHeight="8940" tabRatio="598" firstSheet="14" activeTab="14"/>
  </bookViews>
  <sheets>
    <sheet name="Report " sheetId="50" state="hidden" r:id="rId1"/>
    <sheet name="Coal &amp; Coke Data" sheetId="51" state="hidden" r:id="rId2"/>
    <sheet name="Stamp TE 1" sheetId="32" state="hidden" r:id="rId3"/>
    <sheet name="Stamp TE 2" sheetId="52" state="hidden" r:id="rId4"/>
    <sheet name="Stamp TE 3" sheetId="53" state="hidden" r:id="rId5"/>
    <sheet name="Stamp TE 4" sheetId="54" state="hidden" r:id="rId6"/>
    <sheet name="Incr TE" sheetId="56" state="hidden" r:id="rId7"/>
    <sheet name="Basis  Tall " sheetId="47" state="hidden" r:id="rId8"/>
    <sheet name="Capcost Tall " sheetId="48" state="hidden" r:id="rId9"/>
    <sheet name="TE Tall 5" sheetId="49" state="hidden" r:id="rId10"/>
    <sheet name="TE Tall 6" sheetId="55" state="hidden" r:id="rId11"/>
    <sheet name="Scope Diff stamp-stamp" sheetId="46" state="hidden" r:id="rId12"/>
    <sheet name="Scope Diff stamp-Top" sheetId="57" state="hidden" r:id="rId13"/>
    <sheet name="MOM " sheetId="24" state="hidden" r:id="rId14"/>
    <sheet name="PBE R2" sheetId="62" r:id="rId15"/>
  </sheets>
  <externalReferences>
    <externalReference r:id="rId16"/>
    <externalReference r:id="rId17"/>
  </externalReferences>
  <definedNames>
    <definedName name="_xlnm._FilterDatabase" localSheetId="8" hidden="1">'Capcost Tall '!$A$1:$DX$149</definedName>
    <definedName name="_xlnm.Print_Area" localSheetId="7">'Basis  Tall '!$A$14:$H$246</definedName>
    <definedName name="_xlnm.Print_Area" localSheetId="8">'Capcost Tall '!$A$70:$X$95</definedName>
    <definedName name="_xlnm.Print_Area" localSheetId="6">'Incr TE'!$A$7:$J$18</definedName>
    <definedName name="_xlnm.Print_Area" localSheetId="13">'MOM '!$B$1:$M$74</definedName>
    <definedName name="_xlnm.Print_Area" localSheetId="14">'PBE R2'!$A$1:$U$43</definedName>
    <definedName name="_xlnm.Print_Area" localSheetId="0">'Report '!$B$1:$J$48</definedName>
    <definedName name="_xlnm.Print_Area" localSheetId="11">'Scope Diff stamp-stamp'!$B$3:$F$16</definedName>
    <definedName name="_xlnm.Print_Area" localSheetId="12">'Scope Diff stamp-Top'!$B$3:$F$13</definedName>
    <definedName name="_xlnm.Print_Area" localSheetId="2">'Stamp TE 1'!$A$5:$J$46</definedName>
    <definedName name="_xlnm.Print_Area" localSheetId="3">'Stamp TE 2'!$A$5:$J$46</definedName>
    <definedName name="_xlnm.Print_Area" localSheetId="4">'Stamp TE 3'!$A$5:$J$46</definedName>
    <definedName name="_xlnm.Print_Area" localSheetId="5">'Stamp TE 4'!$A$5:$J$46</definedName>
    <definedName name="_xlnm.Print_Area" localSheetId="9">'TE Tall 5'!$A$1:$E$38</definedName>
    <definedName name="_xlnm.Print_Area" localSheetId="10">'TE Tall 6'!$A$1:$E$38</definedName>
  </definedNames>
  <calcPr calcId="191029"/>
  <extLst>
    <ext xmlns:xcalcf="http://schemas.microsoft.com/office/spreadsheetml/2018/calcfeatures" uri="{B58B0392-4F1F-4190-BB64-5DF3571DCE5F}">
      <xcalcf:calcFeatures>
        <xcalcf:feature name="microsoft.com:Single"/>
      </xcalcf:calcFeatures>
    </ext>
  </extLst>
</workbook>
</file>

<file path=xl/calcChain.xml><?xml version="1.0" encoding="utf-8"?>
<calcChain xmlns="http://schemas.openxmlformats.org/spreadsheetml/2006/main">
  <c r="E11" i="55" l="1"/>
  <c r="E64" i="50"/>
  <c r="E65" i="50"/>
  <c r="E66" i="50"/>
  <c r="E67" i="50"/>
  <c r="E68" i="50"/>
  <c r="E69" i="50"/>
  <c r="E70" i="50"/>
  <c r="E71" i="50"/>
  <c r="E72" i="50"/>
  <c r="E73" i="50"/>
  <c r="E63" i="50"/>
  <c r="D64" i="50"/>
  <c r="D65" i="50"/>
  <c r="D66" i="50"/>
  <c r="D67" i="50"/>
  <c r="D68" i="50"/>
  <c r="D69" i="50"/>
  <c r="D70" i="50"/>
  <c r="D71" i="50"/>
  <c r="D72" i="50"/>
  <c r="D73" i="50"/>
  <c r="D63" i="50"/>
  <c r="G14" i="51"/>
  <c r="G13" i="51"/>
  <c r="G11" i="51"/>
  <c r="G10" i="51"/>
  <c r="G9" i="51"/>
  <c r="G8" i="51"/>
  <c r="G7" i="51"/>
  <c r="G6" i="51"/>
  <c r="G5" i="51"/>
  <c r="C14" i="51"/>
  <c r="C13" i="51"/>
  <c r="C11" i="51"/>
  <c r="C12" i="51"/>
  <c r="C10" i="51"/>
  <c r="C9" i="51"/>
  <c r="C8" i="51"/>
  <c r="C7" i="51"/>
  <c r="C6" i="51"/>
  <c r="C5" i="51"/>
  <c r="P274" i="51"/>
  <c r="P273" i="51"/>
  <c r="P272" i="51"/>
  <c r="P269" i="51"/>
  <c r="P268" i="51"/>
  <c r="P267" i="51"/>
  <c r="P266" i="51"/>
  <c r="P259" i="51"/>
  <c r="P258" i="51"/>
  <c r="P257" i="51"/>
  <c r="P254" i="51"/>
  <c r="P253" i="51"/>
  <c r="P252" i="51"/>
  <c r="P251" i="51"/>
  <c r="P245" i="51"/>
  <c r="P244" i="51"/>
  <c r="P243" i="51"/>
  <c r="P240" i="51"/>
  <c r="P239" i="51"/>
  <c r="P238" i="51"/>
  <c r="P237" i="51"/>
  <c r="P230" i="51"/>
  <c r="P229" i="51"/>
  <c r="P228" i="51"/>
  <c r="P225" i="51"/>
  <c r="P224" i="51"/>
  <c r="P223" i="51"/>
  <c r="P222" i="51"/>
  <c r="I12" i="51"/>
  <c r="I6" i="51"/>
  <c r="I8" i="51"/>
  <c r="H8" i="51"/>
  <c r="I5" i="51"/>
  <c r="H10" i="51"/>
  <c r="H11" i="51"/>
  <c r="H13" i="51"/>
  <c r="H6" i="51"/>
  <c r="D11" i="57"/>
  <c r="D10" i="57"/>
  <c r="D9" i="57"/>
  <c r="D8" i="57"/>
  <c r="D7" i="57"/>
  <c r="J6" i="57"/>
  <c r="L6" i="57"/>
  <c r="J5" i="57"/>
  <c r="L5" i="57"/>
  <c r="J3" i="57"/>
  <c r="L3" i="57"/>
  <c r="D14" i="46"/>
  <c r="D7" i="46"/>
  <c r="D10" i="46"/>
  <c r="D13" i="46"/>
  <c r="I11" i="46"/>
  <c r="J11" i="46"/>
  <c r="K11" i="46"/>
  <c r="D11" i="46"/>
  <c r="D8" i="46"/>
  <c r="J11" i="50"/>
  <c r="I11" i="50"/>
  <c r="H28" i="56"/>
  <c r="D28" i="56"/>
  <c r="H23" i="56"/>
  <c r="C14" i="56"/>
  <c r="C11" i="56"/>
  <c r="O98" i="55"/>
  <c r="O100" i="55"/>
  <c r="AI94" i="55"/>
  <c r="AH94" i="55"/>
  <c r="AG94" i="55"/>
  <c r="AF94" i="55"/>
  <c r="AE94" i="55"/>
  <c r="AD94" i="55"/>
  <c r="AC94" i="55"/>
  <c r="AB94" i="55"/>
  <c r="AA94" i="55"/>
  <c r="Z94" i="55"/>
  <c r="Y94" i="55"/>
  <c r="X94" i="55"/>
  <c r="W94" i="55"/>
  <c r="V94" i="55"/>
  <c r="U94" i="55"/>
  <c r="T94" i="55"/>
  <c r="S94" i="55"/>
  <c r="AL92" i="55"/>
  <c r="AK92" i="55"/>
  <c r="AJ92" i="55"/>
  <c r="AI92" i="55"/>
  <c r="AH92" i="55"/>
  <c r="AG92" i="55"/>
  <c r="AF92" i="55"/>
  <c r="AE92" i="55"/>
  <c r="AD92" i="55"/>
  <c r="AC92" i="55"/>
  <c r="AB92" i="55"/>
  <c r="AA92" i="55"/>
  <c r="Z92" i="55"/>
  <c r="Y92" i="55"/>
  <c r="X92" i="55"/>
  <c r="W92" i="55"/>
  <c r="V92" i="55"/>
  <c r="U92" i="55"/>
  <c r="T92" i="55"/>
  <c r="S92" i="55"/>
  <c r="R92" i="55"/>
  <c r="Q92" i="55"/>
  <c r="P92" i="55"/>
  <c r="O92" i="55"/>
  <c r="V89" i="55"/>
  <c r="AH89" i="55"/>
  <c r="O84" i="55"/>
  <c r="O83" i="55"/>
  <c r="O63" i="55"/>
  <c r="AM79" i="55"/>
  <c r="P74" i="55"/>
  <c r="P98" i="55"/>
  <c r="P100" i="55"/>
  <c r="AL73" i="55"/>
  <c r="AK73" i="55"/>
  <c r="AI73" i="55"/>
  <c r="AH73" i="55"/>
  <c r="AG73" i="55"/>
  <c r="AF73" i="55"/>
  <c r="AE73" i="55"/>
  <c r="AD73" i="55"/>
  <c r="AC73" i="55"/>
  <c r="AB73" i="55"/>
  <c r="AA73" i="55"/>
  <c r="Z73" i="55"/>
  <c r="Y73" i="55"/>
  <c r="X73" i="55"/>
  <c r="W73" i="55"/>
  <c r="V73" i="55"/>
  <c r="U73" i="55"/>
  <c r="T73" i="55"/>
  <c r="S73" i="55"/>
  <c r="R73" i="55"/>
  <c r="Q73" i="55"/>
  <c r="P73" i="55"/>
  <c r="O73" i="55"/>
  <c r="U72" i="55"/>
  <c r="M66" i="55"/>
  <c r="O66" i="55"/>
  <c r="O85" i="55"/>
  <c r="D66" i="55"/>
  <c r="H65" i="55"/>
  <c r="G65" i="55"/>
  <c r="AL64" i="55"/>
  <c r="H64" i="55"/>
  <c r="G64" i="55"/>
  <c r="AL63" i="55"/>
  <c r="P63" i="55"/>
  <c r="P65" i="55"/>
  <c r="H63" i="55"/>
  <c r="Q75" i="55"/>
  <c r="Q81" i="55"/>
  <c r="G63" i="55"/>
  <c r="H62" i="55"/>
  <c r="P75" i="55"/>
  <c r="G62" i="55"/>
  <c r="R61" i="55"/>
  <c r="Q61" i="55"/>
  <c r="H61" i="55"/>
  <c r="G61" i="55"/>
  <c r="AH57" i="55"/>
  <c r="N57" i="55"/>
  <c r="C44" i="55"/>
  <c r="C40" i="55"/>
  <c r="C41" i="55"/>
  <c r="C42" i="55"/>
  <c r="D11" i="55"/>
  <c r="D29" i="55"/>
  <c r="D28" i="55"/>
  <c r="D27" i="55"/>
  <c r="E25" i="55"/>
  <c r="D25" i="55"/>
  <c r="D26" i="55"/>
  <c r="D22" i="55"/>
  <c r="D15" i="55"/>
  <c r="D34" i="55"/>
  <c r="D14" i="55"/>
  <c r="AJ10" i="55"/>
  <c r="D9" i="55"/>
  <c r="E25" i="49"/>
  <c r="D29" i="49"/>
  <c r="D28" i="49"/>
  <c r="D34" i="49"/>
  <c r="D27" i="49"/>
  <c r="D35" i="49"/>
  <c r="D25" i="49"/>
  <c r="D26" i="49"/>
  <c r="D22" i="49"/>
  <c r="D15" i="49"/>
  <c r="D14" i="49"/>
  <c r="C40" i="49"/>
  <c r="C46" i="49"/>
  <c r="D13" i="49"/>
  <c r="D33" i="49"/>
  <c r="D9" i="49"/>
  <c r="O105" i="54"/>
  <c r="O107" i="54"/>
  <c r="AI101" i="54"/>
  <c r="AH101" i="54"/>
  <c r="AG101" i="54"/>
  <c r="AF101" i="54"/>
  <c r="AE101" i="54"/>
  <c r="AD101" i="54"/>
  <c r="AC101" i="54"/>
  <c r="AB101" i="54"/>
  <c r="AA101" i="54"/>
  <c r="Z101" i="54"/>
  <c r="Y101" i="54"/>
  <c r="X101" i="54"/>
  <c r="W101" i="54"/>
  <c r="V101" i="54"/>
  <c r="U101" i="54"/>
  <c r="T101" i="54"/>
  <c r="S101" i="54"/>
  <c r="AL99" i="54"/>
  <c r="AK99" i="54"/>
  <c r="AJ99" i="54"/>
  <c r="AI99" i="54"/>
  <c r="AH99" i="54"/>
  <c r="AG99" i="54"/>
  <c r="AF99" i="54"/>
  <c r="AE99" i="54"/>
  <c r="AD99" i="54"/>
  <c r="AC99" i="54"/>
  <c r="AB99" i="54"/>
  <c r="AA99" i="54"/>
  <c r="Z99" i="54"/>
  <c r="Y99" i="54"/>
  <c r="X99" i="54"/>
  <c r="W99" i="54"/>
  <c r="V99" i="54"/>
  <c r="U99" i="54"/>
  <c r="T99" i="54"/>
  <c r="S99" i="54"/>
  <c r="R99" i="54"/>
  <c r="Q99" i="54"/>
  <c r="P99" i="54"/>
  <c r="O99" i="54"/>
  <c r="V96" i="54"/>
  <c r="AH96" i="54"/>
  <c r="R91" i="54"/>
  <c r="Q91" i="54"/>
  <c r="O91" i="54"/>
  <c r="O90" i="54"/>
  <c r="O70" i="54"/>
  <c r="AM86" i="54"/>
  <c r="Q81" i="54"/>
  <c r="Q105" i="54"/>
  <c r="Q107" i="54"/>
  <c r="P81" i="54"/>
  <c r="P105" i="54"/>
  <c r="P107" i="54"/>
  <c r="AL80" i="54"/>
  <c r="AK80" i="54"/>
  <c r="AI80" i="54"/>
  <c r="AH80" i="54"/>
  <c r="AG80" i="54"/>
  <c r="AF80" i="54"/>
  <c r="AE80" i="54"/>
  <c r="AD80" i="54"/>
  <c r="AC80" i="54"/>
  <c r="AB80" i="54"/>
  <c r="AA80" i="54"/>
  <c r="Z80" i="54"/>
  <c r="Y80" i="54"/>
  <c r="X80" i="54"/>
  <c r="W80" i="54"/>
  <c r="V80" i="54"/>
  <c r="U80" i="54"/>
  <c r="T80" i="54"/>
  <c r="S80" i="54"/>
  <c r="R80" i="54"/>
  <c r="Q80" i="54"/>
  <c r="P80" i="54"/>
  <c r="O80" i="54"/>
  <c r="U79" i="54"/>
  <c r="U98" i="54"/>
  <c r="AH98" i="54"/>
  <c r="M73" i="54"/>
  <c r="O73" i="54"/>
  <c r="D73" i="54"/>
  <c r="H72" i="54"/>
  <c r="AL71" i="54"/>
  <c r="H71" i="54"/>
  <c r="R82" i="54"/>
  <c r="R88" i="54"/>
  <c r="AL70" i="54"/>
  <c r="AK70" i="54"/>
  <c r="P70" i="54"/>
  <c r="P72" i="54"/>
  <c r="H70" i="54"/>
  <c r="Q82" i="54"/>
  <c r="Q88" i="54"/>
  <c r="H69" i="54"/>
  <c r="P82" i="54"/>
  <c r="P88" i="54"/>
  <c r="R68" i="54"/>
  <c r="Q68" i="54"/>
  <c r="H68" i="54"/>
  <c r="AH64" i="54"/>
  <c r="N64" i="54"/>
  <c r="F53" i="54"/>
  <c r="F49" i="54"/>
  <c r="F55" i="54"/>
  <c r="G23" i="54"/>
  <c r="G44" i="54"/>
  <c r="G32" i="54"/>
  <c r="G31" i="54"/>
  <c r="G27" i="54"/>
  <c r="G36" i="54"/>
  <c r="G25" i="54"/>
  <c r="G35" i="54"/>
  <c r="G24" i="54"/>
  <c r="H19" i="54"/>
  <c r="H22" i="54"/>
  <c r="H24" i="54"/>
  <c r="H26" i="54"/>
  <c r="H28" i="54"/>
  <c r="G19" i="54"/>
  <c r="F17" i="54"/>
  <c r="A12" i="54"/>
  <c r="A13" i="54"/>
  <c r="A14" i="54"/>
  <c r="A15" i="54"/>
  <c r="A16" i="54"/>
  <c r="A17" i="54"/>
  <c r="A18" i="54"/>
  <c r="A19" i="54"/>
  <c r="A20" i="54"/>
  <c r="A21" i="54"/>
  <c r="A22" i="54"/>
  <c r="A23" i="54"/>
  <c r="A24" i="54"/>
  <c r="A25" i="54"/>
  <c r="A26" i="54"/>
  <c r="A27" i="54"/>
  <c r="A28" i="54"/>
  <c r="A29" i="54"/>
  <c r="A30" i="54"/>
  <c r="G9" i="54"/>
  <c r="A6" i="54"/>
  <c r="A5" i="54"/>
  <c r="O105" i="53"/>
  <c r="O107" i="53"/>
  <c r="AI101" i="53"/>
  <c r="AH101" i="53"/>
  <c r="AG101" i="53"/>
  <c r="AF101" i="53"/>
  <c r="AE101" i="53"/>
  <c r="AD101" i="53"/>
  <c r="AC101" i="53"/>
  <c r="AB101" i="53"/>
  <c r="AA101" i="53"/>
  <c r="Z101" i="53"/>
  <c r="Y101" i="53"/>
  <c r="X101" i="53"/>
  <c r="W101" i="53"/>
  <c r="V101" i="53"/>
  <c r="U101" i="53"/>
  <c r="T101" i="53"/>
  <c r="S101" i="53"/>
  <c r="AL99" i="53"/>
  <c r="AK99" i="53"/>
  <c r="AJ99" i="53"/>
  <c r="AI99" i="53"/>
  <c r="AH99" i="53"/>
  <c r="AG99" i="53"/>
  <c r="AF99" i="53"/>
  <c r="AE99" i="53"/>
  <c r="AD99" i="53"/>
  <c r="AC99" i="53"/>
  <c r="AB99" i="53"/>
  <c r="AA99" i="53"/>
  <c r="Z99" i="53"/>
  <c r="Y99" i="53"/>
  <c r="X99" i="53"/>
  <c r="W99" i="53"/>
  <c r="V99" i="53"/>
  <c r="U99" i="53"/>
  <c r="T99" i="53"/>
  <c r="S99" i="53"/>
  <c r="R99" i="53"/>
  <c r="Q99" i="53"/>
  <c r="P99" i="53"/>
  <c r="O99" i="53"/>
  <c r="V96" i="53"/>
  <c r="AH96" i="53"/>
  <c r="R91" i="53"/>
  <c r="Q91" i="53"/>
  <c r="O91" i="53"/>
  <c r="O90" i="53"/>
  <c r="AM86" i="53"/>
  <c r="Q81" i="53"/>
  <c r="Q105" i="53"/>
  <c r="Q107" i="53"/>
  <c r="P81" i="53"/>
  <c r="P105" i="53"/>
  <c r="P107" i="53"/>
  <c r="AL80" i="53"/>
  <c r="AK80" i="53"/>
  <c r="AI80" i="53"/>
  <c r="AH80" i="53"/>
  <c r="AG80" i="53"/>
  <c r="AF80" i="53"/>
  <c r="AE80" i="53"/>
  <c r="AD80" i="53"/>
  <c r="AC80" i="53"/>
  <c r="AB80" i="53"/>
  <c r="AA80" i="53"/>
  <c r="Z80" i="53"/>
  <c r="Y80" i="53"/>
  <c r="X80" i="53"/>
  <c r="W80" i="53"/>
  <c r="V80" i="53"/>
  <c r="U80" i="53"/>
  <c r="T80" i="53"/>
  <c r="S80" i="53"/>
  <c r="R80" i="53"/>
  <c r="Q80" i="53"/>
  <c r="P80" i="53"/>
  <c r="O80" i="53"/>
  <c r="U79" i="53"/>
  <c r="M73" i="53"/>
  <c r="O73" i="53"/>
  <c r="O102" i="53"/>
  <c r="D73" i="53"/>
  <c r="H72" i="53"/>
  <c r="R82" i="53"/>
  <c r="R88" i="53"/>
  <c r="AL71" i="53"/>
  <c r="H71" i="53"/>
  <c r="AL70" i="53"/>
  <c r="AK70" i="53"/>
  <c r="P70" i="53"/>
  <c r="P72" i="53"/>
  <c r="P73" i="53"/>
  <c r="O70" i="53"/>
  <c r="H70" i="53"/>
  <c r="Q82" i="53"/>
  <c r="H69" i="53"/>
  <c r="P82" i="53"/>
  <c r="R68" i="53"/>
  <c r="Q68" i="53"/>
  <c r="H68" i="53"/>
  <c r="AH64" i="53"/>
  <c r="N64" i="53"/>
  <c r="F53" i="53"/>
  <c r="F49" i="53"/>
  <c r="G32" i="53"/>
  <c r="G31" i="53"/>
  <c r="G27" i="53"/>
  <c r="G36" i="53"/>
  <c r="G25" i="53"/>
  <c r="G35" i="53"/>
  <c r="G24" i="53"/>
  <c r="H19" i="53"/>
  <c r="H22" i="53"/>
  <c r="H24" i="53"/>
  <c r="H26" i="53"/>
  <c r="H28" i="53"/>
  <c r="G19" i="53"/>
  <c r="F17" i="53"/>
  <c r="A12" i="53"/>
  <c r="A13" i="53"/>
  <c r="A14" i="53"/>
  <c r="A15" i="53"/>
  <c r="A16" i="53"/>
  <c r="A17" i="53"/>
  <c r="A18" i="53"/>
  <c r="A19" i="53"/>
  <c r="A20" i="53"/>
  <c r="A21" i="53"/>
  <c r="A22" i="53"/>
  <c r="A23" i="53"/>
  <c r="A24" i="53"/>
  <c r="A25" i="53"/>
  <c r="A26" i="53"/>
  <c r="A27" i="53"/>
  <c r="A28" i="53"/>
  <c r="A29" i="53"/>
  <c r="A30" i="53"/>
  <c r="G9" i="53"/>
  <c r="A6" i="53"/>
  <c r="A5" i="53"/>
  <c r="O105" i="52"/>
  <c r="O107" i="52"/>
  <c r="AI101" i="52"/>
  <c r="AH101" i="52"/>
  <c r="AG101" i="52"/>
  <c r="AF101" i="52"/>
  <c r="AE101" i="52"/>
  <c r="AD101" i="52"/>
  <c r="AC101" i="52"/>
  <c r="AB101" i="52"/>
  <c r="AA101" i="52"/>
  <c r="Z101" i="52"/>
  <c r="Y101" i="52"/>
  <c r="X101" i="52"/>
  <c r="W101" i="52"/>
  <c r="V101" i="52"/>
  <c r="U101" i="52"/>
  <c r="T101" i="52"/>
  <c r="S101" i="52"/>
  <c r="AL99" i="52"/>
  <c r="AK99" i="52"/>
  <c r="AJ99" i="52"/>
  <c r="AI99" i="52"/>
  <c r="AH99" i="52"/>
  <c r="AG99" i="52"/>
  <c r="AF99" i="52"/>
  <c r="AE99" i="52"/>
  <c r="AD99" i="52"/>
  <c r="AC99" i="52"/>
  <c r="AB99" i="52"/>
  <c r="AA99" i="52"/>
  <c r="Z99" i="52"/>
  <c r="Y99" i="52"/>
  <c r="X99" i="52"/>
  <c r="W99" i="52"/>
  <c r="V99" i="52"/>
  <c r="U99" i="52"/>
  <c r="T99" i="52"/>
  <c r="S99" i="52"/>
  <c r="R99" i="52"/>
  <c r="Q99" i="52"/>
  <c r="P99" i="52"/>
  <c r="O99" i="52"/>
  <c r="V96" i="52"/>
  <c r="AH96" i="52"/>
  <c r="R91" i="52"/>
  <c r="Q91" i="52"/>
  <c r="O91" i="52"/>
  <c r="O90" i="52"/>
  <c r="O70" i="52"/>
  <c r="AM86" i="52"/>
  <c r="Q81" i="52"/>
  <c r="Q105" i="52"/>
  <c r="Q107" i="52"/>
  <c r="P81" i="52"/>
  <c r="P105" i="52"/>
  <c r="P107" i="52"/>
  <c r="AL80" i="52"/>
  <c r="AK80" i="52"/>
  <c r="AI80" i="52"/>
  <c r="AH80" i="52"/>
  <c r="AG80" i="52"/>
  <c r="AF80" i="52"/>
  <c r="AE80" i="52"/>
  <c r="AD80" i="52"/>
  <c r="AC80" i="52"/>
  <c r="AB80" i="52"/>
  <c r="AA80" i="52"/>
  <c r="Z80" i="52"/>
  <c r="Y80" i="52"/>
  <c r="X80" i="52"/>
  <c r="W80" i="52"/>
  <c r="V80" i="52"/>
  <c r="U80" i="52"/>
  <c r="T80" i="52"/>
  <c r="S80" i="52"/>
  <c r="R80" i="52"/>
  <c r="Q80" i="52"/>
  <c r="P80" i="52"/>
  <c r="O80" i="52"/>
  <c r="U79" i="52"/>
  <c r="M73" i="52"/>
  <c r="O73" i="52"/>
  <c r="D73" i="52"/>
  <c r="H72" i="52"/>
  <c r="AL71" i="52"/>
  <c r="H71" i="52"/>
  <c r="R82" i="52"/>
  <c r="R88" i="52"/>
  <c r="AL70" i="52"/>
  <c r="AK70" i="52"/>
  <c r="P70" i="52"/>
  <c r="P72" i="52"/>
  <c r="H70" i="52"/>
  <c r="Q82" i="52"/>
  <c r="Q88" i="52"/>
  <c r="H69" i="52"/>
  <c r="R68" i="52"/>
  <c r="Q68" i="52"/>
  <c r="H68" i="52"/>
  <c r="O82" i="52"/>
  <c r="AH64" i="52"/>
  <c r="N64" i="52"/>
  <c r="F53" i="52"/>
  <c r="F49" i="52"/>
  <c r="G32" i="52"/>
  <c r="G31" i="52"/>
  <c r="G27" i="52"/>
  <c r="G36" i="52"/>
  <c r="G25" i="52"/>
  <c r="G35" i="52"/>
  <c r="G24" i="52"/>
  <c r="H19" i="52"/>
  <c r="H22" i="52"/>
  <c r="H24" i="52"/>
  <c r="H26" i="52"/>
  <c r="H28" i="52"/>
  <c r="G19" i="52"/>
  <c r="F17" i="52"/>
  <c r="A12" i="52"/>
  <c r="A13" i="52"/>
  <c r="A14" i="52"/>
  <c r="A15" i="52"/>
  <c r="A16" i="52"/>
  <c r="A17" i="52"/>
  <c r="A18" i="52"/>
  <c r="A19" i="52"/>
  <c r="A20" i="52"/>
  <c r="A21" i="52"/>
  <c r="A22" i="52"/>
  <c r="A23" i="52"/>
  <c r="A24" i="52"/>
  <c r="A25" i="52"/>
  <c r="A26" i="52"/>
  <c r="A27" i="52"/>
  <c r="A28" i="52"/>
  <c r="A29" i="52"/>
  <c r="A30" i="52"/>
  <c r="G9" i="52"/>
  <c r="A6" i="52"/>
  <c r="A5" i="52"/>
  <c r="O105" i="32"/>
  <c r="O107" i="32"/>
  <c r="AI101" i="32"/>
  <c r="AH101" i="32"/>
  <c r="AG101" i="32"/>
  <c r="AF101" i="32"/>
  <c r="AE101" i="32"/>
  <c r="AD101" i="32"/>
  <c r="AC101" i="32"/>
  <c r="AB101" i="32"/>
  <c r="AA101" i="32"/>
  <c r="Z101" i="32"/>
  <c r="Y101" i="32"/>
  <c r="X101" i="32"/>
  <c r="W101" i="32"/>
  <c r="V101" i="32"/>
  <c r="U101" i="32"/>
  <c r="T101" i="32"/>
  <c r="S101" i="32"/>
  <c r="AL99" i="32"/>
  <c r="AK99" i="32"/>
  <c r="AJ99" i="32"/>
  <c r="AI99" i="32"/>
  <c r="AH99" i="32"/>
  <c r="AG99" i="32"/>
  <c r="AF99" i="32"/>
  <c r="AE99" i="32"/>
  <c r="AD99" i="32"/>
  <c r="AC99" i="32"/>
  <c r="AB99" i="32"/>
  <c r="AA99" i="32"/>
  <c r="Z99" i="32"/>
  <c r="Y99" i="32"/>
  <c r="X99" i="32"/>
  <c r="W99" i="32"/>
  <c r="V99" i="32"/>
  <c r="U99" i="32"/>
  <c r="T99" i="32"/>
  <c r="S99" i="32"/>
  <c r="R99" i="32"/>
  <c r="Q99" i="32"/>
  <c r="P99" i="32"/>
  <c r="O99" i="32"/>
  <c r="V96" i="32"/>
  <c r="AH96" i="32"/>
  <c r="R91" i="32"/>
  <c r="Q91" i="32"/>
  <c r="O91" i="32"/>
  <c r="O90" i="32"/>
  <c r="O70" i="32"/>
  <c r="AM86" i="32"/>
  <c r="P81" i="32"/>
  <c r="P105" i="32"/>
  <c r="P107" i="32"/>
  <c r="AL80" i="32"/>
  <c r="AK80" i="32"/>
  <c r="AI80" i="32"/>
  <c r="AH80" i="32"/>
  <c r="AG80" i="32"/>
  <c r="AF80" i="32"/>
  <c r="AE80" i="32"/>
  <c r="AD80" i="32"/>
  <c r="AC80" i="32"/>
  <c r="AB80" i="32"/>
  <c r="AA80" i="32"/>
  <c r="Z80" i="32"/>
  <c r="Y80" i="32"/>
  <c r="X80" i="32"/>
  <c r="W80" i="32"/>
  <c r="V80" i="32"/>
  <c r="U80" i="32"/>
  <c r="T80" i="32"/>
  <c r="S80" i="32"/>
  <c r="R80" i="32"/>
  <c r="Q80" i="32"/>
  <c r="P80" i="32"/>
  <c r="O80" i="32"/>
  <c r="U79" i="32"/>
  <c r="M73" i="32"/>
  <c r="O73" i="32"/>
  <c r="H72" i="32"/>
  <c r="AL71" i="32"/>
  <c r="AL70" i="32"/>
  <c r="AK70" i="32"/>
  <c r="P70" i="32"/>
  <c r="P72" i="32"/>
  <c r="P73" i="32"/>
  <c r="H70" i="32"/>
  <c r="Q82" i="32"/>
  <c r="Q88" i="32"/>
  <c r="H69" i="32"/>
  <c r="P82" i="32"/>
  <c r="R68" i="32"/>
  <c r="Q68" i="32"/>
  <c r="D73" i="32"/>
  <c r="AH64" i="32"/>
  <c r="N64" i="32"/>
  <c r="G27" i="32"/>
  <c r="G25" i="32"/>
  <c r="G35" i="32"/>
  <c r="G24" i="32"/>
  <c r="H19" i="32"/>
  <c r="H22" i="32"/>
  <c r="H24" i="32"/>
  <c r="H26" i="32"/>
  <c r="H28" i="32"/>
  <c r="G19" i="32"/>
  <c r="D23" i="55"/>
  <c r="I14" i="50"/>
  <c r="J14" i="50"/>
  <c r="F14" i="50"/>
  <c r="H14" i="50"/>
  <c r="E14" i="50"/>
  <c r="G14" i="50"/>
  <c r="A12" i="32"/>
  <c r="A13" i="32"/>
  <c r="A14" i="32"/>
  <c r="A15" i="32"/>
  <c r="A16" i="32"/>
  <c r="A17" i="32"/>
  <c r="A18" i="32"/>
  <c r="A19" i="32"/>
  <c r="A20" i="32"/>
  <c r="A21" i="32"/>
  <c r="A22" i="32"/>
  <c r="A23" i="32"/>
  <c r="A24" i="32"/>
  <c r="A25" i="32"/>
  <c r="A26" i="32"/>
  <c r="A27" i="32"/>
  <c r="A28" i="32"/>
  <c r="A29" i="32"/>
  <c r="A30" i="32"/>
  <c r="H5" i="51"/>
  <c r="J6" i="51"/>
  <c r="J7" i="51"/>
  <c r="J8" i="51"/>
  <c r="J9" i="51"/>
  <c r="J11" i="51"/>
  <c r="J14" i="51"/>
  <c r="J5" i="51"/>
  <c r="G17" i="51"/>
  <c r="C17" i="51"/>
  <c r="O75" i="55"/>
  <c r="O95" i="55"/>
  <c r="F50" i="54"/>
  <c r="G21" i="54"/>
  <c r="G43" i="54"/>
  <c r="H71" i="32"/>
  <c r="H68" i="32"/>
  <c r="O82" i="32"/>
  <c r="G19" i="51"/>
  <c r="G18" i="51"/>
  <c r="G12" i="53"/>
  <c r="C18" i="51"/>
  <c r="E18" i="50"/>
  <c r="F18" i="50"/>
  <c r="I4" i="51"/>
  <c r="N29" i="50"/>
  <c r="J12" i="50"/>
  <c r="Q81" i="32"/>
  <c r="E519" i="47"/>
  <c r="E481" i="47"/>
  <c r="F481" i="47"/>
  <c r="F428" i="47"/>
  <c r="F370" i="47"/>
  <c r="F359" i="47"/>
  <c r="E332" i="47"/>
  <c r="F332" i="47"/>
  <c r="E244" i="47"/>
  <c r="F244" i="47"/>
  <c r="E201" i="47"/>
  <c r="F201" i="47"/>
  <c r="F146" i="47"/>
  <c r="E140" i="47"/>
  <c r="F140" i="47"/>
  <c r="E119" i="47"/>
  <c r="F119" i="47"/>
  <c r="E70" i="47"/>
  <c r="I12" i="47"/>
  <c r="B12" i="47"/>
  <c r="I10" i="47"/>
  <c r="B10" i="47"/>
  <c r="B9" i="47"/>
  <c r="G1" i="47"/>
  <c r="N57" i="49"/>
  <c r="AH57" i="49"/>
  <c r="G61" i="49"/>
  <c r="H61" i="49"/>
  <c r="O75" i="49"/>
  <c r="O81" i="49"/>
  <c r="Q61" i="49"/>
  <c r="R61" i="49"/>
  <c r="G62" i="49"/>
  <c r="H62" i="49"/>
  <c r="G63" i="49"/>
  <c r="H63" i="49"/>
  <c r="Q75" i="49"/>
  <c r="Q81" i="49"/>
  <c r="P63" i="49"/>
  <c r="P65" i="49"/>
  <c r="AL63" i="49"/>
  <c r="G64" i="49"/>
  <c r="H64" i="49"/>
  <c r="AL64" i="49"/>
  <c r="G65" i="49"/>
  <c r="H65" i="49"/>
  <c r="D66" i="49"/>
  <c r="M66" i="49"/>
  <c r="O66" i="49"/>
  <c r="U72" i="49"/>
  <c r="U91" i="49"/>
  <c r="AH91" i="49"/>
  <c r="AH72" i="49"/>
  <c r="O73" i="49"/>
  <c r="P73" i="49"/>
  <c r="Q73" i="49"/>
  <c r="R73" i="49"/>
  <c r="S73" i="49"/>
  <c r="T73" i="49"/>
  <c r="U73" i="49"/>
  <c r="V73" i="49"/>
  <c r="W73" i="49"/>
  <c r="X73" i="49"/>
  <c r="Y73" i="49"/>
  <c r="Z73" i="49"/>
  <c r="AA73" i="49"/>
  <c r="AB73" i="49"/>
  <c r="AC73" i="49"/>
  <c r="AD73" i="49"/>
  <c r="AE73" i="49"/>
  <c r="AF73" i="49"/>
  <c r="AG73" i="49"/>
  <c r="AH73" i="49"/>
  <c r="AI73" i="49"/>
  <c r="AK73" i="49"/>
  <c r="AL73" i="49"/>
  <c r="P74" i="49"/>
  <c r="P75" i="49"/>
  <c r="P81" i="49"/>
  <c r="AM79" i="49"/>
  <c r="O83" i="49"/>
  <c r="O63" i="49"/>
  <c r="O84" i="49"/>
  <c r="V89" i="49"/>
  <c r="AH89" i="49"/>
  <c r="O92" i="49"/>
  <c r="P92" i="49"/>
  <c r="Q92" i="49"/>
  <c r="R92" i="49"/>
  <c r="S92" i="49"/>
  <c r="T92" i="49"/>
  <c r="U92" i="49"/>
  <c r="V92" i="49"/>
  <c r="W92" i="49"/>
  <c r="X92" i="49"/>
  <c r="Y92" i="49"/>
  <c r="Z92" i="49"/>
  <c r="AA92" i="49"/>
  <c r="AB92" i="49"/>
  <c r="AC92" i="49"/>
  <c r="AD92" i="49"/>
  <c r="AE92" i="49"/>
  <c r="AF92" i="49"/>
  <c r="AG92" i="49"/>
  <c r="AH92" i="49"/>
  <c r="AI92" i="49"/>
  <c r="AJ92" i="49"/>
  <c r="AK92" i="49"/>
  <c r="AL92" i="49"/>
  <c r="S94" i="49"/>
  <c r="T94" i="49"/>
  <c r="U94" i="49"/>
  <c r="V94" i="49"/>
  <c r="W94" i="49"/>
  <c r="X94" i="49"/>
  <c r="Y94" i="49"/>
  <c r="Z94" i="49"/>
  <c r="AA94" i="49"/>
  <c r="AB94" i="49"/>
  <c r="AC94" i="49"/>
  <c r="AD94" i="49"/>
  <c r="AE94" i="49"/>
  <c r="AF94" i="49"/>
  <c r="AG94" i="49"/>
  <c r="AH94" i="49"/>
  <c r="AI94" i="49"/>
  <c r="O98" i="49"/>
  <c r="O100" i="49"/>
  <c r="C44" i="49"/>
  <c r="D19" i="49"/>
  <c r="AJ10" i="49"/>
  <c r="C116" i="48"/>
  <c r="C115" i="48"/>
  <c r="C110" i="48"/>
  <c r="A110" i="48"/>
  <c r="B95" i="48"/>
  <c r="B128" i="48"/>
  <c r="B94" i="48"/>
  <c r="B127" i="48"/>
  <c r="B93" i="48"/>
  <c r="B92" i="48"/>
  <c r="B91" i="48"/>
  <c r="A91" i="48"/>
  <c r="T90" i="48"/>
  <c r="K90" i="48"/>
  <c r="J90" i="48"/>
  <c r="I90" i="48"/>
  <c r="H90" i="48"/>
  <c r="G90" i="48"/>
  <c r="F90" i="48"/>
  <c r="E90" i="48"/>
  <c r="D90" i="48"/>
  <c r="C90" i="48"/>
  <c r="B90" i="48"/>
  <c r="A90" i="48"/>
  <c r="T89" i="48"/>
  <c r="S89" i="48"/>
  <c r="J89" i="48"/>
  <c r="I89" i="48"/>
  <c r="H89" i="48"/>
  <c r="F89" i="48"/>
  <c r="E89" i="48"/>
  <c r="D89" i="48"/>
  <c r="A89" i="48"/>
  <c r="T88" i="48"/>
  <c r="S88" i="48"/>
  <c r="J88" i="48"/>
  <c r="I88" i="48"/>
  <c r="H88" i="48"/>
  <c r="F88" i="48"/>
  <c r="E88" i="48"/>
  <c r="D88" i="48"/>
  <c r="A88" i="48"/>
  <c r="J87" i="48"/>
  <c r="I87" i="48"/>
  <c r="H87" i="48"/>
  <c r="A87" i="48"/>
  <c r="J86" i="48"/>
  <c r="I86" i="48"/>
  <c r="H86" i="48"/>
  <c r="F86" i="48"/>
  <c r="A86" i="48"/>
  <c r="J85" i="48"/>
  <c r="H85" i="48"/>
  <c r="A85" i="48"/>
  <c r="T84" i="48"/>
  <c r="S84" i="48"/>
  <c r="P84" i="48"/>
  <c r="O84" i="48"/>
  <c r="N84" i="48"/>
  <c r="L84" i="48"/>
  <c r="J84" i="48"/>
  <c r="I84" i="48"/>
  <c r="H84" i="48"/>
  <c r="H82" i="48"/>
  <c r="G84" i="48"/>
  <c r="F84" i="48"/>
  <c r="E84" i="48"/>
  <c r="D84" i="48"/>
  <c r="C84" i="48"/>
  <c r="A84" i="48"/>
  <c r="T83" i="48"/>
  <c r="S83" i="48"/>
  <c r="J83" i="48"/>
  <c r="I83" i="48"/>
  <c r="H83" i="48"/>
  <c r="G83" i="48"/>
  <c r="F83" i="48"/>
  <c r="E83" i="48"/>
  <c r="D83" i="48"/>
  <c r="C83" i="48"/>
  <c r="A83" i="48"/>
  <c r="R82" i="48"/>
  <c r="N77" i="48"/>
  <c r="M77" i="48"/>
  <c r="K77" i="48"/>
  <c r="J77" i="48"/>
  <c r="C77" i="48"/>
  <c r="C109" i="48"/>
  <c r="S76" i="48"/>
  <c r="R76" i="48"/>
  <c r="Q76" i="48"/>
  <c r="P76" i="48"/>
  <c r="O76" i="48"/>
  <c r="N76" i="48"/>
  <c r="M76" i="48"/>
  <c r="K76" i="48"/>
  <c r="J76" i="48"/>
  <c r="C76" i="48"/>
  <c r="C108" i="48"/>
  <c r="W71" i="48"/>
  <c r="A71" i="48"/>
  <c r="A103" i="48"/>
  <c r="W70" i="48"/>
  <c r="DS66" i="48"/>
  <c r="DT66" i="48"/>
  <c r="DS65" i="48"/>
  <c r="DT65" i="48"/>
  <c r="DS64" i="48"/>
  <c r="DT64" i="48"/>
  <c r="DN64" i="48"/>
  <c r="BC64" i="48"/>
  <c r="F9" i="48"/>
  <c r="P77" i="48"/>
  <c r="DS63" i="48"/>
  <c r="DT63" i="48"/>
  <c r="DX62" i="48"/>
  <c r="DS62" i="48"/>
  <c r="DT62" i="48"/>
  <c r="DN62" i="48"/>
  <c r="DN63" i="48"/>
  <c r="DN65" i="48"/>
  <c r="DS61" i="48"/>
  <c r="DT61" i="48"/>
  <c r="DX60" i="48"/>
  <c r="DS60" i="48"/>
  <c r="DT60" i="48"/>
  <c r="BJ55" i="48"/>
  <c r="BC42" i="48"/>
  <c r="BC39" i="48"/>
  <c r="I9" i="48"/>
  <c r="S77" i="48"/>
  <c r="BD30" i="48"/>
  <c r="AO30" i="48"/>
  <c r="AN30" i="48"/>
  <c r="AL30" i="48"/>
  <c r="AK30" i="48"/>
  <c r="M30" i="48"/>
  <c r="K30" i="48"/>
  <c r="J30" i="48"/>
  <c r="G30" i="48"/>
  <c r="E30" i="48"/>
  <c r="AH26" i="48"/>
  <c r="AB26" i="48"/>
  <c r="AA26" i="48"/>
  <c r="O90" i="48"/>
  <c r="Z26" i="48"/>
  <c r="AC26" i="48"/>
  <c r="AF26" i="48"/>
  <c r="T26" i="48"/>
  <c r="S26" i="48"/>
  <c r="AA25" i="48"/>
  <c r="Z25" i="48"/>
  <c r="P89" i="48"/>
  <c r="T25" i="48"/>
  <c r="B25" i="48"/>
  <c r="B89" i="48"/>
  <c r="AA24" i="48"/>
  <c r="Z24" i="48"/>
  <c r="T24" i="48"/>
  <c r="B24" i="48"/>
  <c r="B88" i="48"/>
  <c r="T23" i="48"/>
  <c r="B23" i="48"/>
  <c r="B87" i="48"/>
  <c r="T22" i="48"/>
  <c r="B22" i="48"/>
  <c r="B86" i="48"/>
  <c r="B21" i="48"/>
  <c r="B85" i="48"/>
  <c r="AX20" i="48"/>
  <c r="AQ20" i="48"/>
  <c r="B20" i="48"/>
  <c r="B84" i="48"/>
  <c r="AH19" i="48"/>
  <c r="AB19" i="48"/>
  <c r="O83" i="48"/>
  <c r="AA19" i="48"/>
  <c r="Z19" i="48"/>
  <c r="P83" i="48"/>
  <c r="T19" i="48"/>
  <c r="S19" i="48"/>
  <c r="B19" i="48"/>
  <c r="B83" i="48"/>
  <c r="AO18" i="48"/>
  <c r="AN18" i="48"/>
  <c r="AL18" i="48"/>
  <c r="AK18" i="48"/>
  <c r="AJ18" i="48"/>
  <c r="N18" i="48"/>
  <c r="M18" i="48"/>
  <c r="K18" i="48"/>
  <c r="J18" i="48"/>
  <c r="G18" i="48"/>
  <c r="E18" i="48"/>
  <c r="CJ16" i="48"/>
  <c r="CJ15" i="48"/>
  <c r="BH11" i="48"/>
  <c r="BH15" i="48"/>
  <c r="L9" i="48"/>
  <c r="R77" i="48"/>
  <c r="J9" i="48"/>
  <c r="Q77" i="48"/>
  <c r="C9" i="48"/>
  <c r="O77" i="48"/>
  <c r="BD8" i="48"/>
  <c r="BE8" i="48"/>
  <c r="BD9" i="48"/>
  <c r="BE9" i="48"/>
  <c r="AF6" i="48"/>
  <c r="AT6" i="48"/>
  <c r="BN6" i="48"/>
  <c r="CO4" i="48"/>
  <c r="CM4" i="48"/>
  <c r="A72" i="48"/>
  <c r="A104" i="48"/>
  <c r="AF1" i="48"/>
  <c r="AT1" i="48"/>
  <c r="D577" i="47"/>
  <c r="D576" i="47"/>
  <c r="D575" i="47"/>
  <c r="D574" i="47"/>
  <c r="D573" i="47"/>
  <c r="D572" i="47"/>
  <c r="F571" i="47"/>
  <c r="D567" i="47"/>
  <c r="F567" i="47"/>
  <c r="D551" i="47"/>
  <c r="D549" i="47"/>
  <c r="D546" i="47"/>
  <c r="D544" i="47"/>
  <c r="F543" i="47"/>
  <c r="H539" i="47"/>
  <c r="H533" i="47"/>
  <c r="E530" i="47"/>
  <c r="F530" i="47"/>
  <c r="E529" i="47"/>
  <c r="F529" i="47"/>
  <c r="E528" i="47"/>
  <c r="F528" i="47"/>
  <c r="E527" i="47"/>
  <c r="F527" i="47"/>
  <c r="E526" i="47"/>
  <c r="F526" i="47"/>
  <c r="E525" i="47"/>
  <c r="F525" i="47"/>
  <c r="E524" i="47"/>
  <c r="F524" i="47"/>
  <c r="E523" i="47"/>
  <c r="F523" i="47"/>
  <c r="E522" i="47"/>
  <c r="F522" i="47"/>
  <c r="E521" i="47"/>
  <c r="F521" i="47"/>
  <c r="F520" i="47"/>
  <c r="F519" i="47"/>
  <c r="E518" i="47"/>
  <c r="F518" i="47"/>
  <c r="E517" i="47"/>
  <c r="F517" i="47"/>
  <c r="E516" i="47"/>
  <c r="F516" i="47"/>
  <c r="K515" i="47"/>
  <c r="F515" i="47"/>
  <c r="K514" i="47"/>
  <c r="F514" i="47"/>
  <c r="D510" i="47"/>
  <c r="D509" i="47"/>
  <c r="D508" i="47"/>
  <c r="D507" i="47"/>
  <c r="D506" i="47"/>
  <c r="D505" i="47"/>
  <c r="D501" i="47"/>
  <c r="F501" i="47"/>
  <c r="D479" i="47"/>
  <c r="D476" i="47"/>
  <c r="H465" i="47"/>
  <c r="H460" i="47"/>
  <c r="F454" i="47"/>
  <c r="E451" i="47"/>
  <c r="F451" i="47"/>
  <c r="E450" i="47"/>
  <c r="F450" i="47"/>
  <c r="E449" i="47"/>
  <c r="F449" i="47"/>
  <c r="E448" i="47"/>
  <c r="F448" i="47"/>
  <c r="E447" i="47"/>
  <c r="F447" i="47"/>
  <c r="E446" i="47"/>
  <c r="F446" i="47"/>
  <c r="E445" i="47"/>
  <c r="F445" i="47"/>
  <c r="E444" i="47"/>
  <c r="F444" i="47"/>
  <c r="E443" i="47"/>
  <c r="F443" i="47"/>
  <c r="E442" i="47"/>
  <c r="F442" i="47"/>
  <c r="D438" i="47"/>
  <c r="D435" i="47"/>
  <c r="D434" i="47"/>
  <c r="D433" i="47"/>
  <c r="D432" i="47"/>
  <c r="D431" i="47"/>
  <c r="D430" i="47"/>
  <c r="D429" i="47"/>
  <c r="M428" i="47"/>
  <c r="D424" i="47"/>
  <c r="F424" i="47"/>
  <c r="F420" i="47"/>
  <c r="D388" i="47"/>
  <c r="D387" i="47"/>
  <c r="D386" i="47"/>
  <c r="D384" i="47"/>
  <c r="D382" i="47"/>
  <c r="D380" i="47"/>
  <c r="D378" i="47"/>
  <c r="M377" i="47"/>
  <c r="F377" i="47"/>
  <c r="H373" i="47"/>
  <c r="F362" i="47"/>
  <c r="F367" i="47"/>
  <c r="F23" i="48"/>
  <c r="F361" i="47"/>
  <c r="F360" i="47"/>
  <c r="D355" i="47"/>
  <c r="F352" i="47"/>
  <c r="F351" i="47"/>
  <c r="D347" i="47"/>
  <c r="D346" i="47"/>
  <c r="D345" i="47"/>
  <c r="D344" i="47"/>
  <c r="D343" i="47"/>
  <c r="D342" i="47"/>
  <c r="D341" i="47"/>
  <c r="D336" i="47"/>
  <c r="F336" i="47"/>
  <c r="D313" i="47"/>
  <c r="D312" i="47"/>
  <c r="D311" i="47"/>
  <c r="D308" i="47"/>
  <c r="D306" i="47"/>
  <c r="D304" i="47"/>
  <c r="D302" i="47"/>
  <c r="H297" i="47"/>
  <c r="E296" i="47"/>
  <c r="E295" i="47"/>
  <c r="F295" i="47"/>
  <c r="H291" i="47"/>
  <c r="F290" i="47"/>
  <c r="F289" i="47"/>
  <c r="F288" i="47"/>
  <c r="F291" i="47"/>
  <c r="I22" i="48"/>
  <c r="E86" i="48"/>
  <c r="F283" i="47"/>
  <c r="F284" i="47"/>
  <c r="F22" i="48"/>
  <c r="F275" i="47"/>
  <c r="D274" i="47"/>
  <c r="F274" i="47"/>
  <c r="E273" i="47"/>
  <c r="F273" i="47"/>
  <c r="F269" i="47"/>
  <c r="N268" i="47"/>
  <c r="D268" i="47"/>
  <c r="F268" i="47"/>
  <c r="N267" i="47"/>
  <c r="L266" i="47"/>
  <c r="P265" i="47"/>
  <c r="N265" i="47"/>
  <c r="E261" i="47"/>
  <c r="F261" i="47"/>
  <c r="D259" i="47"/>
  <c r="D256" i="47"/>
  <c r="F256" i="47"/>
  <c r="D255" i="47"/>
  <c r="F255" i="47"/>
  <c r="F257" i="47"/>
  <c r="U21" i="48"/>
  <c r="F254" i="47"/>
  <c r="F251" i="47"/>
  <c r="D245" i="47"/>
  <c r="F245" i="47"/>
  <c r="D233" i="47"/>
  <c r="D226" i="47"/>
  <c r="D220" i="47"/>
  <c r="D219" i="47"/>
  <c r="D218" i="47"/>
  <c r="D216" i="47"/>
  <c r="D214" i="47"/>
  <c r="D212" i="47"/>
  <c r="D205" i="47"/>
  <c r="D204" i="47"/>
  <c r="D203" i="47"/>
  <c r="D202" i="47"/>
  <c r="D200" i="47"/>
  <c r="D195" i="47"/>
  <c r="F195" i="47"/>
  <c r="F197" i="47"/>
  <c r="O21" i="48"/>
  <c r="F194" i="47"/>
  <c r="D193" i="47"/>
  <c r="F193" i="47"/>
  <c r="D192" i="47"/>
  <c r="D191" i="47"/>
  <c r="F190" i="47"/>
  <c r="D189" i="47"/>
  <c r="F189" i="47"/>
  <c r="F188" i="47"/>
  <c r="F187" i="47"/>
  <c r="F186" i="47"/>
  <c r="F185" i="47"/>
  <c r="F184" i="47"/>
  <c r="D183" i="47"/>
  <c r="F183" i="47"/>
  <c r="F182" i="47"/>
  <c r="F181" i="47"/>
  <c r="F180" i="47"/>
  <c r="F179" i="47"/>
  <c r="F178" i="47"/>
  <c r="F177" i="47"/>
  <c r="F176" i="47"/>
  <c r="D175" i="47"/>
  <c r="F174" i="47"/>
  <c r="F173" i="47"/>
  <c r="F172" i="47"/>
  <c r="F171" i="47"/>
  <c r="F170" i="47"/>
  <c r="F169" i="47"/>
  <c r="F168" i="47"/>
  <c r="H165" i="47"/>
  <c r="F164" i="47"/>
  <c r="F163" i="47"/>
  <c r="F162" i="47"/>
  <c r="D161" i="47"/>
  <c r="F161" i="47"/>
  <c r="D160" i="47"/>
  <c r="F160" i="47"/>
  <c r="F165" i="47"/>
  <c r="L21" i="48"/>
  <c r="E156" i="47"/>
  <c r="D156" i="47"/>
  <c r="F156" i="47"/>
  <c r="E155" i="47"/>
  <c r="D155" i="47"/>
  <c r="E154" i="47"/>
  <c r="F154" i="47"/>
  <c r="J153" i="47"/>
  <c r="D153" i="47"/>
  <c r="J152" i="47"/>
  <c r="G152" i="47"/>
  <c r="D152" i="47"/>
  <c r="Q151" i="47"/>
  <c r="J151" i="47"/>
  <c r="G151" i="47"/>
  <c r="D151" i="47"/>
  <c r="F147" i="47"/>
  <c r="D145" i="47"/>
  <c r="F145" i="47"/>
  <c r="E144" i="47"/>
  <c r="D144" i="47"/>
  <c r="F144" i="47"/>
  <c r="F143" i="47"/>
  <c r="F142" i="47"/>
  <c r="F139" i="47"/>
  <c r="F136" i="47"/>
  <c r="D134" i="47"/>
  <c r="F134" i="47"/>
  <c r="E133" i="47"/>
  <c r="F133" i="47"/>
  <c r="D133" i="47"/>
  <c r="D132" i="47"/>
  <c r="F132" i="47"/>
  <c r="E131" i="47"/>
  <c r="D131" i="47"/>
  <c r="F131" i="47"/>
  <c r="F127" i="47"/>
  <c r="D126" i="47"/>
  <c r="F126" i="47"/>
  <c r="F125" i="47"/>
  <c r="F124" i="47"/>
  <c r="D123" i="47"/>
  <c r="F123" i="47"/>
  <c r="F122" i="47"/>
  <c r="D121" i="47"/>
  <c r="F121" i="47"/>
  <c r="E120" i="47"/>
  <c r="F120" i="47"/>
  <c r="E118" i="47"/>
  <c r="F118" i="47"/>
  <c r="D117" i="47"/>
  <c r="F117" i="47"/>
  <c r="E116" i="47"/>
  <c r="E134" i="47"/>
  <c r="D116" i="47"/>
  <c r="F116" i="47"/>
  <c r="E115" i="47"/>
  <c r="D115" i="47"/>
  <c r="F115" i="47"/>
  <c r="D114" i="47"/>
  <c r="F114" i="47"/>
  <c r="F112" i="47"/>
  <c r="F111" i="47"/>
  <c r="F107" i="47"/>
  <c r="F106" i="47"/>
  <c r="F105" i="47"/>
  <c r="F104" i="47"/>
  <c r="F103" i="47"/>
  <c r="F102" i="47"/>
  <c r="F101" i="47"/>
  <c r="F100" i="47"/>
  <c r="F99" i="47"/>
  <c r="F98" i="47"/>
  <c r="F97" i="47"/>
  <c r="F95" i="47"/>
  <c r="F94" i="47"/>
  <c r="F93" i="47"/>
  <c r="F92" i="47"/>
  <c r="F91" i="47"/>
  <c r="F90" i="47"/>
  <c r="D89" i="47"/>
  <c r="F89" i="47"/>
  <c r="F88" i="47"/>
  <c r="F87" i="47"/>
  <c r="F86" i="47"/>
  <c r="F85" i="47"/>
  <c r="F84" i="47"/>
  <c r="F83" i="47"/>
  <c r="E82" i="47"/>
  <c r="D82" i="47"/>
  <c r="D81" i="47"/>
  <c r="F81" i="47"/>
  <c r="D80" i="47"/>
  <c r="F80" i="47"/>
  <c r="F79" i="47"/>
  <c r="F78" i="47"/>
  <c r="F77" i="47"/>
  <c r="F76" i="47"/>
  <c r="F75" i="47"/>
  <c r="D74" i="47"/>
  <c r="F74" i="47"/>
  <c r="E73" i="47"/>
  <c r="F73" i="47"/>
  <c r="F72" i="47"/>
  <c r="F71" i="47"/>
  <c r="F70" i="47"/>
  <c r="F69" i="47"/>
  <c r="F68" i="47"/>
  <c r="F67" i="47"/>
  <c r="F66" i="47"/>
  <c r="D65" i="47"/>
  <c r="F65" i="47"/>
  <c r="D64" i="47"/>
  <c r="F64" i="47"/>
  <c r="D63" i="47"/>
  <c r="F63" i="47"/>
  <c r="E62" i="47"/>
  <c r="F62" i="47"/>
  <c r="D59" i="47"/>
  <c r="D58" i="47"/>
  <c r="D45" i="47"/>
  <c r="D53" i="47"/>
  <c r="F53" i="47"/>
  <c r="F35" i="47"/>
  <c r="F34" i="47"/>
  <c r="F33" i="47"/>
  <c r="F32" i="47"/>
  <c r="D31" i="47"/>
  <c r="F31" i="47"/>
  <c r="J29" i="47"/>
  <c r="C3" i="47"/>
  <c r="E243" i="47"/>
  <c r="F243" i="47"/>
  <c r="E242" i="47"/>
  <c r="F242" i="47"/>
  <c r="E228" i="47"/>
  <c r="F228" i="47"/>
  <c r="E211" i="47"/>
  <c r="F211" i="47"/>
  <c r="E233" i="47"/>
  <c r="F233" i="47"/>
  <c r="E222" i="47"/>
  <c r="F222" i="47"/>
  <c r="E219" i="47"/>
  <c r="F219" i="47"/>
  <c r="E214" i="47"/>
  <c r="F56" i="24"/>
  <c r="G56" i="24"/>
  <c r="G29" i="24"/>
  <c r="K29" i="24"/>
  <c r="L29" i="24"/>
  <c r="F12" i="47"/>
  <c r="P20" i="48"/>
  <c r="I12" i="46"/>
  <c r="I10" i="46"/>
  <c r="D12" i="46"/>
  <c r="J6" i="46"/>
  <c r="L6" i="46"/>
  <c r="J3" i="46"/>
  <c r="L3" i="46"/>
  <c r="J5" i="46"/>
  <c r="L5" i="46"/>
  <c r="I9" i="46"/>
  <c r="D9" i="46"/>
  <c r="F49" i="32"/>
  <c r="G21" i="32"/>
  <c r="G43" i="32"/>
  <c r="F17" i="32"/>
  <c r="F53" i="32"/>
  <c r="G32" i="32"/>
  <c r="G31" i="32"/>
  <c r="G36" i="32"/>
  <c r="G9" i="32"/>
  <c r="A6" i="32"/>
  <c r="A5" i="32"/>
  <c r="B26" i="24"/>
  <c r="J26" i="24"/>
  <c r="B27" i="24"/>
  <c r="K27" i="24"/>
  <c r="K28" i="24"/>
  <c r="J29" i="24"/>
  <c r="J30" i="24"/>
  <c r="B31" i="24"/>
  <c r="B32" i="24"/>
  <c r="B33" i="24"/>
  <c r="J33" i="24"/>
  <c r="J34" i="24"/>
  <c r="J35" i="24"/>
  <c r="B36" i="24"/>
  <c r="J36" i="24"/>
  <c r="J37" i="24"/>
  <c r="L37" i="24"/>
  <c r="J38" i="24"/>
  <c r="K40" i="24"/>
  <c r="L40" i="24"/>
  <c r="D47" i="24"/>
  <c r="D48" i="24"/>
  <c r="D49" i="24"/>
  <c r="D50" i="24"/>
  <c r="D51" i="24"/>
  <c r="D52" i="24"/>
  <c r="D53" i="24"/>
  <c r="D54" i="24"/>
  <c r="D55" i="24"/>
  <c r="D57" i="24"/>
  <c r="E58" i="24"/>
  <c r="F59" i="24"/>
  <c r="G32" i="24"/>
  <c r="F60" i="24"/>
  <c r="G60" i="24"/>
  <c r="G33" i="24"/>
  <c r="K33" i="24"/>
  <c r="L33" i="24"/>
  <c r="F61" i="24"/>
  <c r="G61" i="24"/>
  <c r="G34" i="24"/>
  <c r="K34" i="24"/>
  <c r="L34" i="24"/>
  <c r="F62" i="24"/>
  <c r="G62" i="24"/>
  <c r="G36" i="24"/>
  <c r="K36" i="24"/>
  <c r="F63" i="24"/>
  <c r="G63" i="24"/>
  <c r="F64" i="24"/>
  <c r="G64" i="24"/>
  <c r="G37" i="24"/>
  <c r="K37" i="24"/>
  <c r="F65" i="24"/>
  <c r="G65" i="24"/>
  <c r="H71" i="24"/>
  <c r="E80" i="24"/>
  <c r="E92" i="24"/>
  <c r="A7" i="53"/>
  <c r="A7" i="32"/>
  <c r="D60" i="47"/>
  <c r="F60" i="47"/>
  <c r="F82" i="47"/>
  <c r="F157" i="47"/>
  <c r="F21" i="48"/>
  <c r="C41" i="49"/>
  <c r="P98" i="49"/>
  <c r="P100" i="49"/>
  <c r="D12" i="49"/>
  <c r="C42" i="49"/>
  <c r="D11" i="49"/>
  <c r="I16" i="50"/>
  <c r="J16" i="50"/>
  <c r="B18" i="48"/>
  <c r="AC19" i="48"/>
  <c r="AC24" i="48"/>
  <c r="AD24" i="48"/>
  <c r="AF24" i="48"/>
  <c r="P88" i="48"/>
  <c r="B82" i="48"/>
  <c r="P90" i="48"/>
  <c r="AC25" i="48"/>
  <c r="AF25" i="48"/>
  <c r="AD25" i="48"/>
  <c r="E371" i="47"/>
  <c r="E463" i="47"/>
  <c r="F371" i="47"/>
  <c r="F175" i="47"/>
  <c r="D32" i="49"/>
  <c r="P66" i="49"/>
  <c r="Q105" i="32"/>
  <c r="Q107" i="32"/>
  <c r="E15" i="51"/>
  <c r="G15" i="52"/>
  <c r="G16" i="52"/>
  <c r="E87" i="48"/>
  <c r="F87" i="48"/>
  <c r="A7" i="54"/>
  <c r="A7" i="52"/>
  <c r="H73" i="32"/>
  <c r="O81" i="55"/>
  <c r="P73" i="52"/>
  <c r="P102" i="52"/>
  <c r="Q88" i="53"/>
  <c r="P92" i="32"/>
  <c r="P102" i="32"/>
  <c r="O102" i="32"/>
  <c r="O92" i="32"/>
  <c r="O92" i="53"/>
  <c r="P75" i="32"/>
  <c r="P76" i="32"/>
  <c r="AH79" i="54"/>
  <c r="P92" i="52"/>
  <c r="I18" i="50"/>
  <c r="E235" i="47"/>
  <c r="F235" i="47"/>
  <c r="E207" i="47"/>
  <c r="F207" i="47"/>
  <c r="E319" i="47"/>
  <c r="P88" i="32"/>
  <c r="F191" i="47"/>
  <c r="F55" i="52"/>
  <c r="G23" i="52"/>
  <c r="G44" i="52"/>
  <c r="F51" i="52"/>
  <c r="G11" i="52"/>
  <c r="F50" i="52"/>
  <c r="F52" i="52"/>
  <c r="G29" i="52"/>
  <c r="G37" i="52"/>
  <c r="G14" i="52"/>
  <c r="G21" i="52"/>
  <c r="G43" i="52"/>
  <c r="E218" i="47"/>
  <c r="F218" i="47"/>
  <c r="E234" i="47"/>
  <c r="F234" i="47"/>
  <c r="E203" i="47"/>
  <c r="F203" i="47"/>
  <c r="E237" i="47"/>
  <c r="F237" i="47"/>
  <c r="V84" i="48"/>
  <c r="AS20" i="48"/>
  <c r="C43" i="49"/>
  <c r="D16" i="49"/>
  <c r="D36" i="49"/>
  <c r="E238" i="47"/>
  <c r="F238" i="47"/>
  <c r="AH79" i="32"/>
  <c r="U98" i="32"/>
  <c r="AH98" i="32"/>
  <c r="E383" i="47"/>
  <c r="F383" i="47"/>
  <c r="F3" i="47"/>
  <c r="E205" i="47"/>
  <c r="F205" i="47"/>
  <c r="F214" i="47"/>
  <c r="E221" i="47"/>
  <c r="F221" i="47"/>
  <c r="E230" i="47"/>
  <c r="F230" i="47"/>
  <c r="E212" i="47"/>
  <c r="F212" i="47"/>
  <c r="R19" i="48"/>
  <c r="R26" i="48"/>
  <c r="O88" i="52"/>
  <c r="E216" i="47"/>
  <c r="F216" i="47"/>
  <c r="E313" i="47"/>
  <c r="E347" i="47"/>
  <c r="F347" i="47"/>
  <c r="F313" i="47"/>
  <c r="H73" i="53"/>
  <c r="O82" i="53"/>
  <c r="D17" i="49"/>
  <c r="D18" i="49"/>
  <c r="G12" i="32"/>
  <c r="G13" i="32"/>
  <c r="G34" i="32"/>
  <c r="G12" i="52"/>
  <c r="G13" i="52"/>
  <c r="R82" i="32"/>
  <c r="R88" i="32"/>
  <c r="P82" i="52"/>
  <c r="H73" i="52"/>
  <c r="G14" i="54"/>
  <c r="G12" i="54"/>
  <c r="G13" i="54"/>
  <c r="G13" i="53"/>
  <c r="P88" i="52"/>
  <c r="AM82" i="52"/>
  <c r="I3" i="47"/>
  <c r="F319" i="47"/>
  <c r="X26" i="48"/>
  <c r="E305" i="47"/>
  <c r="F305" i="47"/>
  <c r="E329" i="47"/>
  <c r="F329" i="47"/>
  <c r="E333" i="47"/>
  <c r="F333" i="47"/>
  <c r="E392" i="47"/>
  <c r="P102" i="53"/>
  <c r="P75" i="53"/>
  <c r="P76" i="53"/>
  <c r="P92" i="53"/>
  <c r="E307" i="47"/>
  <c r="F307" i="47"/>
  <c r="E403" i="47"/>
  <c r="F403" i="47"/>
  <c r="E381" i="47"/>
  <c r="F381" i="47"/>
  <c r="E554" i="47"/>
  <c r="F554" i="47"/>
  <c r="E547" i="47"/>
  <c r="F547" i="47"/>
  <c r="P81" i="55"/>
  <c r="AM82" i="53"/>
  <c r="O88" i="53"/>
  <c r="O102" i="54"/>
  <c r="O92" i="54"/>
  <c r="P66" i="55"/>
  <c r="V19" i="48"/>
  <c r="L83" i="48"/>
  <c r="E324" i="47"/>
  <c r="F324" i="47"/>
  <c r="E470" i="47"/>
  <c r="F470" i="47"/>
  <c r="E223" i="47"/>
  <c r="F223" i="47"/>
  <c r="E327" i="47"/>
  <c r="F327" i="47"/>
  <c r="E231" i="47"/>
  <c r="F231" i="47"/>
  <c r="F192" i="47"/>
  <c r="F50" i="32"/>
  <c r="F51" i="32"/>
  <c r="G11" i="32"/>
  <c r="F55" i="32"/>
  <c r="G23" i="32"/>
  <c r="G44" i="32"/>
  <c r="G14" i="32"/>
  <c r="F2" i="47"/>
  <c r="F294" i="47"/>
  <c r="F20" i="24"/>
  <c r="E54" i="24"/>
  <c r="F463" i="47"/>
  <c r="E536" i="47"/>
  <c r="L36" i="24"/>
  <c r="E311" i="47"/>
  <c r="E345" i="47"/>
  <c r="F345" i="47"/>
  <c r="E226" i="47"/>
  <c r="F226" i="47"/>
  <c r="R75" i="49"/>
  <c r="H66" i="49"/>
  <c r="E210" i="47"/>
  <c r="F210" i="47"/>
  <c r="E217" i="47"/>
  <c r="F217" i="47"/>
  <c r="G153" i="47"/>
  <c r="O85" i="49"/>
  <c r="O95" i="49"/>
  <c r="D17" i="55"/>
  <c r="D18" i="55"/>
  <c r="D31" i="55"/>
  <c r="G18" i="50"/>
  <c r="R75" i="55"/>
  <c r="R81" i="55"/>
  <c r="AM81" i="55"/>
  <c r="E312" i="47"/>
  <c r="F312" i="47"/>
  <c r="F51" i="54"/>
  <c r="C46" i="55"/>
  <c r="D13" i="55"/>
  <c r="D33" i="55"/>
  <c r="D12" i="55"/>
  <c r="D32" i="55"/>
  <c r="F155" i="47"/>
  <c r="G66" i="49"/>
  <c r="P73" i="54"/>
  <c r="D35" i="55"/>
  <c r="G14" i="53"/>
  <c r="H66" i="55"/>
  <c r="I85" i="48"/>
  <c r="I82" i="48"/>
  <c r="P95" i="55"/>
  <c r="P85" i="55"/>
  <c r="E326" i="47"/>
  <c r="F326" i="47"/>
  <c r="E401" i="47"/>
  <c r="F52" i="32"/>
  <c r="G29" i="32"/>
  <c r="G37" i="32"/>
  <c r="E394" i="47"/>
  <c r="AM75" i="49"/>
  <c r="R81" i="49"/>
  <c r="M75" i="49"/>
  <c r="F536" i="47"/>
  <c r="E537" i="47"/>
  <c r="F537" i="47"/>
  <c r="E21" i="56"/>
  <c r="E22" i="56"/>
  <c r="E16" i="50"/>
  <c r="F16" i="50"/>
  <c r="G16" i="50"/>
  <c r="H16" i="50"/>
  <c r="E388" i="47"/>
  <c r="F388" i="47"/>
  <c r="E322" i="47"/>
  <c r="F322" i="47"/>
  <c r="G17" i="32"/>
  <c r="E314" i="47"/>
  <c r="F314" i="47"/>
  <c r="J18" i="50"/>
  <c r="H18" i="50"/>
  <c r="E318" i="47"/>
  <c r="F318" i="47"/>
  <c r="P68" i="55"/>
  <c r="P69" i="55"/>
  <c r="E393" i="47"/>
  <c r="F393" i="47"/>
  <c r="E435" i="47"/>
  <c r="F435" i="47"/>
  <c r="AM81" i="49"/>
  <c r="M81" i="49"/>
  <c r="G21" i="56"/>
  <c r="I21" i="56"/>
  <c r="F401" i="47"/>
  <c r="E485" i="47"/>
  <c r="F485" i="47"/>
  <c r="E555" i="47"/>
  <c r="F555" i="47"/>
  <c r="H153" i="47"/>
  <c r="E417" i="47"/>
  <c r="F417" i="47"/>
  <c r="E563" i="47"/>
  <c r="F563" i="47"/>
  <c r="I24" i="56"/>
  <c r="C12" i="56"/>
  <c r="E492" i="47"/>
  <c r="F492" i="47"/>
  <c r="E397" i="47"/>
  <c r="F397" i="47"/>
  <c r="D116" i="48"/>
  <c r="E116" i="48"/>
  <c r="O18" i="48"/>
  <c r="E320" i="47"/>
  <c r="F320" i="47"/>
  <c r="P102" i="54"/>
  <c r="P92" i="54"/>
  <c r="P75" i="54"/>
  <c r="P76" i="54"/>
  <c r="M88" i="52"/>
  <c r="AM88" i="52"/>
  <c r="G261" i="47"/>
  <c r="H261" i="47"/>
  <c r="D10" i="48"/>
  <c r="D76" i="48"/>
  <c r="D108" i="48"/>
  <c r="H152" i="47"/>
  <c r="G259" i="47"/>
  <c r="J261" i="47"/>
  <c r="K155" i="47"/>
  <c r="L154" i="47"/>
  <c r="K154" i="47"/>
  <c r="F340" i="47"/>
  <c r="F301" i="47"/>
  <c r="H265" i="47"/>
  <c r="H284" i="47"/>
  <c r="D22" i="48"/>
  <c r="H151" i="47"/>
  <c r="J155" i="47"/>
  <c r="L155" i="47"/>
  <c r="F18" i="48"/>
  <c r="I21" i="48"/>
  <c r="F23" i="56"/>
  <c r="G23" i="56"/>
  <c r="I23" i="56"/>
  <c r="B28" i="56"/>
  <c r="C28" i="56"/>
  <c r="E28" i="56"/>
  <c r="C13" i="56"/>
  <c r="J154" i="47"/>
  <c r="L265" i="47"/>
  <c r="L271" i="47"/>
  <c r="G260" i="47"/>
  <c r="F394" i="47"/>
  <c r="E418" i="47"/>
  <c r="F418" i="47"/>
  <c r="E55" i="24"/>
  <c r="E57" i="24"/>
  <c r="G57" i="24"/>
  <c r="F31" i="24"/>
  <c r="J31" i="24"/>
  <c r="E53" i="24"/>
  <c r="E50" i="24"/>
  <c r="E204" i="47"/>
  <c r="F204" i="47"/>
  <c r="E49" i="24"/>
  <c r="E389" i="47"/>
  <c r="F389" i="47"/>
  <c r="AM75" i="55"/>
  <c r="M75" i="55"/>
  <c r="AM88" i="53"/>
  <c r="G17" i="54"/>
  <c r="E334" i="47"/>
  <c r="F334" i="47"/>
  <c r="G18" i="52"/>
  <c r="G20" i="52"/>
  <c r="G42" i="52"/>
  <c r="G45" i="52"/>
  <c r="H45" i="52"/>
  <c r="S21" i="48"/>
  <c r="G85" i="48"/>
  <c r="G12" i="51"/>
  <c r="H15" i="51"/>
  <c r="E51" i="24"/>
  <c r="E202" i="47"/>
  <c r="F202" i="47"/>
  <c r="W26" i="48"/>
  <c r="L90" i="48"/>
  <c r="M81" i="55"/>
  <c r="F52" i="54"/>
  <c r="G29" i="54"/>
  <c r="G37" i="54"/>
  <c r="G11" i="54"/>
  <c r="E473" i="47"/>
  <c r="F473" i="47"/>
  <c r="E494" i="47"/>
  <c r="F494" i="47"/>
  <c r="E416" i="47"/>
  <c r="F416" i="47"/>
  <c r="F392" i="47"/>
  <c r="F311" i="47"/>
  <c r="E323" i="47"/>
  <c r="F323" i="47"/>
  <c r="E476" i="47"/>
  <c r="E549" i="47"/>
  <c r="F17" i="50"/>
  <c r="AF19" i="48"/>
  <c r="AD19" i="48"/>
  <c r="E399" i="47"/>
  <c r="F399" i="47"/>
  <c r="I2" i="47"/>
  <c r="F21" i="24"/>
  <c r="E200" i="47"/>
  <c r="E302" i="47"/>
  <c r="E220" i="47"/>
  <c r="F220" i="47"/>
  <c r="F460" i="47"/>
  <c r="F24" i="48"/>
  <c r="M82" i="53"/>
  <c r="P88" i="53"/>
  <c r="E310" i="47"/>
  <c r="F310" i="47"/>
  <c r="E308" i="47"/>
  <c r="E240" i="47"/>
  <c r="F240" i="47"/>
  <c r="E384" i="47"/>
  <c r="E225" i="47"/>
  <c r="F225" i="47"/>
  <c r="E241" i="47"/>
  <c r="F241" i="47"/>
  <c r="D15" i="51"/>
  <c r="F15" i="51"/>
  <c r="E475" i="47"/>
  <c r="F475" i="47"/>
  <c r="K84" i="48"/>
  <c r="Y20" i="48"/>
  <c r="AI20" i="48"/>
  <c r="Q84" i="48"/>
  <c r="E208" i="47"/>
  <c r="F208" i="47"/>
  <c r="E303" i="47"/>
  <c r="F303" i="47"/>
  <c r="E229" i="47"/>
  <c r="F229" i="47"/>
  <c r="D248" i="47"/>
  <c r="F248" i="47"/>
  <c r="T21" i="48"/>
  <c r="D23" i="49"/>
  <c r="F533" i="47"/>
  <c r="F25" i="48"/>
  <c r="E346" i="47"/>
  <c r="F346" i="47"/>
  <c r="E321" i="47"/>
  <c r="F321" i="47"/>
  <c r="X84" i="48"/>
  <c r="J82" i="48"/>
  <c r="O82" i="54"/>
  <c r="H73" i="54"/>
  <c r="E232" i="47"/>
  <c r="F232" i="47"/>
  <c r="P95" i="49"/>
  <c r="P85" i="49"/>
  <c r="E328" i="47"/>
  <c r="F328" i="47"/>
  <c r="E406" i="47"/>
  <c r="F406" i="47"/>
  <c r="F58" i="24"/>
  <c r="G58" i="24"/>
  <c r="AM82" i="32"/>
  <c r="E372" i="47"/>
  <c r="F296" i="47"/>
  <c r="N269" i="47"/>
  <c r="E484" i="47"/>
  <c r="F484" i="47"/>
  <c r="E407" i="47"/>
  <c r="F407" i="47"/>
  <c r="E206" i="47"/>
  <c r="F206" i="47"/>
  <c r="G34" i="52"/>
  <c r="G17" i="52"/>
  <c r="E224" i="47"/>
  <c r="F224" i="47"/>
  <c r="E239" i="47"/>
  <c r="F239" i="47"/>
  <c r="P75" i="52"/>
  <c r="P76" i="52"/>
  <c r="M82" i="32"/>
  <c r="E209" i="47"/>
  <c r="F209" i="47"/>
  <c r="AH72" i="55"/>
  <c r="U91" i="55"/>
  <c r="AH91" i="55"/>
  <c r="O88" i="32"/>
  <c r="D31" i="49"/>
  <c r="E213" i="47"/>
  <c r="F213" i="47"/>
  <c r="G66" i="55"/>
  <c r="M82" i="52"/>
  <c r="Y26" i="48"/>
  <c r="P68" i="49"/>
  <c r="P69" i="49"/>
  <c r="F55" i="53"/>
  <c r="G23" i="53"/>
  <c r="G44" i="53"/>
  <c r="F51" i="53"/>
  <c r="G11" i="53"/>
  <c r="F50" i="53"/>
  <c r="G21" i="53"/>
  <c r="G43" i="53"/>
  <c r="AD26" i="48"/>
  <c r="AH79" i="53"/>
  <c r="U98" i="53"/>
  <c r="AH98" i="53"/>
  <c r="F10" i="47"/>
  <c r="Q19" i="48"/>
  <c r="K26" i="24"/>
  <c r="L26" i="24"/>
  <c r="C43" i="55"/>
  <c r="D16" i="55"/>
  <c r="D36" i="55"/>
  <c r="F353" i="47"/>
  <c r="U22" i="48"/>
  <c r="U18" i="48"/>
  <c r="E227" i="47"/>
  <c r="F227" i="47"/>
  <c r="O102" i="52"/>
  <c r="O92" i="52"/>
  <c r="E215" i="47"/>
  <c r="F215" i="47"/>
  <c r="D19" i="55"/>
  <c r="U98" i="52"/>
  <c r="AH98" i="52"/>
  <c r="AH79" i="52"/>
  <c r="E236" i="47"/>
  <c r="F236" i="47"/>
  <c r="E317" i="47"/>
  <c r="F317" i="47"/>
  <c r="I15" i="51"/>
  <c r="G17" i="50"/>
  <c r="G15" i="53"/>
  <c r="G16" i="53"/>
  <c r="G18" i="53"/>
  <c r="G20" i="53"/>
  <c r="G42" i="53"/>
  <c r="G45" i="53"/>
  <c r="H45" i="53"/>
  <c r="E309" i="47"/>
  <c r="F309" i="47"/>
  <c r="E479" i="47"/>
  <c r="E89" i="24"/>
  <c r="E90" i="24"/>
  <c r="N156" i="47"/>
  <c r="H157" i="47"/>
  <c r="D21" i="48"/>
  <c r="M156" i="47"/>
  <c r="E395" i="47"/>
  <c r="F297" i="47"/>
  <c r="L22" i="48"/>
  <c r="G39" i="53"/>
  <c r="C15" i="56"/>
  <c r="G39" i="54"/>
  <c r="G39" i="52"/>
  <c r="G39" i="32"/>
  <c r="E396" i="47"/>
  <c r="F396" i="47"/>
  <c r="E325" i="47"/>
  <c r="F325" i="47"/>
  <c r="R22" i="48"/>
  <c r="AA22" i="48"/>
  <c r="Z22" i="48"/>
  <c r="AC22" i="48"/>
  <c r="AD22" i="48"/>
  <c r="C86" i="48"/>
  <c r="D86" i="48"/>
  <c r="E498" i="47"/>
  <c r="F498" i="47"/>
  <c r="N90" i="48"/>
  <c r="M90" i="48"/>
  <c r="AE26" i="48"/>
  <c r="AQ26" i="48"/>
  <c r="AS26" i="48"/>
  <c r="E306" i="47"/>
  <c r="M359" i="47"/>
  <c r="H359" i="47"/>
  <c r="H367" i="47"/>
  <c r="D23" i="48"/>
  <c r="D11" i="48"/>
  <c r="D77" i="48"/>
  <c r="D109" i="48"/>
  <c r="J359" i="47"/>
  <c r="L359" i="47"/>
  <c r="K359" i="47"/>
  <c r="E304" i="47"/>
  <c r="H17" i="50"/>
  <c r="G15" i="54"/>
  <c r="G16" i="54"/>
  <c r="G18" i="54"/>
  <c r="G20" i="54"/>
  <c r="G42" i="54"/>
  <c r="G45" i="54"/>
  <c r="H45" i="54"/>
  <c r="F308" i="47"/>
  <c r="E344" i="47"/>
  <c r="F344" i="47"/>
  <c r="F476" i="47"/>
  <c r="E508" i="47"/>
  <c r="F508" i="47"/>
  <c r="H259" i="47"/>
  <c r="G355" i="47"/>
  <c r="G38" i="53"/>
  <c r="G38" i="54"/>
  <c r="G38" i="52"/>
  <c r="G38" i="32"/>
  <c r="H260" i="47"/>
  <c r="AM21" i="48"/>
  <c r="G356" i="47"/>
  <c r="E575" i="47"/>
  <c r="F575" i="47"/>
  <c r="F549" i="47"/>
  <c r="E330" i="47"/>
  <c r="F330" i="47"/>
  <c r="C88" i="48"/>
  <c r="R24" i="48"/>
  <c r="G34" i="53"/>
  <c r="G17" i="53"/>
  <c r="I17" i="50"/>
  <c r="D20" i="49"/>
  <c r="D21" i="49"/>
  <c r="T30" i="48"/>
  <c r="T18" i="48"/>
  <c r="E331" i="47"/>
  <c r="F331" i="47"/>
  <c r="E480" i="47"/>
  <c r="F480" i="47"/>
  <c r="D113" i="48"/>
  <c r="E52" i="24"/>
  <c r="G52" i="24"/>
  <c r="F28" i="24"/>
  <c r="J28" i="24"/>
  <c r="L28" i="24"/>
  <c r="E48" i="24"/>
  <c r="G47" i="24"/>
  <c r="F27" i="24"/>
  <c r="J27" i="24"/>
  <c r="L27" i="24"/>
  <c r="E47" i="24"/>
  <c r="E59" i="24"/>
  <c r="E379" i="47"/>
  <c r="F379" i="47"/>
  <c r="F52" i="53"/>
  <c r="G29" i="53"/>
  <c r="G37" i="53"/>
  <c r="R25" i="48"/>
  <c r="C89" i="48"/>
  <c r="I18" i="48"/>
  <c r="D114" i="48"/>
  <c r="E385" i="47"/>
  <c r="F385" i="47"/>
  <c r="G24" i="56"/>
  <c r="AB21" i="48"/>
  <c r="F372" i="47"/>
  <c r="F373" i="47"/>
  <c r="L23" i="48"/>
  <c r="E464" i="47"/>
  <c r="J15" i="51"/>
  <c r="E497" i="47"/>
  <c r="F497" i="47"/>
  <c r="AH21" i="48"/>
  <c r="E489" i="47"/>
  <c r="F489" i="47"/>
  <c r="G15" i="32"/>
  <c r="G16" i="32"/>
  <c r="G18" i="32"/>
  <c r="G20" i="32"/>
  <c r="G42" i="32"/>
  <c r="G45" i="32"/>
  <c r="H45" i="32"/>
  <c r="E17" i="50"/>
  <c r="M82" i="54"/>
  <c r="O88" i="54"/>
  <c r="AM82" i="54"/>
  <c r="M88" i="53"/>
  <c r="E315" i="47"/>
  <c r="F315" i="47"/>
  <c r="G40" i="52"/>
  <c r="G46" i="52"/>
  <c r="E341" i="47"/>
  <c r="F341" i="47"/>
  <c r="F302" i="47"/>
  <c r="F200" i="47"/>
  <c r="F246" i="47"/>
  <c r="E408" i="47"/>
  <c r="M88" i="32"/>
  <c r="AM88" i="32"/>
  <c r="E561" i="47"/>
  <c r="F561" i="47"/>
  <c r="E386" i="47"/>
  <c r="G34" i="54"/>
  <c r="E316" i="47"/>
  <c r="F316" i="47"/>
  <c r="E398" i="47"/>
  <c r="E387" i="47"/>
  <c r="K83" i="48"/>
  <c r="X19" i="48"/>
  <c r="Y19" i="48"/>
  <c r="AI19" i="48"/>
  <c r="W19" i="48"/>
  <c r="E402" i="47"/>
  <c r="F402" i="47"/>
  <c r="E486" i="47"/>
  <c r="F486" i="47"/>
  <c r="M84" i="48"/>
  <c r="AR20" i="48"/>
  <c r="U84" i="48"/>
  <c r="AT20" i="48"/>
  <c r="AU20" i="48"/>
  <c r="F384" i="47"/>
  <c r="E432" i="47"/>
  <c r="F432" i="47"/>
  <c r="E421" i="47"/>
  <c r="F421" i="47"/>
  <c r="M83" i="48"/>
  <c r="W9" i="48"/>
  <c r="X9" i="48"/>
  <c r="AE19" i="48"/>
  <c r="N83" i="48"/>
  <c r="AQ19" i="48"/>
  <c r="AS19" i="48"/>
  <c r="D75" i="52"/>
  <c r="F19" i="50"/>
  <c r="E471" i="47"/>
  <c r="F471" i="47"/>
  <c r="F304" i="47"/>
  <c r="F337" i="47"/>
  <c r="E342" i="47"/>
  <c r="F342" i="47"/>
  <c r="F348" i="47"/>
  <c r="Q22" i="48"/>
  <c r="E414" i="47"/>
  <c r="F386" i="47"/>
  <c r="Z23" i="48"/>
  <c r="AC23" i="48"/>
  <c r="AA23" i="48"/>
  <c r="R23" i="48"/>
  <c r="C87" i="48"/>
  <c r="D87" i="48"/>
  <c r="P86" i="48"/>
  <c r="G86" i="48"/>
  <c r="S22" i="48"/>
  <c r="AB22" i="48"/>
  <c r="AH22" i="48"/>
  <c r="L18" i="48"/>
  <c r="E510" i="47"/>
  <c r="F510" i="47"/>
  <c r="F479" i="47"/>
  <c r="F398" i="47"/>
  <c r="E422" i="47"/>
  <c r="F422" i="47"/>
  <c r="E493" i="47"/>
  <c r="F493" i="47"/>
  <c r="E490" i="47"/>
  <c r="F490" i="47"/>
  <c r="E390" i="47"/>
  <c r="F390" i="47"/>
  <c r="E559" i="47"/>
  <c r="F559" i="47"/>
  <c r="G438" i="47"/>
  <c r="H438" i="47"/>
  <c r="H355" i="47"/>
  <c r="E478" i="47"/>
  <c r="V90" i="48"/>
  <c r="AG26" i="48"/>
  <c r="I30" i="24"/>
  <c r="K30" i="24"/>
  <c r="L30" i="24"/>
  <c r="D24" i="49"/>
  <c r="D37" i="49"/>
  <c r="G41" i="49"/>
  <c r="E487" i="47"/>
  <c r="F487" i="47"/>
  <c r="E499" i="47"/>
  <c r="F499" i="47"/>
  <c r="E551" i="47"/>
  <c r="W84" i="48"/>
  <c r="AW20" i="48"/>
  <c r="AY20" i="48"/>
  <c r="E391" i="47"/>
  <c r="D20" i="55"/>
  <c r="D21" i="55"/>
  <c r="J17" i="50"/>
  <c r="G439" i="47"/>
  <c r="H439" i="47"/>
  <c r="AM23" i="48"/>
  <c r="AM18" i="48"/>
  <c r="H356" i="47"/>
  <c r="AM22" i="48"/>
  <c r="E343" i="47"/>
  <c r="F343" i="47"/>
  <c r="F306" i="47"/>
  <c r="L86" i="48"/>
  <c r="AF22" i="48"/>
  <c r="AM30" i="48"/>
  <c r="S85" i="48"/>
  <c r="T85" i="48"/>
  <c r="E564" i="47"/>
  <c r="F564" i="47"/>
  <c r="G40" i="32"/>
  <c r="G46" i="32"/>
  <c r="E404" i="47"/>
  <c r="F404" i="47"/>
  <c r="G59" i="24"/>
  <c r="F32" i="24"/>
  <c r="J32" i="24"/>
  <c r="E380" i="47"/>
  <c r="F387" i="47"/>
  <c r="E434" i="47"/>
  <c r="F434" i="47"/>
  <c r="X90" i="48"/>
  <c r="G40" i="53"/>
  <c r="G46" i="53"/>
  <c r="C113" i="48"/>
  <c r="R21" i="48"/>
  <c r="H21" i="48"/>
  <c r="X21" i="48"/>
  <c r="D85" i="48"/>
  <c r="BA21" i="48"/>
  <c r="V21" i="48"/>
  <c r="C85" i="48"/>
  <c r="C82" i="48"/>
  <c r="D18" i="48"/>
  <c r="E477" i="47"/>
  <c r="F477" i="47"/>
  <c r="M88" i="54"/>
  <c r="AM88" i="54"/>
  <c r="F408" i="47"/>
  <c r="E423" i="47"/>
  <c r="F423" i="47"/>
  <c r="E488" i="47"/>
  <c r="F488" i="47"/>
  <c r="Q21" i="48"/>
  <c r="P21" i="48"/>
  <c r="E382" i="47"/>
  <c r="F395" i="47"/>
  <c r="E419" i="47"/>
  <c r="F419" i="47"/>
  <c r="AX19" i="48"/>
  <c r="G40" i="54"/>
  <c r="G46" i="54"/>
  <c r="E400" i="47"/>
  <c r="F400" i="47"/>
  <c r="G87" i="48"/>
  <c r="S23" i="48"/>
  <c r="AH23" i="48"/>
  <c r="AH18" i="48"/>
  <c r="AB23" i="48"/>
  <c r="AB18" i="48"/>
  <c r="E405" i="47"/>
  <c r="F405" i="47"/>
  <c r="E556" i="47"/>
  <c r="F556" i="47"/>
  <c r="F464" i="47"/>
  <c r="F465" i="47"/>
  <c r="L24" i="48"/>
  <c r="E538" i="47"/>
  <c r="F538" i="47"/>
  <c r="F539" i="47"/>
  <c r="L25" i="48"/>
  <c r="E378" i="47"/>
  <c r="P22" i="48"/>
  <c r="N270" i="47"/>
  <c r="AF23" i="48"/>
  <c r="AD23" i="48"/>
  <c r="E483" i="47"/>
  <c r="F483" i="47"/>
  <c r="E433" i="47"/>
  <c r="F433" i="47"/>
  <c r="F414" i="47"/>
  <c r="H19" i="50"/>
  <c r="D75" i="54"/>
  <c r="E560" i="47"/>
  <c r="F560" i="47"/>
  <c r="O86" i="48"/>
  <c r="E545" i="47"/>
  <c r="F545" i="47"/>
  <c r="E550" i="47"/>
  <c r="E85" i="48"/>
  <c r="E82" i="48"/>
  <c r="C114" i="48"/>
  <c r="E114" i="48"/>
  <c r="F85" i="48"/>
  <c r="F82" i="48"/>
  <c r="H18" i="48"/>
  <c r="E496" i="47"/>
  <c r="F496" i="47"/>
  <c r="Y21" i="48"/>
  <c r="E415" i="47"/>
  <c r="F415" i="47"/>
  <c r="F391" i="47"/>
  <c r="E509" i="47"/>
  <c r="F509" i="47"/>
  <c r="F478" i="47"/>
  <c r="E558" i="47"/>
  <c r="F558" i="47"/>
  <c r="E469" i="47"/>
  <c r="R30" i="48"/>
  <c r="D118" i="48"/>
  <c r="E118" i="48"/>
  <c r="L85" i="48"/>
  <c r="L82" i="48"/>
  <c r="R18" i="48"/>
  <c r="S25" i="48"/>
  <c r="L89" i="48"/>
  <c r="G89" i="48"/>
  <c r="AH25" i="48"/>
  <c r="AB25" i="48"/>
  <c r="O89" i="48"/>
  <c r="E113" i="48"/>
  <c r="T82" i="48"/>
  <c r="C122" i="48"/>
  <c r="E565" i="47"/>
  <c r="F565" i="47"/>
  <c r="D82" i="48"/>
  <c r="E472" i="47"/>
  <c r="E411" i="47"/>
  <c r="F378" i="47"/>
  <c r="L87" i="48"/>
  <c r="E557" i="47"/>
  <c r="F557" i="47"/>
  <c r="E37" i="49"/>
  <c r="G39" i="49"/>
  <c r="D38" i="49"/>
  <c r="S24" i="48"/>
  <c r="L88" i="48"/>
  <c r="G88" i="48"/>
  <c r="G82" i="48"/>
  <c r="AH24" i="48"/>
  <c r="AB24" i="48"/>
  <c r="O88" i="48"/>
  <c r="W21" i="48"/>
  <c r="AA21" i="48"/>
  <c r="AI21" i="48"/>
  <c r="S86" i="48"/>
  <c r="T86" i="48"/>
  <c r="AG19" i="48"/>
  <c r="AE21" i="48"/>
  <c r="AG21" i="48"/>
  <c r="M85" i="48"/>
  <c r="N85" i="48"/>
  <c r="I32" i="24"/>
  <c r="K32" i="24"/>
  <c r="L32" i="24"/>
  <c r="V83" i="48"/>
  <c r="E413" i="47"/>
  <c r="F382" i="47"/>
  <c r="E491" i="47"/>
  <c r="F491" i="47"/>
  <c r="S87" i="48"/>
  <c r="T87" i="48"/>
  <c r="P87" i="48"/>
  <c r="O87" i="48"/>
  <c r="E495" i="47"/>
  <c r="F495" i="47"/>
  <c r="D24" i="55"/>
  <c r="D37" i="55"/>
  <c r="G41" i="55"/>
  <c r="L30" i="48"/>
  <c r="D75" i="32"/>
  <c r="E19" i="50"/>
  <c r="AK69" i="52"/>
  <c r="AG69" i="52"/>
  <c r="AA69" i="52"/>
  <c r="W69" i="52"/>
  <c r="AJ69" i="52"/>
  <c r="AC69" i="52"/>
  <c r="V69" i="52"/>
  <c r="Z69" i="52"/>
  <c r="AB69" i="52"/>
  <c r="Y69" i="52"/>
  <c r="S69" i="52"/>
  <c r="AH69" i="52"/>
  <c r="AF69" i="52"/>
  <c r="AD69" i="52"/>
  <c r="AL69" i="52"/>
  <c r="AE69" i="52"/>
  <c r="AI69" i="52"/>
  <c r="R69" i="52"/>
  <c r="X69" i="52"/>
  <c r="U69" i="52"/>
  <c r="T69" i="52"/>
  <c r="E474" i="47"/>
  <c r="E412" i="47"/>
  <c r="F380" i="47"/>
  <c r="Z21" i="48"/>
  <c r="AQ21" i="48"/>
  <c r="E577" i="47"/>
  <c r="F577" i="47"/>
  <c r="F551" i="47"/>
  <c r="G19" i="50"/>
  <c r="D75" i="53"/>
  <c r="E482" i="47"/>
  <c r="F482" i="47"/>
  <c r="D115" i="48"/>
  <c r="K85" i="48"/>
  <c r="I31" i="24"/>
  <c r="K31" i="24"/>
  <c r="L31" i="24"/>
  <c r="M25" i="24"/>
  <c r="S18" i="48"/>
  <c r="V85" i="48"/>
  <c r="AS21" i="48"/>
  <c r="E553" i="47"/>
  <c r="F553" i="47"/>
  <c r="S81" i="52"/>
  <c r="E115" i="48"/>
  <c r="E576" i="47"/>
  <c r="F576" i="47"/>
  <c r="F550" i="47"/>
  <c r="AC81" i="52"/>
  <c r="AA81" i="52"/>
  <c r="AG81" i="52"/>
  <c r="AD21" i="48"/>
  <c r="AJ81" i="52"/>
  <c r="I19" i="50"/>
  <c r="D68" i="49"/>
  <c r="E544" i="47"/>
  <c r="Z81" i="52"/>
  <c r="S69" i="54"/>
  <c r="AB69" i="54"/>
  <c r="R69" i="54"/>
  <c r="AG69" i="54"/>
  <c r="Y69" i="54"/>
  <c r="X69" i="54"/>
  <c r="AK69" i="54"/>
  <c r="W69" i="54"/>
  <c r="AC69" i="54"/>
  <c r="V69" i="54"/>
  <c r="AJ69" i="54"/>
  <c r="T69" i="54"/>
  <c r="AH69" i="54"/>
  <c r="AA69" i="54"/>
  <c r="Z69" i="54"/>
  <c r="AD69" i="54"/>
  <c r="U69" i="54"/>
  <c r="AI69" i="54"/>
  <c r="AE69" i="54"/>
  <c r="AL69" i="54"/>
  <c r="AF69" i="54"/>
  <c r="Y81" i="52"/>
  <c r="F474" i="47"/>
  <c r="E507" i="47"/>
  <c r="F507" i="47"/>
  <c r="AB30" i="48"/>
  <c r="T81" i="52"/>
  <c r="AI81" i="52"/>
  <c r="U81" i="52"/>
  <c r="AH30" i="48"/>
  <c r="S30" i="48"/>
  <c r="E429" i="47"/>
  <c r="F429" i="47"/>
  <c r="F411" i="47"/>
  <c r="Z18" i="48"/>
  <c r="O85" i="48"/>
  <c r="O82" i="48"/>
  <c r="C120" i="48"/>
  <c r="P85" i="48"/>
  <c r="P82" i="48"/>
  <c r="AB69" i="53"/>
  <c r="Z69" i="53"/>
  <c r="Y69" i="53"/>
  <c r="X69" i="53"/>
  <c r="AI69" i="53"/>
  <c r="AK69" i="53"/>
  <c r="AH69" i="53"/>
  <c r="AF69" i="53"/>
  <c r="W69" i="53"/>
  <c r="AE69" i="53"/>
  <c r="AJ69" i="53"/>
  <c r="T69" i="53"/>
  <c r="AD69" i="53"/>
  <c r="AA69" i="53"/>
  <c r="U69" i="53"/>
  <c r="R69" i="53"/>
  <c r="S69" i="53"/>
  <c r="AC69" i="53"/>
  <c r="AL69" i="53"/>
  <c r="AG69" i="53"/>
  <c r="V69" i="53"/>
  <c r="AR19" i="48"/>
  <c r="E562" i="47"/>
  <c r="F562" i="47"/>
  <c r="X83" i="48"/>
  <c r="AB81" i="52"/>
  <c r="E548" i="47"/>
  <c r="AB69" i="32"/>
  <c r="AF69" i="32"/>
  <c r="V69" i="32"/>
  <c r="AJ69" i="32"/>
  <c r="AE69" i="32"/>
  <c r="AC69" i="32"/>
  <c r="X69" i="32"/>
  <c r="AG69" i="32"/>
  <c r="S69" i="32"/>
  <c r="AH69" i="32"/>
  <c r="AA69" i="32"/>
  <c r="W69" i="32"/>
  <c r="AI69" i="32"/>
  <c r="AL69" i="32"/>
  <c r="Z69" i="32"/>
  <c r="Y69" i="32"/>
  <c r="T69" i="32"/>
  <c r="AD69" i="32"/>
  <c r="U69" i="32"/>
  <c r="R69" i="32"/>
  <c r="AK69" i="32"/>
  <c r="AE81" i="52"/>
  <c r="AL72" i="52"/>
  <c r="AL81" i="52"/>
  <c r="AD81" i="52"/>
  <c r="D120" i="48"/>
  <c r="AA30" i="48"/>
  <c r="AA18" i="48"/>
  <c r="F472" i="47"/>
  <c r="E506" i="47"/>
  <c r="F506" i="47"/>
  <c r="F412" i="47"/>
  <c r="F425" i="47"/>
  <c r="P23" i="48"/>
  <c r="E430" i="47"/>
  <c r="F430" i="47"/>
  <c r="AK81" i="52"/>
  <c r="X81" i="52"/>
  <c r="AF81" i="52"/>
  <c r="E546" i="47"/>
  <c r="N271" i="47"/>
  <c r="Q265" i="47"/>
  <c r="V81" i="52"/>
  <c r="E552" i="47"/>
  <c r="F552" i="47"/>
  <c r="W81" i="52"/>
  <c r="R81" i="52"/>
  <c r="AC21" i="48"/>
  <c r="AH81" i="52"/>
  <c r="E37" i="55"/>
  <c r="G39" i="55"/>
  <c r="D38" i="55"/>
  <c r="F413" i="47"/>
  <c r="E431" i="47"/>
  <c r="F431" i="47"/>
  <c r="Q83" i="48"/>
  <c r="F469" i="47"/>
  <c r="E505" i="47"/>
  <c r="F505" i="47"/>
  <c r="K86" i="48"/>
  <c r="Y22" i="48"/>
  <c r="W22" i="48"/>
  <c r="X22" i="48"/>
  <c r="V22" i="48"/>
  <c r="X85" i="48"/>
  <c r="V23" i="48"/>
  <c r="P18" i="48"/>
  <c r="Y105" i="52"/>
  <c r="Y107" i="52"/>
  <c r="Y84" i="52"/>
  <c r="AD30" i="48"/>
  <c r="AD18" i="48"/>
  <c r="U105" i="52"/>
  <c r="U107" i="52"/>
  <c r="U84" i="52"/>
  <c r="AG81" i="53"/>
  <c r="AA81" i="54"/>
  <c r="E573" i="47"/>
  <c r="F573" i="47"/>
  <c r="F546" i="47"/>
  <c r="Y81" i="32"/>
  <c r="AA81" i="53"/>
  <c r="T84" i="52"/>
  <c r="T105" i="52"/>
  <c r="T107" i="52"/>
  <c r="AH81" i="54"/>
  <c r="E572" i="47"/>
  <c r="F572" i="47"/>
  <c r="F544" i="47"/>
  <c r="F568" i="47"/>
  <c r="P25" i="48"/>
  <c r="AB81" i="53"/>
  <c r="AB81" i="32"/>
  <c r="D68" i="55"/>
  <c r="J19" i="50"/>
  <c r="AD81" i="32"/>
  <c r="AH84" i="52"/>
  <c r="AH105" i="52"/>
  <c r="AH107" i="52"/>
  <c r="N86" i="48"/>
  <c r="M86" i="48"/>
  <c r="AE22" i="48"/>
  <c r="AG22" i="48"/>
  <c r="AQ22" i="48"/>
  <c r="AS22" i="48"/>
  <c r="AX22" i="48"/>
  <c r="AF21" i="48"/>
  <c r="AX21" i="48"/>
  <c r="Q85" i="48"/>
  <c r="AC18" i="48"/>
  <c r="AR21" i="48"/>
  <c r="U85" i="48"/>
  <c r="Z81" i="32"/>
  <c r="AB84" i="52"/>
  <c r="AB105" i="52"/>
  <c r="AB107" i="52"/>
  <c r="AD81" i="53"/>
  <c r="T81" i="54"/>
  <c r="AD62" i="49"/>
  <c r="Y62" i="49"/>
  <c r="X62" i="49"/>
  <c r="W62" i="49"/>
  <c r="Q62" i="49"/>
  <c r="AE62" i="49"/>
  <c r="AG62" i="49"/>
  <c r="S62" i="49"/>
  <c r="AC62" i="49"/>
  <c r="AF62" i="49"/>
  <c r="AL62" i="49"/>
  <c r="V62" i="49"/>
  <c r="R62" i="49"/>
  <c r="AH62" i="49"/>
  <c r="Z62" i="49"/>
  <c r="AI62" i="49"/>
  <c r="AK62" i="49"/>
  <c r="AB62" i="49"/>
  <c r="U62" i="49"/>
  <c r="T62" i="49"/>
  <c r="AA62" i="49"/>
  <c r="AJ62" i="49"/>
  <c r="AJ81" i="32"/>
  <c r="V81" i="32"/>
  <c r="R81" i="32"/>
  <c r="AC81" i="53"/>
  <c r="Z105" i="52"/>
  <c r="Z107" i="52"/>
  <c r="Z84" i="52"/>
  <c r="AF84" i="52"/>
  <c r="AF105" i="52"/>
  <c r="AF107" i="52"/>
  <c r="AL81" i="32"/>
  <c r="AL72" i="32"/>
  <c r="T81" i="53"/>
  <c r="E120" i="48"/>
  <c r="AJ81" i="54"/>
  <c r="Y81" i="53"/>
  <c r="V84" i="52"/>
  <c r="V105" i="52"/>
  <c r="V107" i="52"/>
  <c r="R81" i="53"/>
  <c r="Z81" i="54"/>
  <c r="R105" i="52"/>
  <c r="AM81" i="52"/>
  <c r="AD105" i="52"/>
  <c r="AD107" i="52"/>
  <c r="AD84" i="52"/>
  <c r="AI81" i="32"/>
  <c r="AJ81" i="53"/>
  <c r="V81" i="54"/>
  <c r="AE81" i="54"/>
  <c r="AD81" i="54"/>
  <c r="AC81" i="54"/>
  <c r="AK81" i="32"/>
  <c r="AL81" i="53"/>
  <c r="AL72" i="53"/>
  <c r="S81" i="53"/>
  <c r="AG84" i="52"/>
  <c r="AG105" i="52"/>
  <c r="AG107" i="52"/>
  <c r="W81" i="32"/>
  <c r="AE81" i="53"/>
  <c r="W105" i="52"/>
  <c r="W107" i="52"/>
  <c r="W84" i="52"/>
  <c r="AL73" i="52"/>
  <c r="AA81" i="32"/>
  <c r="W81" i="53"/>
  <c r="W81" i="54"/>
  <c r="AH81" i="53"/>
  <c r="F436" i="47"/>
  <c r="Q23" i="48"/>
  <c r="Y23" i="48"/>
  <c r="Y18" i="48"/>
  <c r="X81" i="54"/>
  <c r="AB81" i="54"/>
  <c r="Z81" i="53"/>
  <c r="S81" i="54"/>
  <c r="AI81" i="54"/>
  <c r="U81" i="54"/>
  <c r="U81" i="32"/>
  <c r="AI105" i="52"/>
  <c r="AI107" i="52"/>
  <c r="AI84" i="52"/>
  <c r="AL84" i="52"/>
  <c r="AH81" i="32"/>
  <c r="Y81" i="54"/>
  <c r="AA84" i="52"/>
  <c r="AA105" i="52"/>
  <c r="AA107" i="52"/>
  <c r="AE81" i="32"/>
  <c r="AF81" i="54"/>
  <c r="V81" i="53"/>
  <c r="AL72" i="54"/>
  <c r="AL81" i="54"/>
  <c r="AF81" i="32"/>
  <c r="I35" i="24"/>
  <c r="K35" i="24"/>
  <c r="L35" i="24"/>
  <c r="T81" i="32"/>
  <c r="U81" i="53"/>
  <c r="AF81" i="53"/>
  <c r="AK81" i="54"/>
  <c r="AI22" i="48"/>
  <c r="AR22" i="48"/>
  <c r="S81" i="32"/>
  <c r="AK84" i="52"/>
  <c r="AK105" i="52"/>
  <c r="AK107" i="52"/>
  <c r="F511" i="47"/>
  <c r="Q24" i="48"/>
  <c r="AE105" i="52"/>
  <c r="AE107" i="52"/>
  <c r="AE84" i="52"/>
  <c r="X81" i="32"/>
  <c r="AI81" i="53"/>
  <c r="AG81" i="54"/>
  <c r="S84" i="52"/>
  <c r="S105" i="52"/>
  <c r="E574" i="47"/>
  <c r="F574" i="47"/>
  <c r="F548" i="47"/>
  <c r="X105" i="52"/>
  <c r="X107" i="52"/>
  <c r="X84" i="52"/>
  <c r="AG81" i="32"/>
  <c r="AK81" i="53"/>
  <c r="F502" i="47"/>
  <c r="P24" i="48"/>
  <c r="AC81" i="32"/>
  <c r="U83" i="48"/>
  <c r="AT19" i="48"/>
  <c r="X81" i="53"/>
  <c r="R81" i="54"/>
  <c r="AJ84" i="52"/>
  <c r="AJ105" i="52"/>
  <c r="AJ107" i="52"/>
  <c r="AC105" i="52"/>
  <c r="AC107" i="52"/>
  <c r="AC84" i="52"/>
  <c r="W23" i="48"/>
  <c r="AD105" i="32"/>
  <c r="AD107" i="32"/>
  <c r="AD84" i="32"/>
  <c r="AF74" i="49"/>
  <c r="Z105" i="32"/>
  <c r="Z107" i="32"/>
  <c r="Z84" i="32"/>
  <c r="Q74" i="49"/>
  <c r="AD105" i="54"/>
  <c r="AD107" i="54"/>
  <c r="AD84" i="54"/>
  <c r="AD84" i="53"/>
  <c r="AD105" i="53"/>
  <c r="AD107" i="53"/>
  <c r="AF84" i="32"/>
  <c r="AF105" i="32"/>
  <c r="AF107" i="32"/>
  <c r="AE105" i="53"/>
  <c r="AE107" i="53"/>
  <c r="AE84" i="53"/>
  <c r="AM81" i="53"/>
  <c r="R105" i="53"/>
  <c r="R74" i="49"/>
  <c r="W18" i="48"/>
  <c r="V84" i="53"/>
  <c r="V105" i="53"/>
  <c r="V107" i="53"/>
  <c r="V84" i="54"/>
  <c r="V105" i="54"/>
  <c r="V107" i="54"/>
  <c r="Z62" i="55"/>
  <c r="AE62" i="55"/>
  <c r="Y62" i="55"/>
  <c r="V62" i="55"/>
  <c r="AA62" i="55"/>
  <c r="U62" i="55"/>
  <c r="AJ62" i="55"/>
  <c r="AF62" i="55"/>
  <c r="R62" i="55"/>
  <c r="AI62" i="55"/>
  <c r="AH62" i="55"/>
  <c r="AB62" i="55"/>
  <c r="X62" i="55"/>
  <c r="AK62" i="55"/>
  <c r="S62" i="55"/>
  <c r="T62" i="55"/>
  <c r="W62" i="55"/>
  <c r="AD62" i="55"/>
  <c r="Q62" i="55"/>
  <c r="AG62" i="55"/>
  <c r="AC62" i="55"/>
  <c r="AL62" i="55"/>
  <c r="S84" i="32"/>
  <c r="S105" i="32"/>
  <c r="AA84" i="54"/>
  <c r="AA105" i="54"/>
  <c r="AA107" i="54"/>
  <c r="V105" i="32"/>
  <c r="V107" i="32"/>
  <c r="V84" i="32"/>
  <c r="X84" i="32"/>
  <c r="X105" i="32"/>
  <c r="X107" i="32"/>
  <c r="AH84" i="32"/>
  <c r="AH105" i="32"/>
  <c r="AH107" i="32"/>
  <c r="AB84" i="54"/>
  <c r="AB105" i="54"/>
  <c r="AB107" i="54"/>
  <c r="AH74" i="49"/>
  <c r="AC84" i="32"/>
  <c r="AC105" i="32"/>
  <c r="AC107" i="32"/>
  <c r="AL84" i="54"/>
  <c r="AE84" i="54"/>
  <c r="AE105" i="54"/>
  <c r="AE107" i="54"/>
  <c r="V74" i="49"/>
  <c r="W84" i="32"/>
  <c r="W105" i="32"/>
  <c r="W107" i="32"/>
  <c r="U105" i="54"/>
  <c r="U107" i="54"/>
  <c r="U84" i="54"/>
  <c r="AK84" i="32"/>
  <c r="AK105" i="32"/>
  <c r="AK107" i="32"/>
  <c r="X74" i="49"/>
  <c r="V30" i="48"/>
  <c r="F578" i="47"/>
  <c r="Q25" i="48"/>
  <c r="D117" i="48"/>
  <c r="AG74" i="49"/>
  <c r="V18" i="48"/>
  <c r="W105" i="54"/>
  <c r="W107" i="54"/>
  <c r="W84" i="54"/>
  <c r="AF84" i="53"/>
  <c r="AF105" i="53"/>
  <c r="AF107" i="53"/>
  <c r="Y74" i="49"/>
  <c r="AL73" i="54"/>
  <c r="AL75" i="54"/>
  <c r="X84" i="54"/>
  <c r="X105" i="54"/>
  <c r="X107" i="54"/>
  <c r="AL65" i="49"/>
  <c r="AL74" i="49"/>
  <c r="Q30" i="48"/>
  <c r="Q18" i="48"/>
  <c r="AT21" i="48"/>
  <c r="AU21" i="48"/>
  <c r="S74" i="49"/>
  <c r="X23" i="48"/>
  <c r="U105" i="32"/>
  <c r="U107" i="32"/>
  <c r="U84" i="32"/>
  <c r="AK105" i="54"/>
  <c r="AK107" i="54"/>
  <c r="AK84" i="54"/>
  <c r="AI105" i="32"/>
  <c r="AI107" i="32"/>
  <c r="AI84" i="32"/>
  <c r="K89" i="48"/>
  <c r="W25" i="48"/>
  <c r="Y25" i="48"/>
  <c r="X25" i="48"/>
  <c r="AI25" i="48"/>
  <c r="AJ74" i="49"/>
  <c r="AI105" i="54"/>
  <c r="AI107" i="54"/>
  <c r="AI84" i="54"/>
  <c r="W105" i="53"/>
  <c r="W107" i="53"/>
  <c r="W84" i="53"/>
  <c r="AJ105" i="54"/>
  <c r="AJ107" i="54"/>
  <c r="AJ84" i="54"/>
  <c r="AA74" i="49"/>
  <c r="AD74" i="49"/>
  <c r="AH105" i="54"/>
  <c r="AH107" i="54"/>
  <c r="AH84" i="54"/>
  <c r="AH84" i="53"/>
  <c r="AH105" i="53"/>
  <c r="AH107" i="53"/>
  <c r="AG84" i="32"/>
  <c r="AG105" i="32"/>
  <c r="AG107" i="32"/>
  <c r="Y84" i="53"/>
  <c r="Y105" i="53"/>
  <c r="Y107" i="53"/>
  <c r="AE74" i="49"/>
  <c r="K87" i="48"/>
  <c r="AM105" i="52"/>
  <c r="U74" i="49"/>
  <c r="T105" i="54"/>
  <c r="T107" i="54"/>
  <c r="T84" i="54"/>
  <c r="V86" i="48"/>
  <c r="U86" i="48"/>
  <c r="AQ18" i="48"/>
  <c r="T74" i="49"/>
  <c r="T105" i="32"/>
  <c r="T107" i="32"/>
  <c r="T84" i="32"/>
  <c r="AL102" i="52"/>
  <c r="AL103" i="52"/>
  <c r="AL92" i="52"/>
  <c r="AL93" i="52"/>
  <c r="AL94" i="52"/>
  <c r="AB74" i="49"/>
  <c r="AC74" i="49"/>
  <c r="AJ105" i="53"/>
  <c r="AJ107" i="53"/>
  <c r="AJ84" i="53"/>
  <c r="R105" i="32"/>
  <c r="AM81" i="32"/>
  <c r="AF84" i="54"/>
  <c r="AF105" i="54"/>
  <c r="AF107" i="54"/>
  <c r="S84" i="53"/>
  <c r="S105" i="53"/>
  <c r="AJ84" i="32"/>
  <c r="AJ105" i="32"/>
  <c r="AJ107" i="32"/>
  <c r="W74" i="49"/>
  <c r="U105" i="53"/>
  <c r="U107" i="53"/>
  <c r="U84" i="53"/>
  <c r="Y84" i="54"/>
  <c r="Y105" i="54"/>
  <c r="Y107" i="54"/>
  <c r="S105" i="54"/>
  <c r="S84" i="54"/>
  <c r="AA84" i="32"/>
  <c r="AA105" i="32"/>
  <c r="AA107" i="32"/>
  <c r="AM81" i="54"/>
  <c r="R105" i="54"/>
  <c r="AG84" i="54"/>
  <c r="AG105" i="54"/>
  <c r="AG107" i="54"/>
  <c r="T105" i="53"/>
  <c r="T107" i="53"/>
  <c r="T84" i="53"/>
  <c r="Z84" i="53"/>
  <c r="Z105" i="53"/>
  <c r="Z107" i="53"/>
  <c r="AL75" i="52"/>
  <c r="I38" i="24"/>
  <c r="K38" i="24"/>
  <c r="L38" i="24"/>
  <c r="AL73" i="32"/>
  <c r="AL75" i="32"/>
  <c r="AK74" i="49"/>
  <c r="Q86" i="48"/>
  <c r="AE18" i="48"/>
  <c r="AT22" i="48"/>
  <c r="AU22" i="48"/>
  <c r="AA84" i="53"/>
  <c r="AA105" i="53"/>
  <c r="AA107" i="53"/>
  <c r="K88" i="48"/>
  <c r="X24" i="48"/>
  <c r="W24" i="48"/>
  <c r="W30" i="48"/>
  <c r="Y24" i="48"/>
  <c r="AC84" i="53"/>
  <c r="AC105" i="53"/>
  <c r="AC107" i="53"/>
  <c r="N87" i="48"/>
  <c r="M87" i="48"/>
  <c r="AE23" i="48"/>
  <c r="AG23" i="48"/>
  <c r="AQ23" i="48"/>
  <c r="AX23" i="48"/>
  <c r="AK84" i="53"/>
  <c r="AK105" i="53"/>
  <c r="AK107" i="53"/>
  <c r="AB84" i="32"/>
  <c r="AB105" i="32"/>
  <c r="AB107" i="32"/>
  <c r="AL73" i="53"/>
  <c r="AL75" i="53"/>
  <c r="AE105" i="32"/>
  <c r="AE107" i="32"/>
  <c r="AE84" i="32"/>
  <c r="AL84" i="53"/>
  <c r="AF18" i="48"/>
  <c r="AF30" i="48"/>
  <c r="AB84" i="53"/>
  <c r="AB105" i="53"/>
  <c r="AB107" i="53"/>
  <c r="AG84" i="53"/>
  <c r="AG105" i="53"/>
  <c r="AG107" i="53"/>
  <c r="X84" i="53"/>
  <c r="X105" i="53"/>
  <c r="X107" i="53"/>
  <c r="AI105" i="53"/>
  <c r="AI107" i="53"/>
  <c r="AI84" i="53"/>
  <c r="AC84" i="54"/>
  <c r="AC105" i="54"/>
  <c r="AC107" i="54"/>
  <c r="AL84" i="32"/>
  <c r="AI74" i="49"/>
  <c r="AU19" i="48"/>
  <c r="Z84" i="54"/>
  <c r="Z105" i="54"/>
  <c r="Z107" i="54"/>
  <c r="Z74" i="49"/>
  <c r="Y84" i="32"/>
  <c r="Y105" i="32"/>
  <c r="Y107" i="32"/>
  <c r="AG18" i="48"/>
  <c r="E117" i="48"/>
  <c r="W86" i="48"/>
  <c r="AW22" i="48"/>
  <c r="AY22" i="48"/>
  <c r="M82" i="48"/>
  <c r="AJ98" i="49"/>
  <c r="AJ100" i="49"/>
  <c r="AJ77" i="49"/>
  <c r="Y98" i="49"/>
  <c r="Y100" i="49"/>
  <c r="Y77" i="49"/>
  <c r="AH74" i="55"/>
  <c r="X30" i="48"/>
  <c r="AI23" i="48"/>
  <c r="X18" i="48"/>
  <c r="D119" i="48"/>
  <c r="AI74" i="55"/>
  <c r="R74" i="55"/>
  <c r="X74" i="55"/>
  <c r="AD77" i="49"/>
  <c r="AD98" i="49"/>
  <c r="AD100" i="49"/>
  <c r="M88" i="48"/>
  <c r="N88" i="48"/>
  <c r="N82" i="48"/>
  <c r="AE24" i="48"/>
  <c r="AQ24" i="48"/>
  <c r="AG24" i="48"/>
  <c r="AG30" i="48"/>
  <c r="AX24" i="48"/>
  <c r="AW21" i="48"/>
  <c r="AY21" i="48"/>
  <c r="BB21" i="48"/>
  <c r="BD21" i="48"/>
  <c r="AZ21" i="48"/>
  <c r="AZ20" i="48"/>
  <c r="W85" i="48"/>
  <c r="AV21" i="48"/>
  <c r="U74" i="55"/>
  <c r="R98" i="49"/>
  <c r="V87" i="48"/>
  <c r="X87" i="48"/>
  <c r="AE25" i="48"/>
  <c r="AR25" i="48"/>
  <c r="AG25" i="48"/>
  <c r="N89" i="48"/>
  <c r="AQ25" i="48"/>
  <c r="M89" i="48"/>
  <c r="AX25" i="48"/>
  <c r="AA74" i="55"/>
  <c r="AF77" i="49"/>
  <c r="AF98" i="49"/>
  <c r="AF100" i="49"/>
  <c r="AS23" i="48"/>
  <c r="V74" i="55"/>
  <c r="AM105" i="53"/>
  <c r="AB74" i="55"/>
  <c r="AJ74" i="55"/>
  <c r="AB77" i="49"/>
  <c r="AB98" i="49"/>
  <c r="AB100" i="49"/>
  <c r="AA77" i="49"/>
  <c r="AA98" i="49"/>
  <c r="AA100" i="49"/>
  <c r="Y74" i="55"/>
  <c r="Z98" i="49"/>
  <c r="Z100" i="49"/>
  <c r="Z77" i="49"/>
  <c r="W98" i="49"/>
  <c r="W100" i="49"/>
  <c r="W77" i="49"/>
  <c r="U77" i="49"/>
  <c r="U98" i="49"/>
  <c r="U100" i="49"/>
  <c r="X98" i="49"/>
  <c r="X100" i="49"/>
  <c r="X77" i="49"/>
  <c r="AL65" i="55"/>
  <c r="AL74" i="55"/>
  <c r="AE74" i="55"/>
  <c r="V77" i="49"/>
  <c r="V98" i="49"/>
  <c r="V100" i="49"/>
  <c r="AC77" i="49"/>
  <c r="AC98" i="49"/>
  <c r="AC100" i="49"/>
  <c r="C119" i="48"/>
  <c r="AM105" i="54"/>
  <c r="K82" i="48"/>
  <c r="AG98" i="49"/>
  <c r="AG100" i="49"/>
  <c r="AG77" i="49"/>
  <c r="Q74" i="55"/>
  <c r="AL102" i="54"/>
  <c r="AL103" i="54"/>
  <c r="AL92" i="54"/>
  <c r="AL93" i="54"/>
  <c r="AL94" i="54"/>
  <c r="AK74" i="55"/>
  <c r="AL94" i="32"/>
  <c r="S98" i="49"/>
  <c r="S100" i="49"/>
  <c r="S77" i="49"/>
  <c r="AL77" i="49"/>
  <c r="AL98" i="49"/>
  <c r="AH77" i="49"/>
  <c r="AH98" i="49"/>
  <c r="AH100" i="49"/>
  <c r="AD74" i="55"/>
  <c r="AI24" i="48"/>
  <c r="AF74" i="55"/>
  <c r="Z74" i="55"/>
  <c r="W83" i="48"/>
  <c r="AW19" i="48"/>
  <c r="AG74" i="55"/>
  <c r="AC74" i="55"/>
  <c r="AL94" i="53"/>
  <c r="AK77" i="49"/>
  <c r="AK98" i="49"/>
  <c r="AK100" i="49"/>
  <c r="W74" i="55"/>
  <c r="X86" i="48"/>
  <c r="AM105" i="32"/>
  <c r="T98" i="49"/>
  <c r="T100" i="49"/>
  <c r="T77" i="49"/>
  <c r="T74" i="55"/>
  <c r="AL102" i="53"/>
  <c r="AL103" i="53"/>
  <c r="AL92" i="53"/>
  <c r="AL93" i="53"/>
  <c r="Q98" i="49"/>
  <c r="AM74" i="49"/>
  <c r="AE77" i="49"/>
  <c r="AE98" i="49"/>
  <c r="AE100" i="49"/>
  <c r="AL68" i="49"/>
  <c r="AL66" i="49"/>
  <c r="AI98" i="49"/>
  <c r="AI100" i="49"/>
  <c r="AI77" i="49"/>
  <c r="AL102" i="32"/>
  <c r="AL103" i="32"/>
  <c r="AL92" i="32"/>
  <c r="AL93" i="32"/>
  <c r="AR23" i="48"/>
  <c r="U87" i="48"/>
  <c r="S74" i="55"/>
  <c r="AT23" i="48"/>
  <c r="AR24" i="48"/>
  <c r="AG77" i="55"/>
  <c r="AG98" i="55"/>
  <c r="AG100" i="55"/>
  <c r="AT24" i="48"/>
  <c r="AC98" i="55"/>
  <c r="AC100" i="55"/>
  <c r="AC77" i="55"/>
  <c r="AI98" i="55"/>
  <c r="AI100" i="55"/>
  <c r="AI77" i="55"/>
  <c r="AB98" i="55"/>
  <c r="AB100" i="55"/>
  <c r="AB77" i="55"/>
  <c r="AA77" i="55"/>
  <c r="AA98" i="55"/>
  <c r="AA100" i="55"/>
  <c r="AU23" i="48"/>
  <c r="AF77" i="55"/>
  <c r="AF98" i="55"/>
  <c r="AF100" i="55"/>
  <c r="X88" i="48"/>
  <c r="AJ98" i="55"/>
  <c r="AJ100" i="55"/>
  <c r="AJ77" i="55"/>
  <c r="V77" i="55"/>
  <c r="V98" i="55"/>
  <c r="V100" i="55"/>
  <c r="X98" i="55"/>
  <c r="X100" i="55"/>
  <c r="X77" i="55"/>
  <c r="AM74" i="55"/>
  <c r="Q98" i="55"/>
  <c r="E119" i="48"/>
  <c r="C124" i="48"/>
  <c r="AL98" i="55"/>
  <c r="AL77" i="55"/>
  <c r="V89" i="48"/>
  <c r="X89" i="48"/>
  <c r="U89" i="48"/>
  <c r="U77" i="55"/>
  <c r="U98" i="55"/>
  <c r="U100" i="55"/>
  <c r="AK77" i="55"/>
  <c r="AK98" i="55"/>
  <c r="AK100" i="55"/>
  <c r="V88" i="48"/>
  <c r="U88" i="48"/>
  <c r="C123" i="48"/>
  <c r="AM98" i="49"/>
  <c r="R98" i="55"/>
  <c r="Q88" i="48"/>
  <c r="AE30" i="48"/>
  <c r="AH98" i="55"/>
  <c r="AH100" i="55"/>
  <c r="AH77" i="55"/>
  <c r="T77" i="55"/>
  <c r="T98" i="55"/>
  <c r="T100" i="55"/>
  <c r="AS24" i="48"/>
  <c r="AU24" i="48"/>
  <c r="AE98" i="55"/>
  <c r="AE100" i="55"/>
  <c r="AE77" i="55"/>
  <c r="AL85" i="49"/>
  <c r="AL86" i="49"/>
  <c r="AL87" i="49"/>
  <c r="AL95" i="49"/>
  <c r="AL96" i="49"/>
  <c r="AY19" i="48"/>
  <c r="AS25" i="48"/>
  <c r="W77" i="55"/>
  <c r="W98" i="55"/>
  <c r="W100" i="55"/>
  <c r="AL68" i="55"/>
  <c r="AL66" i="55"/>
  <c r="AD77" i="55"/>
  <c r="AD98" i="55"/>
  <c r="AD100" i="55"/>
  <c r="Y77" i="55"/>
  <c r="Y98" i="55"/>
  <c r="Y100" i="55"/>
  <c r="Q89" i="48"/>
  <c r="AT25" i="48"/>
  <c r="Q87" i="48"/>
  <c r="S98" i="55"/>
  <c r="S100" i="55"/>
  <c r="S77" i="55"/>
  <c r="Z77" i="55"/>
  <c r="Z98" i="55"/>
  <c r="Z100" i="55"/>
  <c r="X82" i="48"/>
  <c r="X93" i="48"/>
  <c r="X95" i="48"/>
  <c r="AL85" i="55"/>
  <c r="AL86" i="55"/>
  <c r="AL87" i="55"/>
  <c r="AL95" i="55"/>
  <c r="AL96" i="55"/>
  <c r="AW24" i="48"/>
  <c r="AY24" i="48"/>
  <c r="W88" i="48"/>
  <c r="AM98" i="55"/>
  <c r="AS18" i="48"/>
  <c r="W87" i="48"/>
  <c r="AW23" i="48"/>
  <c r="V82" i="48"/>
  <c r="AS27" i="48"/>
  <c r="AS29" i="48"/>
  <c r="AU25" i="48"/>
  <c r="AP26" i="48"/>
  <c r="AI26" i="48"/>
  <c r="AP30" i="48"/>
  <c r="AI30" i="48"/>
  <c r="AT30" i="48"/>
  <c r="S90" i="48"/>
  <c r="AP18" i="48"/>
  <c r="AX26" i="48"/>
  <c r="AY23" i="48"/>
  <c r="W89" i="48"/>
  <c r="AW25" i="48"/>
  <c r="AY25" i="48"/>
  <c r="AU30" i="48"/>
  <c r="BN16" i="48"/>
  <c r="E122" i="48"/>
  <c r="D122" i="48"/>
  <c r="S82" i="48"/>
  <c r="D121" i="48"/>
  <c r="E121" i="48"/>
  <c r="AI18" i="48"/>
  <c r="AR26" i="48"/>
  <c r="AT26" i="48"/>
  <c r="Q90" i="48"/>
  <c r="Q82" i="48"/>
  <c r="AX18" i="48"/>
  <c r="AX27" i="48"/>
  <c r="AU26" i="48"/>
  <c r="AT18" i="48"/>
  <c r="AT27" i="48"/>
  <c r="J66" i="49"/>
  <c r="J66" i="55"/>
  <c r="AR18" i="48"/>
  <c r="D123" i="48"/>
  <c r="U90" i="48"/>
  <c r="U82" i="48"/>
  <c r="E127" i="48"/>
  <c r="W94" i="48"/>
  <c r="Q99" i="55"/>
  <c r="R99" i="55"/>
  <c r="R100" i="55"/>
  <c r="R99" i="49"/>
  <c r="R100" i="49"/>
  <c r="Q99" i="49"/>
  <c r="D124" i="48"/>
  <c r="E123" i="48"/>
  <c r="E124" i="48"/>
  <c r="AW26" i="48"/>
  <c r="W90" i="48"/>
  <c r="AV19" i="48"/>
  <c r="AU27" i="48"/>
  <c r="AU18" i="48"/>
  <c r="BJ1" i="48"/>
  <c r="AY26" i="48"/>
  <c r="AY18" i="48"/>
  <c r="AW18" i="48"/>
  <c r="L99" i="49"/>
  <c r="Q100" i="49"/>
  <c r="W82" i="48"/>
  <c r="W91" i="48"/>
  <c r="L99" i="55"/>
  <c r="Q100" i="55"/>
  <c r="BJ10" i="48"/>
  <c r="BJ12" i="48"/>
  <c r="BJ11" i="48"/>
  <c r="BJ13" i="48"/>
  <c r="BJ14" i="48"/>
  <c r="J73" i="54"/>
  <c r="J73" i="52"/>
  <c r="J73" i="32"/>
  <c r="J73" i="53"/>
  <c r="BL11" i="48"/>
  <c r="BK11" i="48"/>
  <c r="C62" i="55"/>
  <c r="C62" i="49"/>
  <c r="C61" i="49"/>
  <c r="BL10" i="48"/>
  <c r="C61" i="55"/>
  <c r="BJ15" i="48"/>
  <c r="BK10" i="48"/>
  <c r="BL14" i="48"/>
  <c r="C65" i="55"/>
  <c r="E65" i="55"/>
  <c r="I65" i="55"/>
  <c r="C65" i="49"/>
  <c r="E65" i="49"/>
  <c r="I65" i="49"/>
  <c r="BK14" i="48"/>
  <c r="BL13" i="48"/>
  <c r="C64" i="55"/>
  <c r="C64" i="49"/>
  <c r="BL12" i="48"/>
  <c r="C63" i="55"/>
  <c r="BK12" i="48"/>
  <c r="C63" i="49"/>
  <c r="BK15" i="48"/>
  <c r="Q94" i="55"/>
  <c r="E63" i="55"/>
  <c r="BM12" i="48"/>
  <c r="S106" i="53"/>
  <c r="S107" i="53"/>
  <c r="R106" i="53"/>
  <c r="S106" i="32"/>
  <c r="S107" i="32"/>
  <c r="R106" i="32"/>
  <c r="Q94" i="49"/>
  <c r="E63" i="49"/>
  <c r="BM11" i="48"/>
  <c r="R106" i="54"/>
  <c r="S106" i="54"/>
  <c r="S107" i="54"/>
  <c r="E61" i="55"/>
  <c r="C66" i="55"/>
  <c r="K94" i="55"/>
  <c r="O94" i="55"/>
  <c r="E62" i="49"/>
  <c r="P94" i="49"/>
  <c r="P96" i="49"/>
  <c r="E62" i="55"/>
  <c r="P94" i="55"/>
  <c r="P96" i="55"/>
  <c r="E64" i="55"/>
  <c r="R94" i="55"/>
  <c r="S106" i="52"/>
  <c r="S107" i="52"/>
  <c r="R106" i="52"/>
  <c r="BL15" i="48"/>
  <c r="BM10" i="48"/>
  <c r="C66" i="49"/>
  <c r="K94" i="49"/>
  <c r="E61" i="49"/>
  <c r="O94" i="49"/>
  <c r="R94" i="49"/>
  <c r="E64" i="49"/>
  <c r="BM13" i="48"/>
  <c r="BN14" i="48"/>
  <c r="P103" i="49"/>
  <c r="P102" i="49"/>
  <c r="E66" i="55"/>
  <c r="L106" i="54"/>
  <c r="R107" i="54"/>
  <c r="O96" i="49"/>
  <c r="L94" i="49"/>
  <c r="AM94" i="49"/>
  <c r="AP94" i="49"/>
  <c r="AM94" i="55"/>
  <c r="AP94" i="55"/>
  <c r="L94" i="55"/>
  <c r="O96" i="55"/>
  <c r="L106" i="32"/>
  <c r="R107" i="32"/>
  <c r="L106" i="53"/>
  <c r="R107" i="53"/>
  <c r="L106" i="52"/>
  <c r="R107" i="52"/>
  <c r="BN12" i="48"/>
  <c r="F63" i="49"/>
  <c r="I63" i="49"/>
  <c r="Q76" i="49"/>
  <c r="F63" i="55"/>
  <c r="I63" i="55"/>
  <c r="Q76" i="55"/>
  <c r="E66" i="49"/>
  <c r="P102" i="55"/>
  <c r="P103" i="55"/>
  <c r="BN13" i="48"/>
  <c r="F64" i="49"/>
  <c r="I64" i="49"/>
  <c r="R76" i="49"/>
  <c r="F64" i="55"/>
  <c r="F62" i="55"/>
  <c r="I62" i="55"/>
  <c r="P76" i="55"/>
  <c r="F62" i="49"/>
  <c r="I62" i="49"/>
  <c r="P76" i="49"/>
  <c r="BN11" i="48"/>
  <c r="BN10" i="48"/>
  <c r="F61" i="55"/>
  <c r="I61" i="55"/>
  <c r="F61" i="49"/>
  <c r="BM15" i="48"/>
  <c r="AT28" i="48"/>
  <c r="I64" i="55"/>
  <c r="R76" i="55"/>
  <c r="P82" i="55"/>
  <c r="P86" i="55"/>
  <c r="P77" i="55"/>
  <c r="P87" i="55"/>
  <c r="I66" i="55"/>
  <c r="K66" i="55"/>
  <c r="O76" i="55"/>
  <c r="P82" i="49"/>
  <c r="P86" i="49"/>
  <c r="P77" i="49"/>
  <c r="R82" i="49"/>
  <c r="R77" i="49"/>
  <c r="Q82" i="55"/>
  <c r="Q77" i="55"/>
  <c r="Q82" i="49"/>
  <c r="Q77" i="49"/>
  <c r="O103" i="49"/>
  <c r="O102" i="49"/>
  <c r="AU28" i="48"/>
  <c r="AT29" i="48"/>
  <c r="F66" i="55"/>
  <c r="R82" i="55"/>
  <c r="R77" i="55"/>
  <c r="O102" i="55"/>
  <c r="O103" i="55"/>
  <c r="F66" i="49"/>
  <c r="BN15" i="48"/>
  <c r="BN17" i="48"/>
  <c r="I61" i="49"/>
  <c r="P87" i="49"/>
  <c r="O76" i="49"/>
  <c r="I66" i="49"/>
  <c r="K66" i="49"/>
  <c r="C71" i="54"/>
  <c r="C71" i="53"/>
  <c r="C71" i="32"/>
  <c r="C71" i="52"/>
  <c r="C72" i="53"/>
  <c r="E72" i="53"/>
  <c r="C72" i="52"/>
  <c r="E72" i="52"/>
  <c r="C72" i="54"/>
  <c r="E72" i="54"/>
  <c r="C72" i="32"/>
  <c r="E72" i="32"/>
  <c r="C69" i="54"/>
  <c r="C69" i="52"/>
  <c r="C69" i="53"/>
  <c r="C69" i="32"/>
  <c r="C68" i="53"/>
  <c r="C68" i="54"/>
  <c r="C68" i="52"/>
  <c r="C68" i="32"/>
  <c r="AO63" i="55"/>
  <c r="BM64" i="55"/>
  <c r="E125" i="48"/>
  <c r="E126" i="48"/>
  <c r="E128" i="48"/>
  <c r="W92" i="48"/>
  <c r="W93" i="48"/>
  <c r="W95" i="48"/>
  <c r="AU29" i="48"/>
  <c r="AU31" i="48"/>
  <c r="C70" i="32"/>
  <c r="C70" i="52"/>
  <c r="C70" i="53"/>
  <c r="C70" i="54"/>
  <c r="M76" i="55"/>
  <c r="AM76" i="55"/>
  <c r="O82" i="55"/>
  <c r="O77" i="55"/>
  <c r="G72" i="32"/>
  <c r="I72" i="32"/>
  <c r="I72" i="54"/>
  <c r="G72" i="54"/>
  <c r="AM82" i="55"/>
  <c r="M82" i="55"/>
  <c r="O86" i="55"/>
  <c r="E69" i="32"/>
  <c r="P101" i="32"/>
  <c r="P103" i="32"/>
  <c r="M77" i="55"/>
  <c r="Q83" i="55"/>
  <c r="O87" i="55"/>
  <c r="AM77" i="55"/>
  <c r="P101" i="52"/>
  <c r="P103" i="52"/>
  <c r="E69" i="52"/>
  <c r="E70" i="54"/>
  <c r="Q101" i="54"/>
  <c r="R101" i="53"/>
  <c r="E71" i="53"/>
  <c r="E71" i="32"/>
  <c r="R101" i="32"/>
  <c r="R101" i="54"/>
  <c r="E71" i="54"/>
  <c r="P101" i="54"/>
  <c r="P103" i="54"/>
  <c r="E69" i="54"/>
  <c r="R101" i="52"/>
  <c r="E71" i="52"/>
  <c r="F69" i="32"/>
  <c r="F69" i="53"/>
  <c r="F69" i="52"/>
  <c r="F69" i="54"/>
  <c r="I15" i="50"/>
  <c r="J15" i="50"/>
  <c r="D6" i="57"/>
  <c r="G72" i="52"/>
  <c r="I72" i="52"/>
  <c r="AO64" i="55"/>
  <c r="AL99" i="55"/>
  <c r="AL100" i="55"/>
  <c r="AN67" i="55"/>
  <c r="I72" i="53"/>
  <c r="G72" i="53"/>
  <c r="O101" i="32"/>
  <c r="C73" i="32"/>
  <c r="K101" i="32"/>
  <c r="E68" i="32"/>
  <c r="O101" i="52"/>
  <c r="C73" i="52"/>
  <c r="K101" i="52"/>
  <c r="E68" i="52"/>
  <c r="BM64" i="49"/>
  <c r="AO63" i="49"/>
  <c r="P101" i="53"/>
  <c r="P103" i="53"/>
  <c r="E69" i="53"/>
  <c r="Q101" i="53"/>
  <c r="E70" i="53"/>
  <c r="O101" i="54"/>
  <c r="E68" i="54"/>
  <c r="C73" i="54"/>
  <c r="K101" i="54"/>
  <c r="Q101" i="52"/>
  <c r="E70" i="52"/>
  <c r="E70" i="32"/>
  <c r="Q101" i="32"/>
  <c r="O101" i="53"/>
  <c r="C73" i="53"/>
  <c r="K101" i="53"/>
  <c r="E68" i="53"/>
  <c r="O77" i="49"/>
  <c r="O82" i="49"/>
  <c r="M76" i="49"/>
  <c r="AM76" i="49"/>
  <c r="AL102" i="55"/>
  <c r="AL103" i="55"/>
  <c r="F70" i="32"/>
  <c r="F70" i="54"/>
  <c r="F70" i="53"/>
  <c r="F70" i="52"/>
  <c r="R64" i="55"/>
  <c r="G70" i="53"/>
  <c r="I70" i="53"/>
  <c r="Q83" i="53"/>
  <c r="G71" i="53"/>
  <c r="I71" i="53"/>
  <c r="R83" i="53"/>
  <c r="I70" i="54"/>
  <c r="Q83" i="54"/>
  <c r="G70" i="54"/>
  <c r="E73" i="54"/>
  <c r="I68" i="54"/>
  <c r="G68" i="54"/>
  <c r="O103" i="54"/>
  <c r="AM101" i="54"/>
  <c r="AP101" i="54"/>
  <c r="L101" i="54"/>
  <c r="M77" i="49"/>
  <c r="Q83" i="49"/>
  <c r="E73" i="52"/>
  <c r="AO64" i="49"/>
  <c r="AO65" i="49"/>
  <c r="AP63" i="49"/>
  <c r="AL99" i="49"/>
  <c r="AL100" i="49"/>
  <c r="AN67" i="49"/>
  <c r="O103" i="52"/>
  <c r="AM101" i="52"/>
  <c r="AP101" i="52"/>
  <c r="L101" i="52"/>
  <c r="I70" i="32"/>
  <c r="Q83" i="32"/>
  <c r="G70" i="32"/>
  <c r="E73" i="32"/>
  <c r="AB84" i="55"/>
  <c r="R84" i="55"/>
  <c r="AC84" i="55"/>
  <c r="AI84" i="55"/>
  <c r="Y84" i="55"/>
  <c r="AA84" i="55"/>
  <c r="W84" i="55"/>
  <c r="U84" i="55"/>
  <c r="X84" i="55"/>
  <c r="AH84" i="55"/>
  <c r="AF84" i="55"/>
  <c r="AG84" i="55"/>
  <c r="AD84" i="55"/>
  <c r="Z84" i="55"/>
  <c r="T84" i="55"/>
  <c r="V84" i="55"/>
  <c r="Q84" i="55"/>
  <c r="AE84" i="55"/>
  <c r="I69" i="52"/>
  <c r="P83" i="52"/>
  <c r="G69" i="52"/>
  <c r="P110" i="52"/>
  <c r="P109" i="52"/>
  <c r="P110" i="53"/>
  <c r="P109" i="53"/>
  <c r="I69" i="54"/>
  <c r="P83" i="54"/>
  <c r="G69" i="54"/>
  <c r="Q63" i="55"/>
  <c r="Q65" i="55"/>
  <c r="O103" i="53"/>
  <c r="L101" i="53"/>
  <c r="AM101" i="53"/>
  <c r="AP101" i="53"/>
  <c r="G69" i="32"/>
  <c r="I69" i="32"/>
  <c r="P83" i="32"/>
  <c r="I70" i="52"/>
  <c r="Q83" i="52"/>
  <c r="G70" i="52"/>
  <c r="P88" i="55"/>
  <c r="O88" i="55"/>
  <c r="AM77" i="49"/>
  <c r="F68" i="53"/>
  <c r="F73" i="53"/>
  <c r="F68" i="54"/>
  <c r="F73" i="54"/>
  <c r="F68" i="52"/>
  <c r="F73" i="52"/>
  <c r="F68" i="32"/>
  <c r="F73" i="32"/>
  <c r="I69" i="53"/>
  <c r="P83" i="53"/>
  <c r="G69" i="53"/>
  <c r="O86" i="49"/>
  <c r="O87" i="49"/>
  <c r="M82" i="49"/>
  <c r="AM82" i="49"/>
  <c r="E73" i="53"/>
  <c r="P110" i="32"/>
  <c r="P109" i="32"/>
  <c r="O103" i="32"/>
  <c r="AM101" i="32"/>
  <c r="AP101" i="32"/>
  <c r="L101" i="32"/>
  <c r="P109" i="54"/>
  <c r="P110" i="54"/>
  <c r="F71" i="52"/>
  <c r="I71" i="52"/>
  <c r="R83" i="52"/>
  <c r="F71" i="53"/>
  <c r="F71" i="54"/>
  <c r="G71" i="54"/>
  <c r="F71" i="32"/>
  <c r="G71" i="32"/>
  <c r="AO65" i="55"/>
  <c r="AP63" i="55"/>
  <c r="I71" i="32"/>
  <c r="R83" i="32"/>
  <c r="R89" i="52"/>
  <c r="R84" i="52"/>
  <c r="Q84" i="54"/>
  <c r="Q89" i="54"/>
  <c r="P89" i="54"/>
  <c r="P93" i="54"/>
  <c r="P84" i="54"/>
  <c r="I68" i="53"/>
  <c r="G71" i="52"/>
  <c r="Q89" i="53"/>
  <c r="Q84" i="53"/>
  <c r="O109" i="52"/>
  <c r="O110" i="52"/>
  <c r="Q63" i="49"/>
  <c r="Q65" i="49"/>
  <c r="G73" i="54"/>
  <c r="K73" i="54"/>
  <c r="I68" i="52"/>
  <c r="O83" i="54"/>
  <c r="Q66" i="55"/>
  <c r="Q68" i="55"/>
  <c r="Q69" i="55"/>
  <c r="R89" i="53"/>
  <c r="R84" i="53"/>
  <c r="G68" i="53"/>
  <c r="G73" i="53"/>
  <c r="K73" i="53"/>
  <c r="I71" i="54"/>
  <c r="R83" i="54"/>
  <c r="P89" i="52"/>
  <c r="P93" i="52"/>
  <c r="P84" i="52"/>
  <c r="P94" i="52"/>
  <c r="I68" i="32"/>
  <c r="AP64" i="55"/>
  <c r="AP65" i="55"/>
  <c r="AQ63" i="55"/>
  <c r="G68" i="32"/>
  <c r="G73" i="32"/>
  <c r="K73" i="32"/>
  <c r="AP64" i="49"/>
  <c r="AP65" i="49"/>
  <c r="AQ63" i="49"/>
  <c r="AL102" i="49"/>
  <c r="AL103" i="49"/>
  <c r="Q89" i="52"/>
  <c r="Q84" i="52"/>
  <c r="M84" i="55"/>
  <c r="AM84" i="55"/>
  <c r="Y83" i="55"/>
  <c r="V83" i="55"/>
  <c r="AF83" i="55"/>
  <c r="W83" i="55"/>
  <c r="Z83" i="55"/>
  <c r="AD83" i="55"/>
  <c r="T83" i="55"/>
  <c r="R83" i="55"/>
  <c r="S83" i="55"/>
  <c r="AE83" i="55"/>
  <c r="AG83" i="55"/>
  <c r="AK83" i="55"/>
  <c r="AA83" i="55"/>
  <c r="AB83" i="55"/>
  <c r="U83" i="55"/>
  <c r="X83" i="55"/>
  <c r="AI83" i="55"/>
  <c r="AH83" i="55"/>
  <c r="AC83" i="55"/>
  <c r="AJ83" i="55"/>
  <c r="P88" i="49"/>
  <c r="O88" i="49"/>
  <c r="P84" i="53"/>
  <c r="P89" i="53"/>
  <c r="P93" i="53"/>
  <c r="O109" i="53"/>
  <c r="O110" i="53"/>
  <c r="O110" i="32"/>
  <c r="O109" i="32"/>
  <c r="R64" i="49"/>
  <c r="AF84" i="49"/>
  <c r="Q84" i="49"/>
  <c r="AB84" i="49"/>
  <c r="X84" i="49"/>
  <c r="U84" i="49"/>
  <c r="AE84" i="49"/>
  <c r="Z84" i="49"/>
  <c r="AA84" i="49"/>
  <c r="W84" i="49"/>
  <c r="Y84" i="49"/>
  <c r="AH84" i="49"/>
  <c r="T84" i="49"/>
  <c r="AI84" i="49"/>
  <c r="AG84" i="49"/>
  <c r="V84" i="49"/>
  <c r="AD84" i="49"/>
  <c r="R84" i="49"/>
  <c r="AC84" i="49"/>
  <c r="G68" i="52"/>
  <c r="G73" i="52"/>
  <c r="K73" i="52"/>
  <c r="R89" i="32"/>
  <c r="R84" i="32"/>
  <c r="P84" i="32"/>
  <c r="P89" i="32"/>
  <c r="P93" i="32"/>
  <c r="Q89" i="32"/>
  <c r="Q84" i="32"/>
  <c r="O110" i="54"/>
  <c r="O109" i="54"/>
  <c r="P94" i="32"/>
  <c r="M84" i="49"/>
  <c r="AM84" i="49"/>
  <c r="T83" i="49"/>
  <c r="AB83" i="49"/>
  <c r="AF83" i="49"/>
  <c r="U83" i="49"/>
  <c r="W83" i="49"/>
  <c r="AG83" i="49"/>
  <c r="AE83" i="49"/>
  <c r="AH83" i="49"/>
  <c r="S83" i="49"/>
  <c r="R83" i="49"/>
  <c r="AJ83" i="49"/>
  <c r="X83" i="49"/>
  <c r="Y83" i="49"/>
  <c r="AI83" i="49"/>
  <c r="AA83" i="49"/>
  <c r="AK83" i="49"/>
  <c r="Z83" i="49"/>
  <c r="AD83" i="49"/>
  <c r="AC83" i="49"/>
  <c r="V83" i="49"/>
  <c r="U63" i="55"/>
  <c r="AO70" i="54"/>
  <c r="BM71" i="54"/>
  <c r="AB63" i="55"/>
  <c r="S64" i="49"/>
  <c r="S64" i="55"/>
  <c r="AO70" i="32"/>
  <c r="BM71" i="32"/>
  <c r="W63" i="55"/>
  <c r="Z63" i="55"/>
  <c r="AF63" i="55"/>
  <c r="O83" i="53"/>
  <c r="I73" i="53"/>
  <c r="BM71" i="52"/>
  <c r="AO70" i="52"/>
  <c r="AG63" i="55"/>
  <c r="AQ64" i="55"/>
  <c r="T64" i="55"/>
  <c r="R63" i="55"/>
  <c r="R65" i="55"/>
  <c r="AM83" i="55"/>
  <c r="P94" i="53"/>
  <c r="BM71" i="53"/>
  <c r="AO70" i="53"/>
  <c r="V63" i="55"/>
  <c r="P94" i="54"/>
  <c r="R89" i="54"/>
  <c r="R84" i="54"/>
  <c r="Y63" i="55"/>
  <c r="Q95" i="55"/>
  <c r="Q85" i="55"/>
  <c r="AE63" i="55"/>
  <c r="O83" i="32"/>
  <c r="I73" i="32"/>
  <c r="AD63" i="55"/>
  <c r="X63" i="55"/>
  <c r="AJ63" i="55"/>
  <c r="AC63" i="55"/>
  <c r="I73" i="54"/>
  <c r="AA63" i="55"/>
  <c r="AQ64" i="49"/>
  <c r="AQ65" i="49"/>
  <c r="AR63" i="49"/>
  <c r="M83" i="54"/>
  <c r="O89" i="54"/>
  <c r="AM83" i="54"/>
  <c r="O84" i="54"/>
  <c r="AK63" i="55"/>
  <c r="Q66" i="49"/>
  <c r="S63" i="55"/>
  <c r="T63" i="55"/>
  <c r="AH63" i="55"/>
  <c r="AI63" i="55"/>
  <c r="O83" i="52"/>
  <c r="I73" i="52"/>
  <c r="Z63" i="49"/>
  <c r="AI63" i="49"/>
  <c r="R90" i="54"/>
  <c r="R70" i="54"/>
  <c r="S90" i="54"/>
  <c r="M84" i="54"/>
  <c r="T90" i="54"/>
  <c r="Q90" i="54"/>
  <c r="O89" i="53"/>
  <c r="AM83" i="53"/>
  <c r="O84" i="53"/>
  <c r="M83" i="53"/>
  <c r="AH63" i="49"/>
  <c r="AE63" i="49"/>
  <c r="AK63" i="49"/>
  <c r="AQ65" i="55"/>
  <c r="AR63" i="55"/>
  <c r="AM84" i="54"/>
  <c r="O94" i="54"/>
  <c r="AJ63" i="49"/>
  <c r="AG63" i="49"/>
  <c r="Q95" i="49"/>
  <c r="Q85" i="49"/>
  <c r="X63" i="49"/>
  <c r="M89" i="54"/>
  <c r="AM89" i="54"/>
  <c r="O93" i="54"/>
  <c r="W63" i="49"/>
  <c r="AN74" i="32"/>
  <c r="AO71" i="32"/>
  <c r="AO72" i="32"/>
  <c r="AP70" i="32"/>
  <c r="AL106" i="32"/>
  <c r="AL105" i="32"/>
  <c r="AL107" i="32"/>
  <c r="Q68" i="49"/>
  <c r="Q69" i="49"/>
  <c r="Q96" i="55"/>
  <c r="AO71" i="53"/>
  <c r="AL106" i="53"/>
  <c r="AO72" i="53"/>
  <c r="AP70" i="53"/>
  <c r="AN74" i="53"/>
  <c r="AL105" i="53"/>
  <c r="AL107" i="53"/>
  <c r="AB63" i="49"/>
  <c r="AR64" i="49"/>
  <c r="T64" i="49"/>
  <c r="AF63" i="49"/>
  <c r="T65" i="55"/>
  <c r="T63" i="49"/>
  <c r="Y63" i="49"/>
  <c r="AL106" i="52"/>
  <c r="AO71" i="52"/>
  <c r="AO72" i="52"/>
  <c r="AP70" i="52"/>
  <c r="AN74" i="52"/>
  <c r="AL105" i="52"/>
  <c r="AL107" i="52"/>
  <c r="R63" i="49"/>
  <c r="R65" i="49"/>
  <c r="AM83" i="49"/>
  <c r="AM83" i="52"/>
  <c r="O89" i="52"/>
  <c r="M83" i="52"/>
  <c r="O84" i="52"/>
  <c r="U63" i="49"/>
  <c r="V63" i="49"/>
  <c r="Q86" i="55"/>
  <c r="E6" i="46"/>
  <c r="E6" i="57"/>
  <c r="AV33" i="48"/>
  <c r="E15" i="50"/>
  <c r="F15" i="50"/>
  <c r="AA63" i="49"/>
  <c r="S63" i="49"/>
  <c r="S65" i="49"/>
  <c r="AN74" i="54"/>
  <c r="AO71" i="54"/>
  <c r="AO72" i="54"/>
  <c r="AP70" i="54"/>
  <c r="AL106" i="54"/>
  <c r="AL105" i="54"/>
  <c r="AL107" i="54"/>
  <c r="S65" i="55"/>
  <c r="O89" i="32"/>
  <c r="AM83" i="32"/>
  <c r="O84" i="32"/>
  <c r="M83" i="32"/>
  <c r="AC63" i="49"/>
  <c r="R66" i="55"/>
  <c r="R68" i="55"/>
  <c r="R69" i="55"/>
  <c r="AD63" i="49"/>
  <c r="T65" i="49"/>
  <c r="AP71" i="32"/>
  <c r="S71" i="32"/>
  <c r="Q90" i="32"/>
  <c r="R90" i="32"/>
  <c r="T90" i="32"/>
  <c r="M84" i="32"/>
  <c r="S90" i="32"/>
  <c r="H15" i="50"/>
  <c r="G15" i="50"/>
  <c r="O95" i="54"/>
  <c r="P95" i="54"/>
  <c r="O94" i="32"/>
  <c r="AM84" i="32"/>
  <c r="R71" i="32"/>
  <c r="D12" i="57"/>
  <c r="D13" i="57"/>
  <c r="G6" i="57"/>
  <c r="E13" i="57"/>
  <c r="G6" i="46"/>
  <c r="E16" i="46"/>
  <c r="D15" i="46"/>
  <c r="D16" i="46"/>
  <c r="S66" i="55"/>
  <c r="S68" i="55"/>
  <c r="S69" i="55"/>
  <c r="AL110" i="54"/>
  <c r="AL109" i="54"/>
  <c r="R90" i="53"/>
  <c r="M84" i="53"/>
  <c r="T90" i="53"/>
  <c r="Q90" i="53"/>
  <c r="S90" i="53"/>
  <c r="AM84" i="53"/>
  <c r="AR64" i="55"/>
  <c r="AR65" i="55"/>
  <c r="AS63" i="55"/>
  <c r="R71" i="52"/>
  <c r="T70" i="54"/>
  <c r="W91" i="54"/>
  <c r="AI91" i="54"/>
  <c r="AA91" i="54"/>
  <c r="T91" i="54"/>
  <c r="AG91" i="54"/>
  <c r="V91" i="54"/>
  <c r="AF91" i="54"/>
  <c r="AB91" i="54"/>
  <c r="U91" i="54"/>
  <c r="AD91" i="54"/>
  <c r="AH91" i="54"/>
  <c r="AE91" i="54"/>
  <c r="AC91" i="54"/>
  <c r="X91" i="54"/>
  <c r="Y91" i="54"/>
  <c r="Z91" i="54"/>
  <c r="T66" i="55"/>
  <c r="R71" i="53"/>
  <c r="Q87" i="55"/>
  <c r="AP71" i="53"/>
  <c r="AP72" i="53"/>
  <c r="AQ70" i="53"/>
  <c r="AM84" i="52"/>
  <c r="M89" i="53"/>
  <c r="AM89" i="53"/>
  <c r="O93" i="53"/>
  <c r="O94" i="53"/>
  <c r="R72" i="54"/>
  <c r="U64" i="49"/>
  <c r="AP71" i="52"/>
  <c r="S71" i="52"/>
  <c r="AM89" i="32"/>
  <c r="M89" i="32"/>
  <c r="O93" i="32"/>
  <c r="Q102" i="55"/>
  <c r="Q103" i="55"/>
  <c r="AL109" i="32"/>
  <c r="AL110" i="32"/>
  <c r="M84" i="52"/>
  <c r="Q90" i="52"/>
  <c r="T90" i="52"/>
  <c r="R90" i="52"/>
  <c r="S90" i="52"/>
  <c r="M89" i="52"/>
  <c r="O93" i="52"/>
  <c r="O94" i="52"/>
  <c r="AM89" i="52"/>
  <c r="R85" i="55"/>
  <c r="R95" i="55"/>
  <c r="R66" i="49"/>
  <c r="R68" i="49"/>
  <c r="R69" i="49"/>
  <c r="AL109" i="52"/>
  <c r="AL110" i="52"/>
  <c r="AL110" i="53"/>
  <c r="AL109" i="53"/>
  <c r="T66" i="49"/>
  <c r="T68" i="49"/>
  <c r="AP71" i="54"/>
  <c r="AP72" i="54"/>
  <c r="AQ70" i="54"/>
  <c r="R71" i="54"/>
  <c r="Q86" i="49"/>
  <c r="S70" i="54"/>
  <c r="Q96" i="49"/>
  <c r="Q70" i="54"/>
  <c r="Q72" i="54"/>
  <c r="S66" i="49"/>
  <c r="S68" i="49"/>
  <c r="AR65" i="49"/>
  <c r="AS63" i="49"/>
  <c r="P95" i="52"/>
  <c r="O95" i="52"/>
  <c r="AS64" i="55"/>
  <c r="V64" i="55"/>
  <c r="V65" i="55"/>
  <c r="AS65" i="55"/>
  <c r="AT63" i="55"/>
  <c r="T95" i="55"/>
  <c r="T96" i="55"/>
  <c r="T85" i="55"/>
  <c r="T86" i="55"/>
  <c r="T87" i="55"/>
  <c r="R70" i="32"/>
  <c r="R72" i="32"/>
  <c r="R86" i="55"/>
  <c r="Q70" i="32"/>
  <c r="Q72" i="32"/>
  <c r="T70" i="53"/>
  <c r="R73" i="54"/>
  <c r="P95" i="53"/>
  <c r="O95" i="53"/>
  <c r="R70" i="53"/>
  <c r="R72" i="53"/>
  <c r="T69" i="49"/>
  <c r="S70" i="52"/>
  <c r="S72" i="52"/>
  <c r="S71" i="53"/>
  <c r="M91" i="54"/>
  <c r="AM91" i="54"/>
  <c r="AG90" i="54"/>
  <c r="W90" i="54"/>
  <c r="AB90" i="54"/>
  <c r="AC90" i="54"/>
  <c r="Z90" i="54"/>
  <c r="V90" i="54"/>
  <c r="AH90" i="54"/>
  <c r="AF90" i="54"/>
  <c r="AI90" i="54"/>
  <c r="X90" i="54"/>
  <c r="AJ90" i="54"/>
  <c r="Y90" i="54"/>
  <c r="AA90" i="54"/>
  <c r="U90" i="54"/>
  <c r="AE90" i="54"/>
  <c r="AD90" i="54"/>
  <c r="R95" i="49"/>
  <c r="R85" i="49"/>
  <c r="Q70" i="52"/>
  <c r="Q72" i="52"/>
  <c r="S85" i="55"/>
  <c r="S86" i="55"/>
  <c r="S87" i="55"/>
  <c r="S95" i="55"/>
  <c r="S96" i="55"/>
  <c r="S70" i="32"/>
  <c r="S72" i="32"/>
  <c r="R70" i="52"/>
  <c r="R72" i="52"/>
  <c r="R96" i="55"/>
  <c r="Q87" i="49"/>
  <c r="U65" i="49"/>
  <c r="S71" i="54"/>
  <c r="S72" i="54"/>
  <c r="S69" i="49"/>
  <c r="AP72" i="32"/>
  <c r="AQ70" i="32"/>
  <c r="Q73" i="54"/>
  <c r="Q75" i="54"/>
  <c r="Q76" i="54"/>
  <c r="Q70" i="53"/>
  <c r="Q72" i="53"/>
  <c r="AP72" i="52"/>
  <c r="AQ70" i="52"/>
  <c r="T70" i="52"/>
  <c r="O95" i="32"/>
  <c r="P95" i="32"/>
  <c r="AF91" i="53"/>
  <c r="AD91" i="53"/>
  <c r="X91" i="53"/>
  <c r="AG91" i="53"/>
  <c r="AA91" i="53"/>
  <c r="AB91" i="53"/>
  <c r="AC91" i="53"/>
  <c r="AE91" i="53"/>
  <c r="Y91" i="53"/>
  <c r="T91" i="53"/>
  <c r="AH91" i="53"/>
  <c r="Z91" i="53"/>
  <c r="V91" i="53"/>
  <c r="W91" i="53"/>
  <c r="U91" i="53"/>
  <c r="AI91" i="53"/>
  <c r="AQ71" i="54"/>
  <c r="T85" i="49"/>
  <c r="T86" i="49"/>
  <c r="T87" i="49"/>
  <c r="T95" i="49"/>
  <c r="T96" i="49"/>
  <c r="S85" i="49"/>
  <c r="S86" i="49"/>
  <c r="S87" i="49"/>
  <c r="S95" i="49"/>
  <c r="S96" i="49"/>
  <c r="S70" i="53"/>
  <c r="T70" i="32"/>
  <c r="Q102" i="49"/>
  <c r="Q103" i="49"/>
  <c r="U64" i="55"/>
  <c r="AC91" i="52"/>
  <c r="U91" i="52"/>
  <c r="AH91" i="52"/>
  <c r="AD91" i="52"/>
  <c r="AB91" i="52"/>
  <c r="AF91" i="52"/>
  <c r="W91" i="52"/>
  <c r="T91" i="52"/>
  <c r="Z91" i="52"/>
  <c r="X91" i="52"/>
  <c r="AE91" i="52"/>
  <c r="AG91" i="52"/>
  <c r="AA91" i="52"/>
  <c r="AI91" i="52"/>
  <c r="V91" i="52"/>
  <c r="Y91" i="52"/>
  <c r="AS64" i="49"/>
  <c r="AS65" i="49"/>
  <c r="AT63" i="49"/>
  <c r="AQ71" i="53"/>
  <c r="T71" i="53"/>
  <c r="Q88" i="55"/>
  <c r="Y91" i="32"/>
  <c r="AG91" i="32"/>
  <c r="AF91" i="32"/>
  <c r="AE91" i="32"/>
  <c r="W91" i="32"/>
  <c r="AB91" i="32"/>
  <c r="AC91" i="32"/>
  <c r="AI91" i="32"/>
  <c r="AA91" i="32"/>
  <c r="AD91" i="32"/>
  <c r="Z91" i="32"/>
  <c r="X91" i="32"/>
  <c r="V91" i="32"/>
  <c r="U91" i="32"/>
  <c r="T91" i="32"/>
  <c r="AH91" i="32"/>
  <c r="T68" i="55"/>
  <c r="T69" i="55"/>
  <c r="T72" i="53"/>
  <c r="S73" i="54"/>
  <c r="S75" i="54"/>
  <c r="AB70" i="54"/>
  <c r="AM91" i="52"/>
  <c r="M91" i="52"/>
  <c r="AJ90" i="52"/>
  <c r="AD90" i="52"/>
  <c r="AG90" i="52"/>
  <c r="AF90" i="52"/>
  <c r="AI90" i="52"/>
  <c r="AB90" i="52"/>
  <c r="Y90" i="52"/>
  <c r="AC90" i="52"/>
  <c r="X90" i="52"/>
  <c r="Z90" i="52"/>
  <c r="AE90" i="52"/>
  <c r="W90" i="52"/>
  <c r="AH90" i="52"/>
  <c r="V90" i="52"/>
  <c r="AA90" i="52"/>
  <c r="U90" i="52"/>
  <c r="S102" i="49"/>
  <c r="S103" i="49"/>
  <c r="U66" i="49"/>
  <c r="U68" i="49"/>
  <c r="U69" i="49"/>
  <c r="W70" i="54"/>
  <c r="T73" i="53"/>
  <c r="T75" i="53"/>
  <c r="Q73" i="52"/>
  <c r="AG70" i="54"/>
  <c r="U70" i="54"/>
  <c r="AM90" i="54"/>
  <c r="R73" i="32"/>
  <c r="R75" i="32"/>
  <c r="AJ70" i="54"/>
  <c r="R86" i="49"/>
  <c r="Q88" i="49"/>
  <c r="R87" i="55"/>
  <c r="R103" i="55"/>
  <c r="R102" i="55"/>
  <c r="AM91" i="53"/>
  <c r="M91" i="53"/>
  <c r="AC90" i="53"/>
  <c r="Z90" i="53"/>
  <c r="AF90" i="53"/>
  <c r="AE90" i="53"/>
  <c r="AH90" i="53"/>
  <c r="AI90" i="53"/>
  <c r="U90" i="53"/>
  <c r="X90" i="53"/>
  <c r="AJ90" i="53"/>
  <c r="AG90" i="53"/>
  <c r="W90" i="53"/>
  <c r="Y90" i="53"/>
  <c r="AB90" i="53"/>
  <c r="V90" i="53"/>
  <c r="AA90" i="53"/>
  <c r="AD90" i="53"/>
  <c r="Q73" i="53"/>
  <c r="Q75" i="53"/>
  <c r="Q76" i="53"/>
  <c r="X70" i="54"/>
  <c r="V66" i="55"/>
  <c r="AQ71" i="52"/>
  <c r="AQ72" i="52"/>
  <c r="AR70" i="52"/>
  <c r="M91" i="32"/>
  <c r="AM91" i="32"/>
  <c r="AI90" i="32"/>
  <c r="AB90" i="32"/>
  <c r="AJ90" i="32"/>
  <c r="AD90" i="32"/>
  <c r="AC90" i="32"/>
  <c r="Z90" i="32"/>
  <c r="AA90" i="32"/>
  <c r="AF90" i="32"/>
  <c r="U90" i="32"/>
  <c r="AE90" i="32"/>
  <c r="AH90" i="32"/>
  <c r="W90" i="32"/>
  <c r="AG90" i="32"/>
  <c r="Y90" i="32"/>
  <c r="V90" i="32"/>
  <c r="X90" i="32"/>
  <c r="U65" i="55"/>
  <c r="Y70" i="54"/>
  <c r="AT64" i="55"/>
  <c r="AT65" i="55"/>
  <c r="AU63" i="55"/>
  <c r="AI70" i="54"/>
  <c r="T71" i="54"/>
  <c r="T72" i="54"/>
  <c r="AA70" i="54"/>
  <c r="T103" i="55"/>
  <c r="T102" i="55"/>
  <c r="R73" i="52"/>
  <c r="Q102" i="54"/>
  <c r="Q92" i="54"/>
  <c r="AF70" i="54"/>
  <c r="S72" i="53"/>
  <c r="AQ71" i="32"/>
  <c r="AQ72" i="32"/>
  <c r="AR70" i="32"/>
  <c r="AH70" i="54"/>
  <c r="Q73" i="32"/>
  <c r="Q75" i="32"/>
  <c r="Q76" i="32"/>
  <c r="AE70" i="54"/>
  <c r="S73" i="52"/>
  <c r="AQ72" i="53"/>
  <c r="AR70" i="53"/>
  <c r="AT64" i="49"/>
  <c r="W64" i="49"/>
  <c r="W65" i="49"/>
  <c r="AT65" i="49"/>
  <c r="AU63" i="49"/>
  <c r="R73" i="53"/>
  <c r="R75" i="53"/>
  <c r="V64" i="49"/>
  <c r="V65" i="49"/>
  <c r="S73" i="32"/>
  <c r="S75" i="32"/>
  <c r="V70" i="54"/>
  <c r="S103" i="55"/>
  <c r="S102" i="55"/>
  <c r="Z70" i="54"/>
  <c r="R92" i="54"/>
  <c r="R93" i="54"/>
  <c r="R94" i="54"/>
  <c r="R102" i="54"/>
  <c r="R103" i="54"/>
  <c r="T102" i="49"/>
  <c r="T103" i="49"/>
  <c r="R96" i="49"/>
  <c r="AQ72" i="54"/>
  <c r="AR70" i="54"/>
  <c r="AD70" i="54"/>
  <c r="AC70" i="54"/>
  <c r="R75" i="54"/>
  <c r="R76" i="54"/>
  <c r="R76" i="53"/>
  <c r="V66" i="49"/>
  <c r="V68" i="49"/>
  <c r="V69" i="49"/>
  <c r="Q93" i="54"/>
  <c r="R76" i="32"/>
  <c r="V70" i="52"/>
  <c r="Q103" i="54"/>
  <c r="U66" i="55"/>
  <c r="U68" i="55"/>
  <c r="U69" i="55"/>
  <c r="T71" i="52"/>
  <c r="AE70" i="53"/>
  <c r="R102" i="32"/>
  <c r="R103" i="32"/>
  <c r="R92" i="32"/>
  <c r="R93" i="32"/>
  <c r="R94" i="32"/>
  <c r="AH70" i="52"/>
  <c r="R102" i="52"/>
  <c r="R103" i="52"/>
  <c r="R92" i="52"/>
  <c r="R93" i="52"/>
  <c r="R94" i="52"/>
  <c r="Z70" i="52"/>
  <c r="Y70" i="32"/>
  <c r="R110" i="54"/>
  <c r="R109" i="54"/>
  <c r="AH70" i="53"/>
  <c r="AR71" i="54"/>
  <c r="AR72" i="54"/>
  <c r="AS70" i="54"/>
  <c r="R92" i="53"/>
  <c r="R93" i="53"/>
  <c r="R94" i="53"/>
  <c r="R102" i="53"/>
  <c r="R103" i="53"/>
  <c r="AR71" i="52"/>
  <c r="U71" i="52"/>
  <c r="AF70" i="53"/>
  <c r="W70" i="52"/>
  <c r="AE70" i="52"/>
  <c r="R75" i="52"/>
  <c r="AR71" i="53"/>
  <c r="AR72" i="53"/>
  <c r="AS70" i="53"/>
  <c r="W70" i="32"/>
  <c r="Y70" i="52"/>
  <c r="AB70" i="52"/>
  <c r="AE70" i="32"/>
  <c r="AI70" i="52"/>
  <c r="V95" i="55"/>
  <c r="V96" i="55"/>
  <c r="V85" i="55"/>
  <c r="V86" i="55"/>
  <c r="V87" i="55"/>
  <c r="V68" i="55"/>
  <c r="AH70" i="32"/>
  <c r="Q92" i="52"/>
  <c r="Q102" i="52"/>
  <c r="AD70" i="53"/>
  <c r="Q75" i="52"/>
  <c r="Q76" i="52"/>
  <c r="T73" i="54"/>
  <c r="U70" i="32"/>
  <c r="AM90" i="32"/>
  <c r="AA70" i="53"/>
  <c r="AF70" i="52"/>
  <c r="V70" i="32"/>
  <c r="X70" i="52"/>
  <c r="AG70" i="32"/>
  <c r="AF70" i="32"/>
  <c r="V70" i="53"/>
  <c r="T92" i="53"/>
  <c r="T93" i="53"/>
  <c r="T94" i="53"/>
  <c r="T102" i="53"/>
  <c r="T103" i="53"/>
  <c r="AG70" i="52"/>
  <c r="S92" i="52"/>
  <c r="S93" i="52"/>
  <c r="S94" i="52"/>
  <c r="S102" i="52"/>
  <c r="S103" i="52"/>
  <c r="S75" i="52"/>
  <c r="Q92" i="32"/>
  <c r="Q102" i="32"/>
  <c r="AA70" i="32"/>
  <c r="AB70" i="53"/>
  <c r="S88" i="55"/>
  <c r="T88" i="55"/>
  <c r="R88" i="55"/>
  <c r="AD70" i="52"/>
  <c r="Z70" i="32"/>
  <c r="Y70" i="53"/>
  <c r="AJ70" i="52"/>
  <c r="AU64" i="55"/>
  <c r="X64" i="55"/>
  <c r="X65" i="55"/>
  <c r="AC70" i="32"/>
  <c r="W70" i="53"/>
  <c r="AU64" i="49"/>
  <c r="X64" i="49"/>
  <c r="X65" i="49"/>
  <c r="Z70" i="53"/>
  <c r="W66" i="49"/>
  <c r="Q102" i="53"/>
  <c r="Q92" i="53"/>
  <c r="S102" i="32"/>
  <c r="S103" i="32"/>
  <c r="S92" i="32"/>
  <c r="S93" i="32"/>
  <c r="S94" i="32"/>
  <c r="T71" i="32"/>
  <c r="W64" i="55"/>
  <c r="W65" i="55"/>
  <c r="AD70" i="32"/>
  <c r="AG70" i="53"/>
  <c r="U85" i="49"/>
  <c r="U95" i="49"/>
  <c r="AJ70" i="32"/>
  <c r="AJ70" i="53"/>
  <c r="AB70" i="32"/>
  <c r="X70" i="53"/>
  <c r="R87" i="49"/>
  <c r="X70" i="32"/>
  <c r="R103" i="49"/>
  <c r="R102" i="49"/>
  <c r="AC70" i="53"/>
  <c r="AC70" i="52"/>
  <c r="S76" i="32"/>
  <c r="AR71" i="32"/>
  <c r="U71" i="32"/>
  <c r="S73" i="53"/>
  <c r="AI70" i="32"/>
  <c r="U70" i="53"/>
  <c r="AM90" i="53"/>
  <c r="U70" i="52"/>
  <c r="AM90" i="52"/>
  <c r="S76" i="54"/>
  <c r="AI70" i="53"/>
  <c r="AA70" i="52"/>
  <c r="S92" i="54"/>
  <c r="S93" i="54"/>
  <c r="S94" i="54"/>
  <c r="S102" i="54"/>
  <c r="S103" i="54"/>
  <c r="AU65" i="49"/>
  <c r="AV63" i="49"/>
  <c r="U72" i="32"/>
  <c r="AS71" i="53"/>
  <c r="V71" i="53"/>
  <c r="S110" i="32"/>
  <c r="S109" i="32"/>
  <c r="T110" i="53"/>
  <c r="T109" i="53"/>
  <c r="AR72" i="52"/>
  <c r="AS70" i="52"/>
  <c r="R109" i="32"/>
  <c r="R110" i="32"/>
  <c r="U71" i="54"/>
  <c r="U86" i="49"/>
  <c r="X66" i="49"/>
  <c r="X68" i="49"/>
  <c r="X69" i="49"/>
  <c r="U85" i="55"/>
  <c r="U95" i="55"/>
  <c r="S92" i="53"/>
  <c r="S93" i="53"/>
  <c r="S94" i="53"/>
  <c r="S102" i="53"/>
  <c r="S103" i="53"/>
  <c r="AR72" i="32"/>
  <c r="AS70" i="32"/>
  <c r="U96" i="49"/>
  <c r="Q93" i="53"/>
  <c r="AV64" i="49"/>
  <c r="Y64" i="49"/>
  <c r="Y65" i="49"/>
  <c r="AV65" i="49"/>
  <c r="AW63" i="49"/>
  <c r="Q103" i="32"/>
  <c r="Q93" i="32"/>
  <c r="Q93" i="52"/>
  <c r="R76" i="52"/>
  <c r="U73" i="32"/>
  <c r="U75" i="32"/>
  <c r="AS71" i="54"/>
  <c r="V71" i="54"/>
  <c r="V72" i="54"/>
  <c r="Q94" i="54"/>
  <c r="R110" i="53"/>
  <c r="R109" i="53"/>
  <c r="S75" i="53"/>
  <c r="S76" i="53"/>
  <c r="T76" i="53"/>
  <c r="Q103" i="53"/>
  <c r="Q109" i="54"/>
  <c r="Q110" i="54"/>
  <c r="U71" i="53"/>
  <c r="U72" i="53"/>
  <c r="W66" i="55"/>
  <c r="W68" i="55"/>
  <c r="W69" i="55"/>
  <c r="S76" i="52"/>
  <c r="U72" i="52"/>
  <c r="AU65" i="55"/>
  <c r="AV63" i="55"/>
  <c r="V72" i="53"/>
  <c r="S109" i="54"/>
  <c r="S110" i="54"/>
  <c r="T92" i="54"/>
  <c r="T93" i="54"/>
  <c r="T94" i="54"/>
  <c r="T102" i="54"/>
  <c r="T103" i="54"/>
  <c r="S109" i="52"/>
  <c r="S110" i="52"/>
  <c r="V69" i="55"/>
  <c r="W85" i="49"/>
  <c r="W86" i="49"/>
  <c r="W87" i="49"/>
  <c r="W95" i="49"/>
  <c r="W96" i="49"/>
  <c r="T75" i="54"/>
  <c r="T76" i="54"/>
  <c r="T72" i="52"/>
  <c r="Q103" i="52"/>
  <c r="X66" i="55"/>
  <c r="X68" i="55"/>
  <c r="T88" i="49"/>
  <c r="S88" i="49"/>
  <c r="R88" i="49"/>
  <c r="T72" i="32"/>
  <c r="R110" i="52"/>
  <c r="R109" i="52"/>
  <c r="V95" i="49"/>
  <c r="V96" i="49"/>
  <c r="V85" i="49"/>
  <c r="V86" i="49"/>
  <c r="V87" i="49"/>
  <c r="W68" i="49"/>
  <c r="W69" i="49"/>
  <c r="V102" i="55"/>
  <c r="V103" i="55"/>
  <c r="U73" i="53"/>
  <c r="U75" i="53"/>
  <c r="U76" i="53"/>
  <c r="U96" i="55"/>
  <c r="T73" i="32"/>
  <c r="T75" i="32"/>
  <c r="T76" i="32"/>
  <c r="U76" i="32"/>
  <c r="U86" i="55"/>
  <c r="T109" i="54"/>
  <c r="T110" i="54"/>
  <c r="Q109" i="53"/>
  <c r="Q110" i="53"/>
  <c r="V73" i="53"/>
  <c r="V75" i="53"/>
  <c r="V76" i="53"/>
  <c r="AW64" i="49"/>
  <c r="Z64" i="49"/>
  <c r="Z65" i="49"/>
  <c r="Q94" i="52"/>
  <c r="Q94" i="32"/>
  <c r="S109" i="53"/>
  <c r="S110" i="53"/>
  <c r="T73" i="52"/>
  <c r="T75" i="52"/>
  <c r="T76" i="52"/>
  <c r="AV64" i="55"/>
  <c r="Y64" i="55"/>
  <c r="Y65" i="55"/>
  <c r="Y66" i="49"/>
  <c r="Y68" i="49"/>
  <c r="Y69" i="49"/>
  <c r="W95" i="55"/>
  <c r="W96" i="55"/>
  <c r="W85" i="55"/>
  <c r="W86" i="55"/>
  <c r="W87" i="55"/>
  <c r="Q109" i="32"/>
  <c r="Q110" i="32"/>
  <c r="V102" i="49"/>
  <c r="V103" i="49"/>
  <c r="U72" i="54"/>
  <c r="AS71" i="32"/>
  <c r="T95" i="54"/>
  <c r="S95" i="54"/>
  <c r="Q95" i="54"/>
  <c r="R95" i="54"/>
  <c r="U73" i="52"/>
  <c r="U75" i="52"/>
  <c r="V73" i="54"/>
  <c r="V75" i="54"/>
  <c r="Q94" i="53"/>
  <c r="X95" i="49"/>
  <c r="X96" i="49"/>
  <c r="X85" i="49"/>
  <c r="X86" i="49"/>
  <c r="X87" i="49"/>
  <c r="X69" i="55"/>
  <c r="X85" i="55"/>
  <c r="X86" i="55"/>
  <c r="X87" i="55"/>
  <c r="X95" i="55"/>
  <c r="X96" i="55"/>
  <c r="AS71" i="52"/>
  <c r="W102" i="49"/>
  <c r="W103" i="49"/>
  <c r="AS72" i="54"/>
  <c r="AT70" i="54"/>
  <c r="Q110" i="52"/>
  <c r="Q109" i="52"/>
  <c r="U103" i="49"/>
  <c r="U102" i="49"/>
  <c r="U102" i="32"/>
  <c r="U103" i="32"/>
  <c r="U92" i="32"/>
  <c r="U93" i="32"/>
  <c r="U94" i="32"/>
  <c r="U87" i="49"/>
  <c r="AS72" i="53"/>
  <c r="AT70" i="53"/>
  <c r="U73" i="54"/>
  <c r="U75" i="54"/>
  <c r="U76" i="54"/>
  <c r="V76" i="54"/>
  <c r="Q95" i="52"/>
  <c r="R95" i="52"/>
  <c r="S95" i="52"/>
  <c r="V71" i="32"/>
  <c r="Y85" i="49"/>
  <c r="Y86" i="49"/>
  <c r="Y87" i="49"/>
  <c r="Y95" i="49"/>
  <c r="Y96" i="49"/>
  <c r="S95" i="53"/>
  <c r="T95" i="53"/>
  <c r="Q95" i="53"/>
  <c r="R95" i="53"/>
  <c r="AV65" i="55"/>
  <c r="AW63" i="55"/>
  <c r="U87" i="55"/>
  <c r="X88" i="49"/>
  <c r="W88" i="49"/>
  <c r="U88" i="49"/>
  <c r="V88" i="49"/>
  <c r="Y88" i="49"/>
  <c r="U102" i="52"/>
  <c r="U103" i="52"/>
  <c r="U92" i="52"/>
  <c r="U93" i="52"/>
  <c r="U94" i="52"/>
  <c r="W102" i="55"/>
  <c r="W103" i="55"/>
  <c r="X102" i="49"/>
  <c r="X103" i="49"/>
  <c r="V102" i="54"/>
  <c r="V103" i="54"/>
  <c r="V92" i="54"/>
  <c r="V93" i="54"/>
  <c r="V94" i="54"/>
  <c r="T92" i="32"/>
  <c r="T102" i="32"/>
  <c r="AT71" i="54"/>
  <c r="AT71" i="53"/>
  <c r="AT72" i="53"/>
  <c r="AU70" i="53"/>
  <c r="U110" i="32"/>
  <c r="U109" i="32"/>
  <c r="V71" i="52"/>
  <c r="X103" i="55"/>
  <c r="X102" i="55"/>
  <c r="AW65" i="49"/>
  <c r="AX63" i="49"/>
  <c r="V92" i="53"/>
  <c r="V93" i="53"/>
  <c r="V94" i="53"/>
  <c r="V102" i="53"/>
  <c r="V103" i="53"/>
  <c r="Y66" i="55"/>
  <c r="Y68" i="55"/>
  <c r="Y69" i="55"/>
  <c r="U76" i="52"/>
  <c r="T102" i="52"/>
  <c r="T92" i="52"/>
  <c r="U103" i="55"/>
  <c r="U102" i="55"/>
  <c r="Z66" i="49"/>
  <c r="Z68" i="49"/>
  <c r="Z69" i="49"/>
  <c r="AS72" i="52"/>
  <c r="AT70" i="52"/>
  <c r="AS72" i="32"/>
  <c r="AT70" i="32"/>
  <c r="S95" i="32"/>
  <c r="R95" i="32"/>
  <c r="Q95" i="32"/>
  <c r="U102" i="53"/>
  <c r="U92" i="53"/>
  <c r="W71" i="53"/>
  <c r="W72" i="53"/>
  <c r="W71" i="54"/>
  <c r="U93" i="53"/>
  <c r="V109" i="53"/>
  <c r="V110" i="53"/>
  <c r="AT71" i="32"/>
  <c r="Y102" i="49"/>
  <c r="Y103" i="49"/>
  <c r="V109" i="54"/>
  <c r="V110" i="54"/>
  <c r="AX64" i="49"/>
  <c r="AA64" i="49"/>
  <c r="AA65" i="49"/>
  <c r="AX65" i="49"/>
  <c r="AY63" i="49"/>
  <c r="V72" i="52"/>
  <c r="T103" i="32"/>
  <c r="U103" i="53"/>
  <c r="T93" i="32"/>
  <c r="V72" i="32"/>
  <c r="AU71" i="53"/>
  <c r="X71" i="53"/>
  <c r="X72" i="53"/>
  <c r="AU72" i="53"/>
  <c r="AV70" i="53"/>
  <c r="T103" i="52"/>
  <c r="Y85" i="55"/>
  <c r="Y95" i="55"/>
  <c r="T93" i="52"/>
  <c r="AT71" i="52"/>
  <c r="AT72" i="52"/>
  <c r="AU70" i="52"/>
  <c r="U109" i="52"/>
  <c r="U110" i="52"/>
  <c r="U92" i="54"/>
  <c r="U93" i="54"/>
  <c r="U102" i="54"/>
  <c r="U103" i="54"/>
  <c r="W88" i="55"/>
  <c r="X88" i="55"/>
  <c r="U88" i="55"/>
  <c r="V88" i="55"/>
  <c r="AT72" i="54"/>
  <c r="AU70" i="54"/>
  <c r="Z85" i="49"/>
  <c r="Z86" i="49"/>
  <c r="Z87" i="49"/>
  <c r="Z95" i="49"/>
  <c r="Z96" i="49"/>
  <c r="AW64" i="55"/>
  <c r="Z64" i="55"/>
  <c r="Z65" i="55"/>
  <c r="AW65" i="55"/>
  <c r="AX63" i="55"/>
  <c r="V73" i="32"/>
  <c r="V75" i="32"/>
  <c r="V76" i="32"/>
  <c r="AX64" i="55"/>
  <c r="AA64" i="55"/>
  <c r="AA65" i="55"/>
  <c r="Z66" i="55"/>
  <c r="Z68" i="55"/>
  <c r="Z69" i="55"/>
  <c r="W71" i="32"/>
  <c r="Z103" i="49"/>
  <c r="Z102" i="49"/>
  <c r="AV71" i="53"/>
  <c r="Y71" i="53"/>
  <c r="Y72" i="53"/>
  <c r="AT72" i="32"/>
  <c r="AU70" i="32"/>
  <c r="U94" i="53"/>
  <c r="T110" i="52"/>
  <c r="T109" i="52"/>
  <c r="Z88" i="49"/>
  <c r="X73" i="53"/>
  <c r="U94" i="54"/>
  <c r="T94" i="32"/>
  <c r="W72" i="54"/>
  <c r="AA66" i="49"/>
  <c r="W71" i="52"/>
  <c r="T110" i="32"/>
  <c r="T109" i="32"/>
  <c r="V73" i="52"/>
  <c r="T94" i="52"/>
  <c r="U110" i="54"/>
  <c r="U109" i="54"/>
  <c r="AY64" i="49"/>
  <c r="AB64" i="49"/>
  <c r="AB65" i="49"/>
  <c r="AY65" i="49"/>
  <c r="AZ63" i="49"/>
  <c r="AU71" i="54"/>
  <c r="AU72" i="54"/>
  <c r="AV70" i="54"/>
  <c r="U110" i="53"/>
  <c r="U109" i="53"/>
  <c r="AU71" i="52"/>
  <c r="X71" i="52"/>
  <c r="X72" i="52"/>
  <c r="W73" i="53"/>
  <c r="W75" i="53"/>
  <c r="W76" i="53"/>
  <c r="Y96" i="55"/>
  <c r="Y86" i="55"/>
  <c r="Y87" i="55"/>
  <c r="AU72" i="52"/>
  <c r="AV70" i="52"/>
  <c r="AX65" i="55"/>
  <c r="AY63" i="55"/>
  <c r="V92" i="52"/>
  <c r="V102" i="52"/>
  <c r="V75" i="52"/>
  <c r="V76" i="52"/>
  <c r="AA85" i="49"/>
  <c r="AA86" i="49"/>
  <c r="AA87" i="49"/>
  <c r="AA88" i="49"/>
  <c r="AA95" i="49"/>
  <c r="AA96" i="49"/>
  <c r="AA68" i="49"/>
  <c r="AA69" i="49"/>
  <c r="Y73" i="53"/>
  <c r="AV72" i="53"/>
  <c r="AW70" i="53"/>
  <c r="U95" i="32"/>
  <c r="T95" i="32"/>
  <c r="AZ64" i="49"/>
  <c r="AC64" i="49"/>
  <c r="AC65" i="49"/>
  <c r="AZ65" i="49"/>
  <c r="BA63" i="49"/>
  <c r="X92" i="53"/>
  <c r="X93" i="53"/>
  <c r="X94" i="53"/>
  <c r="X102" i="53"/>
  <c r="X103" i="53"/>
  <c r="Z85" i="55"/>
  <c r="Z86" i="55"/>
  <c r="Z87" i="55"/>
  <c r="Z88" i="55"/>
  <c r="Z95" i="55"/>
  <c r="Z96" i="55"/>
  <c r="AA66" i="55"/>
  <c r="Y88" i="55"/>
  <c r="U95" i="53"/>
  <c r="V95" i="53"/>
  <c r="X73" i="52"/>
  <c r="X75" i="52"/>
  <c r="W73" i="54"/>
  <c r="AV71" i="54"/>
  <c r="Y71" i="54"/>
  <c r="Y72" i="54"/>
  <c r="AB66" i="49"/>
  <c r="AB68" i="49"/>
  <c r="AB69" i="49"/>
  <c r="AY64" i="55"/>
  <c r="AB64" i="55"/>
  <c r="AB65" i="55"/>
  <c r="Y103" i="55"/>
  <c r="Y102" i="55"/>
  <c r="W72" i="52"/>
  <c r="W92" i="53"/>
  <c r="W102" i="53"/>
  <c r="AV71" i="52"/>
  <c r="Y71" i="52"/>
  <c r="Y72" i="52"/>
  <c r="AU71" i="32"/>
  <c r="X71" i="32"/>
  <c r="X72" i="32"/>
  <c r="X71" i="54"/>
  <c r="X72" i="54"/>
  <c r="V95" i="54"/>
  <c r="U95" i="54"/>
  <c r="W72" i="32"/>
  <c r="X75" i="53"/>
  <c r="X76" i="53"/>
  <c r="T95" i="52"/>
  <c r="U95" i="52"/>
  <c r="V102" i="32"/>
  <c r="V92" i="32"/>
  <c r="AY65" i="55"/>
  <c r="AZ63" i="55"/>
  <c r="AV72" i="52"/>
  <c r="AW70" i="52"/>
  <c r="AV72" i="54"/>
  <c r="AW70" i="54"/>
  <c r="W73" i="52"/>
  <c r="W75" i="52"/>
  <c r="W76" i="52"/>
  <c r="X76" i="52"/>
  <c r="AA95" i="55"/>
  <c r="AA96" i="55"/>
  <c r="AA85" i="55"/>
  <c r="AA86" i="55"/>
  <c r="AA87" i="55"/>
  <c r="AA88" i="55"/>
  <c r="X92" i="52"/>
  <c r="X93" i="52"/>
  <c r="X94" i="52"/>
  <c r="X102" i="52"/>
  <c r="X103" i="52"/>
  <c r="AC66" i="49"/>
  <c r="AC68" i="49"/>
  <c r="AC69" i="49"/>
  <c r="Y102" i="53"/>
  <c r="Y103" i="53"/>
  <c r="Y92" i="53"/>
  <c r="Y93" i="53"/>
  <c r="Y94" i="53"/>
  <c r="X109" i="53"/>
  <c r="X110" i="53"/>
  <c r="V93" i="32"/>
  <c r="BA64" i="49"/>
  <c r="AD64" i="49"/>
  <c r="AD65" i="49"/>
  <c r="V103" i="32"/>
  <c r="Y75" i="53"/>
  <c r="Y76" i="53"/>
  <c r="AU72" i="32"/>
  <c r="AV70" i="32"/>
  <c r="AB85" i="49"/>
  <c r="AB86" i="49"/>
  <c r="AB87" i="49"/>
  <c r="AB88" i="49"/>
  <c r="AB95" i="49"/>
  <c r="AB96" i="49"/>
  <c r="Z102" i="55"/>
  <c r="Z103" i="55"/>
  <c r="AW71" i="54"/>
  <c r="Z71" i="54"/>
  <c r="Z72" i="54"/>
  <c r="AA102" i="49"/>
  <c r="AA103" i="49"/>
  <c r="AW71" i="53"/>
  <c r="Z71" i="53"/>
  <c r="Z72" i="53"/>
  <c r="Y73" i="52"/>
  <c r="AB66" i="55"/>
  <c r="W73" i="32"/>
  <c r="W75" i="32"/>
  <c r="W76" i="32"/>
  <c r="X73" i="54"/>
  <c r="X75" i="54"/>
  <c r="W103" i="53"/>
  <c r="W102" i="54"/>
  <c r="W103" i="54"/>
  <c r="W92" i="54"/>
  <c r="W93" i="54"/>
  <c r="W94" i="54"/>
  <c r="W93" i="53"/>
  <c r="W75" i="54"/>
  <c r="W76" i="54"/>
  <c r="V103" i="52"/>
  <c r="AZ64" i="55"/>
  <c r="AC64" i="55"/>
  <c r="AC65" i="55"/>
  <c r="X73" i="32"/>
  <c r="X75" i="32"/>
  <c r="AW71" i="52"/>
  <c r="Z71" i="52"/>
  <c r="Z72" i="52"/>
  <c r="Y73" i="54"/>
  <c r="Y75" i="54"/>
  <c r="AA68" i="55"/>
  <c r="AA69" i="55"/>
  <c r="V93" i="52"/>
  <c r="BA65" i="49"/>
  <c r="BB63" i="49"/>
  <c r="X76" i="54"/>
  <c r="AW72" i="53"/>
  <c r="AX70" i="53"/>
  <c r="X76" i="32"/>
  <c r="Y76" i="54"/>
  <c r="AB85" i="55"/>
  <c r="AB86" i="55"/>
  <c r="AB87" i="55"/>
  <c r="AB88" i="55"/>
  <c r="AB95" i="55"/>
  <c r="AB96" i="55"/>
  <c r="AC85" i="49"/>
  <c r="AC86" i="49"/>
  <c r="AC87" i="49"/>
  <c r="AC88" i="49"/>
  <c r="AC95" i="49"/>
  <c r="AC96" i="49"/>
  <c r="Z73" i="52"/>
  <c r="Z75" i="52"/>
  <c r="BB64" i="49"/>
  <c r="AE64" i="49"/>
  <c r="AE65" i="49"/>
  <c r="AC66" i="55"/>
  <c r="AC68" i="55"/>
  <c r="X109" i="52"/>
  <c r="X110" i="52"/>
  <c r="W94" i="53"/>
  <c r="AW72" i="54"/>
  <c r="AX70" i="54"/>
  <c r="X92" i="54"/>
  <c r="X93" i="54"/>
  <c r="X94" i="54"/>
  <c r="X102" i="54"/>
  <c r="X103" i="54"/>
  <c r="W102" i="32"/>
  <c r="W92" i="32"/>
  <c r="AZ65" i="55"/>
  <c r="BA63" i="55"/>
  <c r="Y102" i="54"/>
  <c r="Y103" i="54"/>
  <c r="Y92" i="54"/>
  <c r="Y93" i="54"/>
  <c r="Y94" i="54"/>
  <c r="AW72" i="52"/>
  <c r="AX70" i="52"/>
  <c r="X102" i="32"/>
  <c r="X103" i="32"/>
  <c r="X92" i="32"/>
  <c r="X93" i="32"/>
  <c r="X94" i="32"/>
  <c r="AB68" i="55"/>
  <c r="AB69" i="55"/>
  <c r="Y109" i="53"/>
  <c r="Y110" i="53"/>
  <c r="W110" i="54"/>
  <c r="W109" i="54"/>
  <c r="AA102" i="55"/>
  <c r="AA103" i="55"/>
  <c r="W109" i="53"/>
  <c r="W110" i="53"/>
  <c r="Y92" i="52"/>
  <c r="Y93" i="52"/>
  <c r="Y94" i="52"/>
  <c r="Y102" i="52"/>
  <c r="Y103" i="52"/>
  <c r="Z73" i="54"/>
  <c r="AB102" i="49"/>
  <c r="AB103" i="49"/>
  <c r="AD66" i="49"/>
  <c r="V94" i="32"/>
  <c r="Z73" i="53"/>
  <c r="Z75" i="53"/>
  <c r="Z76" i="53"/>
  <c r="W95" i="54"/>
  <c r="Y95" i="54"/>
  <c r="V94" i="52"/>
  <c r="W92" i="52"/>
  <c r="W93" i="52"/>
  <c r="W94" i="52"/>
  <c r="W102" i="52"/>
  <c r="W103" i="52"/>
  <c r="V110" i="32"/>
  <c r="V109" i="32"/>
  <c r="Y75" i="52"/>
  <c r="Y76" i="52"/>
  <c r="AX71" i="53"/>
  <c r="AA71" i="53"/>
  <c r="AA72" i="53"/>
  <c r="V110" i="52"/>
  <c r="V109" i="52"/>
  <c r="AV71" i="32"/>
  <c r="Y71" i="32"/>
  <c r="Y72" i="32"/>
  <c r="AC69" i="55"/>
  <c r="AV72" i="32"/>
  <c r="AW70" i="32"/>
  <c r="Z92" i="54"/>
  <c r="Z93" i="54"/>
  <c r="Z94" i="54"/>
  <c r="Z102" i="54"/>
  <c r="Z103" i="54"/>
  <c r="W103" i="32"/>
  <c r="Y73" i="32"/>
  <c r="Y75" i="32"/>
  <c r="Y76" i="32"/>
  <c r="Y110" i="52"/>
  <c r="Y109" i="52"/>
  <c r="X110" i="54"/>
  <c r="X109" i="54"/>
  <c r="AW71" i="32"/>
  <c r="Z71" i="32"/>
  <c r="Z72" i="32"/>
  <c r="X95" i="54"/>
  <c r="X95" i="53"/>
  <c r="W95" i="53"/>
  <c r="Y95" i="53"/>
  <c r="AE66" i="49"/>
  <c r="AE68" i="49"/>
  <c r="AE69" i="49"/>
  <c r="Z76" i="52"/>
  <c r="Y95" i="52"/>
  <c r="X95" i="52"/>
  <c r="V95" i="52"/>
  <c r="W95" i="52"/>
  <c r="Z102" i="52"/>
  <c r="Z103" i="52"/>
  <c r="Z92" i="52"/>
  <c r="Z93" i="52"/>
  <c r="Z94" i="52"/>
  <c r="Z95" i="52"/>
  <c r="Z75" i="54"/>
  <c r="Z76" i="54"/>
  <c r="AA73" i="53"/>
  <c r="AA75" i="53"/>
  <c r="AA76" i="53"/>
  <c r="W110" i="52"/>
  <c r="W109" i="52"/>
  <c r="Z95" i="54"/>
  <c r="W93" i="32"/>
  <c r="W94" i="32"/>
  <c r="AX71" i="52"/>
  <c r="AA71" i="52"/>
  <c r="AA72" i="52"/>
  <c r="AX71" i="54"/>
  <c r="AA71" i="54"/>
  <c r="AA72" i="54"/>
  <c r="AX72" i="54"/>
  <c r="AY70" i="54"/>
  <c r="AX72" i="53"/>
  <c r="AY70" i="53"/>
  <c r="Z102" i="53"/>
  <c r="Z103" i="53"/>
  <c r="Z92" i="53"/>
  <c r="Z93" i="53"/>
  <c r="Z94" i="53"/>
  <c r="X110" i="32"/>
  <c r="X109" i="32"/>
  <c r="AD85" i="49"/>
  <c r="AD86" i="49"/>
  <c r="AD87" i="49"/>
  <c r="AD88" i="49"/>
  <c r="AD95" i="49"/>
  <c r="AD96" i="49"/>
  <c r="AD68" i="49"/>
  <c r="AD69" i="49"/>
  <c r="AB103" i="55"/>
  <c r="AB102" i="55"/>
  <c r="AC85" i="55"/>
  <c r="AC86" i="55"/>
  <c r="AC87" i="55"/>
  <c r="AC88" i="55"/>
  <c r="AC95" i="55"/>
  <c r="AC96" i="55"/>
  <c r="BB65" i="49"/>
  <c r="BC63" i="49"/>
  <c r="V95" i="32"/>
  <c r="X95" i="32"/>
  <c r="W95" i="32"/>
  <c r="AC102" i="49"/>
  <c r="AC103" i="49"/>
  <c r="Y109" i="54"/>
  <c r="Y110" i="54"/>
  <c r="BA64" i="55"/>
  <c r="AD64" i="55"/>
  <c r="AD65" i="55"/>
  <c r="BA65" i="55"/>
  <c r="BB63" i="55"/>
  <c r="AY71" i="53"/>
  <c r="AB71" i="53"/>
  <c r="AB72" i="53"/>
  <c r="BC64" i="49"/>
  <c r="AF64" i="49"/>
  <c r="AF65" i="49"/>
  <c r="AA102" i="53"/>
  <c r="AA103" i="53"/>
  <c r="AA92" i="53"/>
  <c r="AA93" i="53"/>
  <c r="AA94" i="53"/>
  <c r="AA73" i="52"/>
  <c r="AA75" i="52"/>
  <c r="AA76" i="52"/>
  <c r="Y92" i="32"/>
  <c r="Y102" i="32"/>
  <c r="BB64" i="55"/>
  <c r="AE64" i="55"/>
  <c r="AE65" i="55"/>
  <c r="W109" i="32"/>
  <c r="W110" i="32"/>
  <c r="AC103" i="55"/>
  <c r="AC102" i="55"/>
  <c r="AA73" i="54"/>
  <c r="AW72" i="32"/>
  <c r="AX70" i="32"/>
  <c r="AD66" i="55"/>
  <c r="AD68" i="55"/>
  <c r="AD69" i="55"/>
  <c r="Z95" i="53"/>
  <c r="Z109" i="54"/>
  <c r="Z110" i="54"/>
  <c r="AX72" i="52"/>
  <c r="AY70" i="52"/>
  <c r="AE95" i="49"/>
  <c r="AE96" i="49"/>
  <c r="AE85" i="49"/>
  <c r="AE86" i="49"/>
  <c r="AE87" i="49"/>
  <c r="AE88" i="49"/>
  <c r="AY71" i="54"/>
  <c r="AB71" i="54"/>
  <c r="AB72" i="54"/>
  <c r="AY72" i="54"/>
  <c r="AZ70" i="54"/>
  <c r="Z110" i="52"/>
  <c r="Z109" i="52"/>
  <c r="Z73" i="32"/>
  <c r="Z75" i="32"/>
  <c r="Z76" i="32"/>
  <c r="AD102" i="49"/>
  <c r="AD103" i="49"/>
  <c r="Z109" i="53"/>
  <c r="Z110" i="53"/>
  <c r="BB65" i="55"/>
  <c r="BC63" i="55"/>
  <c r="Y103" i="32"/>
  <c r="AD95" i="55"/>
  <c r="AD96" i="55"/>
  <c r="AD85" i="55"/>
  <c r="AD86" i="55"/>
  <c r="AD87" i="55"/>
  <c r="AD88" i="55"/>
  <c r="AZ71" i="54"/>
  <c r="AC71" i="54"/>
  <c r="AC72" i="54"/>
  <c r="AA102" i="54"/>
  <c r="AA103" i="54"/>
  <c r="AA92" i="54"/>
  <c r="AA93" i="54"/>
  <c r="AA94" i="54"/>
  <c r="AA95" i="54"/>
  <c r="Y93" i="32"/>
  <c r="Y94" i="32"/>
  <c r="AA92" i="52"/>
  <c r="AA93" i="52"/>
  <c r="AA94" i="52"/>
  <c r="AA102" i="52"/>
  <c r="AA103" i="52"/>
  <c r="AX71" i="32"/>
  <c r="AA71" i="32"/>
  <c r="AA72" i="32"/>
  <c r="AA95" i="53"/>
  <c r="AA109" i="53"/>
  <c r="AA110" i="53"/>
  <c r="AB73" i="54"/>
  <c r="AB75" i="54"/>
  <c r="AA75" i="54"/>
  <c r="AA76" i="54"/>
  <c r="BC65" i="49"/>
  <c r="BD63" i="49"/>
  <c r="BC64" i="55"/>
  <c r="AF64" i="55"/>
  <c r="AF65" i="55"/>
  <c r="BC65" i="55"/>
  <c r="BD63" i="55"/>
  <c r="Z92" i="32"/>
  <c r="Z93" i="32"/>
  <c r="Z94" i="32"/>
  <c r="Z102" i="32"/>
  <c r="Z103" i="32"/>
  <c r="AF66" i="49"/>
  <c r="AF68" i="49"/>
  <c r="AF69" i="49"/>
  <c r="AE103" i="49"/>
  <c r="AE102" i="49"/>
  <c r="AY71" i="52"/>
  <c r="AB71" i="52"/>
  <c r="AB72" i="52"/>
  <c r="AY72" i="53"/>
  <c r="AZ70" i="53"/>
  <c r="AB73" i="53"/>
  <c r="AB75" i="53"/>
  <c r="AB76" i="53"/>
  <c r="AE66" i="55"/>
  <c r="AE68" i="55"/>
  <c r="AE69" i="55"/>
  <c r="AB76" i="54"/>
  <c r="AY72" i="52"/>
  <c r="AZ70" i="52"/>
  <c r="Z109" i="32"/>
  <c r="Z110" i="32"/>
  <c r="AB102" i="53"/>
  <c r="AB103" i="53"/>
  <c r="AB92" i="53"/>
  <c r="AB93" i="53"/>
  <c r="AB94" i="53"/>
  <c r="AB95" i="53"/>
  <c r="Y95" i="32"/>
  <c r="Z95" i="32"/>
  <c r="AA73" i="32"/>
  <c r="AX72" i="32"/>
  <c r="AY70" i="32"/>
  <c r="AE95" i="55"/>
  <c r="AE96" i="55"/>
  <c r="AE85" i="55"/>
  <c r="AE86" i="55"/>
  <c r="AE87" i="55"/>
  <c r="AE88" i="55"/>
  <c r="AA95" i="52"/>
  <c r="AC73" i="54"/>
  <c r="AC75" i="54"/>
  <c r="AC76" i="54"/>
  <c r="BD64" i="49"/>
  <c r="AG64" i="49"/>
  <c r="AG65" i="49"/>
  <c r="AZ71" i="52"/>
  <c r="AC71" i="52"/>
  <c r="AC72" i="52"/>
  <c r="AF66" i="55"/>
  <c r="AF68" i="55"/>
  <c r="AF69" i="55"/>
  <c r="AZ72" i="54"/>
  <c r="BA70" i="54"/>
  <c r="BD64" i="55"/>
  <c r="AG64" i="55"/>
  <c r="AG65" i="55"/>
  <c r="AB92" i="54"/>
  <c r="AB93" i="54"/>
  <c r="AB94" i="54"/>
  <c r="AB95" i="54"/>
  <c r="AB102" i="54"/>
  <c r="AB103" i="54"/>
  <c r="AA109" i="52"/>
  <c r="AA110" i="52"/>
  <c r="AD102" i="55"/>
  <c r="AD103" i="55"/>
  <c r="AZ71" i="53"/>
  <c r="AC71" i="53"/>
  <c r="AC72" i="53"/>
  <c r="AA110" i="54"/>
  <c r="AA109" i="54"/>
  <c r="AB73" i="52"/>
  <c r="AB75" i="52"/>
  <c r="AB76" i="52"/>
  <c r="AF85" i="49"/>
  <c r="AF86" i="49"/>
  <c r="AF87" i="49"/>
  <c r="AF88" i="49"/>
  <c r="AF95" i="49"/>
  <c r="AF96" i="49"/>
  <c r="Y110" i="32"/>
  <c r="Y109" i="32"/>
  <c r="AZ72" i="53"/>
  <c r="BA70" i="53"/>
  <c r="BD65" i="49"/>
  <c r="BE63" i="49"/>
  <c r="AF103" i="49"/>
  <c r="AF102" i="49"/>
  <c r="AA102" i="32"/>
  <c r="AA103" i="32"/>
  <c r="AA92" i="32"/>
  <c r="AA93" i="32"/>
  <c r="AA94" i="32"/>
  <c r="AA95" i="32"/>
  <c r="BE64" i="49"/>
  <c r="AH64" i="49"/>
  <c r="AH65" i="49"/>
  <c r="BA71" i="53"/>
  <c r="AD71" i="53"/>
  <c r="AD72" i="53"/>
  <c r="AC73" i="52"/>
  <c r="AC75" i="52"/>
  <c r="AC76" i="52"/>
  <c r="AB102" i="52"/>
  <c r="AB103" i="52"/>
  <c r="AB92" i="52"/>
  <c r="AB93" i="52"/>
  <c r="AB94" i="52"/>
  <c r="AB95" i="52"/>
  <c r="AG66" i="55"/>
  <c r="BD65" i="55"/>
  <c r="BE63" i="55"/>
  <c r="AZ72" i="52"/>
  <c r="BA70" i="52"/>
  <c r="AC102" i="54"/>
  <c r="AC103" i="54"/>
  <c r="AC92" i="54"/>
  <c r="AC93" i="54"/>
  <c r="AC94" i="54"/>
  <c r="AC95" i="54"/>
  <c r="BA71" i="54"/>
  <c r="AD71" i="54"/>
  <c r="AD72" i="54"/>
  <c r="AG68" i="49"/>
  <c r="AG69" i="49"/>
  <c r="AG66" i="49"/>
  <c r="AB109" i="53"/>
  <c r="AB110" i="53"/>
  <c r="AF95" i="55"/>
  <c r="AF96" i="55"/>
  <c r="AF85" i="55"/>
  <c r="AF86" i="55"/>
  <c r="AF87" i="55"/>
  <c r="AF88" i="55"/>
  <c r="AC73" i="53"/>
  <c r="AC75" i="53"/>
  <c r="AC76" i="53"/>
  <c r="AE103" i="55"/>
  <c r="AE102" i="55"/>
  <c r="AY71" i="32"/>
  <c r="AB71" i="32"/>
  <c r="AB72" i="32"/>
  <c r="AY72" i="32"/>
  <c r="AZ70" i="32"/>
  <c r="AB110" i="54"/>
  <c r="AB109" i="54"/>
  <c r="AA75" i="32"/>
  <c r="AA76" i="32"/>
  <c r="BA72" i="53"/>
  <c r="BB70" i="53"/>
  <c r="AC109" i="54"/>
  <c r="AC110" i="54"/>
  <c r="BA71" i="52"/>
  <c r="AD71" i="52"/>
  <c r="AD72" i="52"/>
  <c r="AH66" i="49"/>
  <c r="AD73" i="54"/>
  <c r="AC102" i="52"/>
  <c r="AC103" i="52"/>
  <c r="AC92" i="52"/>
  <c r="AC93" i="52"/>
  <c r="AC94" i="52"/>
  <c r="AC95" i="52"/>
  <c r="BA72" i="54"/>
  <c r="BB70" i="54"/>
  <c r="AG95" i="55"/>
  <c r="AG96" i="55"/>
  <c r="AG85" i="55"/>
  <c r="AG86" i="55"/>
  <c r="AG87" i="55"/>
  <c r="AG88" i="55"/>
  <c r="AB73" i="32"/>
  <c r="AB75" i="32"/>
  <c r="AB76" i="32"/>
  <c r="BB71" i="53"/>
  <c r="AE71" i="53"/>
  <c r="AE72" i="53"/>
  <c r="AA109" i="32"/>
  <c r="AA110" i="32"/>
  <c r="BE64" i="55"/>
  <c r="AH64" i="55"/>
  <c r="AH65" i="55"/>
  <c r="AB110" i="52"/>
  <c r="AB109" i="52"/>
  <c r="AD73" i="53"/>
  <c r="AD75" i="53"/>
  <c r="AD76" i="53"/>
  <c r="BE65" i="49"/>
  <c r="BF63" i="49"/>
  <c r="AG85" i="49"/>
  <c r="AG86" i="49"/>
  <c r="AG87" i="49"/>
  <c r="AG88" i="49"/>
  <c r="AG95" i="49"/>
  <c r="AG96" i="49"/>
  <c r="AG68" i="55"/>
  <c r="AG69" i="55"/>
  <c r="AZ71" i="32"/>
  <c r="AC71" i="32"/>
  <c r="AC72" i="32"/>
  <c r="AC92" i="53"/>
  <c r="AC93" i="53"/>
  <c r="AC94" i="53"/>
  <c r="AC95" i="53"/>
  <c r="AC102" i="53"/>
  <c r="AC103" i="53"/>
  <c r="AF103" i="55"/>
  <c r="AF102" i="55"/>
  <c r="AE73" i="53"/>
  <c r="AE75" i="53"/>
  <c r="AE76" i="53"/>
  <c r="BB71" i="54"/>
  <c r="AE71" i="54"/>
  <c r="AE72" i="54"/>
  <c r="BB72" i="54"/>
  <c r="BC70" i="54"/>
  <c r="BB72" i="53"/>
  <c r="BC70" i="53"/>
  <c r="AC109" i="53"/>
  <c r="AC110" i="53"/>
  <c r="AC109" i="52"/>
  <c r="AC110" i="52"/>
  <c r="BF64" i="49"/>
  <c r="AI64" i="49"/>
  <c r="AI65" i="49"/>
  <c r="AH66" i="55"/>
  <c r="AH68" i="55"/>
  <c r="AH69" i="55"/>
  <c r="AC73" i="32"/>
  <c r="AC75" i="32"/>
  <c r="AC76" i="32"/>
  <c r="AZ72" i="32"/>
  <c r="BA70" i="32"/>
  <c r="AG102" i="49"/>
  <c r="AG103" i="49"/>
  <c r="AH85" i="49"/>
  <c r="AH86" i="49"/>
  <c r="AH87" i="49"/>
  <c r="AH88" i="49"/>
  <c r="AH95" i="49"/>
  <c r="AH96" i="49"/>
  <c r="AB92" i="32"/>
  <c r="AB93" i="32"/>
  <c r="AB94" i="32"/>
  <c r="AB95" i="32"/>
  <c r="AB102" i="32"/>
  <c r="AB103" i="32"/>
  <c r="AG103" i="55"/>
  <c r="AG102" i="55"/>
  <c r="AD102" i="54"/>
  <c r="AD103" i="54"/>
  <c r="AD92" i="54"/>
  <c r="AD93" i="54"/>
  <c r="AD94" i="54"/>
  <c r="AD95" i="54"/>
  <c r="AD75" i="54"/>
  <c r="AD76" i="54"/>
  <c r="AH68" i="49"/>
  <c r="AH69" i="49"/>
  <c r="AD102" i="53"/>
  <c r="AD103" i="53"/>
  <c r="AD92" i="53"/>
  <c r="AD93" i="53"/>
  <c r="AD94" i="53"/>
  <c r="AD95" i="53"/>
  <c r="AD73" i="52"/>
  <c r="AD75" i="52"/>
  <c r="AD76" i="52"/>
  <c r="BA72" i="52"/>
  <c r="BB70" i="52"/>
  <c r="BE65" i="55"/>
  <c r="BF63" i="55"/>
  <c r="BF65" i="49"/>
  <c r="BG63" i="49"/>
  <c r="BF64" i="55"/>
  <c r="AI64" i="55"/>
  <c r="AI65" i="55"/>
  <c r="BF65" i="55"/>
  <c r="BG63" i="55"/>
  <c r="BB71" i="52"/>
  <c r="AE71" i="52"/>
  <c r="AE72" i="52"/>
  <c r="AI66" i="49"/>
  <c r="AD110" i="53"/>
  <c r="AD109" i="53"/>
  <c r="BA71" i="32"/>
  <c r="AD71" i="32"/>
  <c r="AD72" i="32"/>
  <c r="AD92" i="52"/>
  <c r="AD93" i="52"/>
  <c r="AD94" i="52"/>
  <c r="AD95" i="52"/>
  <c r="AD102" i="52"/>
  <c r="AD103" i="52"/>
  <c r="AC92" i="32"/>
  <c r="AC93" i="32"/>
  <c r="AC94" i="32"/>
  <c r="AC95" i="32"/>
  <c r="AC102" i="32"/>
  <c r="AC103" i="32"/>
  <c r="AH95" i="55"/>
  <c r="AH96" i="55"/>
  <c r="AH85" i="55"/>
  <c r="AH86" i="55"/>
  <c r="AH87" i="55"/>
  <c r="AH88" i="55"/>
  <c r="BC71" i="54"/>
  <c r="AF71" i="54"/>
  <c r="AF72" i="54"/>
  <c r="BG64" i="49"/>
  <c r="BG65" i="49"/>
  <c r="BH63" i="49"/>
  <c r="BC71" i="53"/>
  <c r="AF71" i="53"/>
  <c r="AF72" i="53"/>
  <c r="AE73" i="54"/>
  <c r="AE75" i="54"/>
  <c r="AE76" i="54"/>
  <c r="AH102" i="49"/>
  <c r="AH103" i="49"/>
  <c r="AD109" i="54"/>
  <c r="AD110" i="54"/>
  <c r="AB110" i="32"/>
  <c r="AB109" i="32"/>
  <c r="AE102" i="53"/>
  <c r="AE103" i="53"/>
  <c r="AE92" i="53"/>
  <c r="AE93" i="53"/>
  <c r="AE94" i="53"/>
  <c r="AE95" i="53"/>
  <c r="BC72" i="54"/>
  <c r="BD70" i="54"/>
  <c r="BB72" i="52"/>
  <c r="BC70" i="52"/>
  <c r="BD71" i="54"/>
  <c r="AG71" i="54"/>
  <c r="AG72" i="54"/>
  <c r="AC110" i="32"/>
  <c r="AC109" i="32"/>
  <c r="AI95" i="49"/>
  <c r="AI96" i="49"/>
  <c r="AI85" i="49"/>
  <c r="AI68" i="49"/>
  <c r="AI69" i="49"/>
  <c r="AE73" i="52"/>
  <c r="AE75" i="52"/>
  <c r="AE76" i="52"/>
  <c r="BC71" i="52"/>
  <c r="AF71" i="52"/>
  <c r="AF72" i="52"/>
  <c r="BH65" i="49"/>
  <c r="BI63" i="49"/>
  <c r="BI65" i="49"/>
  <c r="BJ63" i="49"/>
  <c r="BJ65" i="49"/>
  <c r="BK63" i="49"/>
  <c r="BK65" i="49"/>
  <c r="AH102" i="55"/>
  <c r="AH103" i="55"/>
  <c r="AE110" i="53"/>
  <c r="AE109" i="53"/>
  <c r="BA72" i="32"/>
  <c r="BB70" i="32"/>
  <c r="BG64" i="55"/>
  <c r="BG65" i="55"/>
  <c r="BH63" i="55"/>
  <c r="AJ64" i="49"/>
  <c r="AJ65" i="49"/>
  <c r="BH64" i="49"/>
  <c r="AF73" i="54"/>
  <c r="AF75" i="54"/>
  <c r="AF76" i="54"/>
  <c r="AD109" i="52"/>
  <c r="AD110" i="52"/>
  <c r="AD73" i="32"/>
  <c r="AD75" i="32"/>
  <c r="AD76" i="32"/>
  <c r="AE92" i="54"/>
  <c r="AE93" i="54"/>
  <c r="AE94" i="54"/>
  <c r="AE95" i="54"/>
  <c r="AE102" i="54"/>
  <c r="AE103" i="54"/>
  <c r="AF73" i="53"/>
  <c r="AF75" i="53"/>
  <c r="AF76" i="53"/>
  <c r="BC72" i="53"/>
  <c r="BD70" i="53"/>
  <c r="AI66" i="55"/>
  <c r="BC72" i="52"/>
  <c r="BD70" i="52"/>
  <c r="BB71" i="32"/>
  <c r="AE71" i="32"/>
  <c r="AE72" i="32"/>
  <c r="BD71" i="53"/>
  <c r="AG71" i="53"/>
  <c r="AG72" i="53"/>
  <c r="AI86" i="49"/>
  <c r="AM85" i="49"/>
  <c r="AF102" i="53"/>
  <c r="AF103" i="53"/>
  <c r="AF92" i="53"/>
  <c r="AF93" i="53"/>
  <c r="AF94" i="53"/>
  <c r="AF95" i="53"/>
  <c r="AI102" i="49"/>
  <c r="AI103" i="49"/>
  <c r="AI85" i="55"/>
  <c r="AI95" i="55"/>
  <c r="AI96" i="55"/>
  <c r="AJ64" i="55"/>
  <c r="AJ65" i="55"/>
  <c r="BH64" i="55"/>
  <c r="AI68" i="55"/>
  <c r="AI69" i="55"/>
  <c r="BD71" i="52"/>
  <c r="AG71" i="52"/>
  <c r="AG72" i="52"/>
  <c r="AE109" i="54"/>
  <c r="AE110" i="54"/>
  <c r="AJ66" i="49"/>
  <c r="AJ68" i="49"/>
  <c r="AJ69" i="49"/>
  <c r="AF73" i="52"/>
  <c r="AF75" i="52"/>
  <c r="AF76" i="52"/>
  <c r="AE102" i="52"/>
  <c r="AE103" i="52"/>
  <c r="AE92" i="52"/>
  <c r="AE93" i="52"/>
  <c r="AE94" i="52"/>
  <c r="AE95" i="52"/>
  <c r="AD92" i="32"/>
  <c r="AD93" i="32"/>
  <c r="AD94" i="32"/>
  <c r="AD95" i="32"/>
  <c r="AD102" i="32"/>
  <c r="AD103" i="32"/>
  <c r="AF92" i="54"/>
  <c r="AF93" i="54"/>
  <c r="AF94" i="54"/>
  <c r="AF95" i="54"/>
  <c r="AF102" i="54"/>
  <c r="AF103" i="54"/>
  <c r="BD72" i="54"/>
  <c r="BE70" i="54"/>
  <c r="AK64" i="49"/>
  <c r="BL64" i="49"/>
  <c r="AG73" i="54"/>
  <c r="BD72" i="52"/>
  <c r="BE70" i="52"/>
  <c r="BE71" i="52"/>
  <c r="AH71" i="52"/>
  <c r="AH72" i="52"/>
  <c r="AI86" i="55"/>
  <c r="AM85" i="55"/>
  <c r="AG73" i="52"/>
  <c r="AG75" i="52"/>
  <c r="AG76" i="52"/>
  <c r="AK64" i="55"/>
  <c r="BL64" i="55"/>
  <c r="AI102" i="55"/>
  <c r="AI103" i="55"/>
  <c r="AK65" i="49"/>
  <c r="AM64" i="49"/>
  <c r="AI87" i="49"/>
  <c r="AM86" i="49"/>
  <c r="BD72" i="53"/>
  <c r="BE70" i="53"/>
  <c r="AJ66" i="55"/>
  <c r="AJ68" i="55"/>
  <c r="AJ69" i="55"/>
  <c r="BE71" i="54"/>
  <c r="AH71" i="54"/>
  <c r="AH72" i="54"/>
  <c r="AE73" i="32"/>
  <c r="AG102" i="54"/>
  <c r="AG103" i="54"/>
  <c r="AG92" i="54"/>
  <c r="AG93" i="54"/>
  <c r="AG94" i="54"/>
  <c r="AG95" i="54"/>
  <c r="AG75" i="54"/>
  <c r="AG76" i="54"/>
  <c r="AF109" i="54"/>
  <c r="AF110" i="54"/>
  <c r="AD110" i="32"/>
  <c r="AD109" i="32"/>
  <c r="AF109" i="53"/>
  <c r="AF110" i="53"/>
  <c r="AE109" i="52"/>
  <c r="AE110" i="52"/>
  <c r="BB72" i="32"/>
  <c r="BC70" i="32"/>
  <c r="AG73" i="53"/>
  <c r="AG75" i="53"/>
  <c r="AG76" i="53"/>
  <c r="AF92" i="52"/>
  <c r="AF93" i="52"/>
  <c r="AF94" i="52"/>
  <c r="AF95" i="52"/>
  <c r="AF102" i="52"/>
  <c r="AF103" i="52"/>
  <c r="AJ85" i="49"/>
  <c r="AJ86" i="49"/>
  <c r="AJ87" i="49"/>
  <c r="AJ88" i="49"/>
  <c r="AJ95" i="49"/>
  <c r="BH65" i="55"/>
  <c r="BI63" i="55"/>
  <c r="BI65" i="55"/>
  <c r="BJ63" i="55"/>
  <c r="BJ65" i="55"/>
  <c r="BK63" i="55"/>
  <c r="BK65" i="55"/>
  <c r="AF109" i="52"/>
  <c r="AF110" i="52"/>
  <c r="AE102" i="32"/>
  <c r="AE103" i="32"/>
  <c r="AE92" i="32"/>
  <c r="AE93" i="32"/>
  <c r="AE94" i="32"/>
  <c r="AE95" i="32"/>
  <c r="AG92" i="53"/>
  <c r="AG93" i="53"/>
  <c r="AG94" i="53"/>
  <c r="AG95" i="53"/>
  <c r="AG102" i="53"/>
  <c r="AG103" i="53"/>
  <c r="AI88" i="49"/>
  <c r="AM87" i="49"/>
  <c r="AK66" i="49"/>
  <c r="AK68" i="49"/>
  <c r="AK69" i="49"/>
  <c r="AL69" i="49"/>
  <c r="AJ96" i="49"/>
  <c r="AM95" i="49"/>
  <c r="AK65" i="55"/>
  <c r="AM64" i="55"/>
  <c r="AJ95" i="55"/>
  <c r="AJ85" i="55"/>
  <c r="AJ86" i="55"/>
  <c r="AJ87" i="55"/>
  <c r="AJ88" i="55"/>
  <c r="AH73" i="54"/>
  <c r="AH75" i="54"/>
  <c r="AH76" i="54"/>
  <c r="BC71" i="32"/>
  <c r="AF71" i="32"/>
  <c r="AF72" i="32"/>
  <c r="AG102" i="52"/>
  <c r="AG103" i="52"/>
  <c r="AG92" i="52"/>
  <c r="AG93" i="52"/>
  <c r="AG94" i="52"/>
  <c r="AG95" i="52"/>
  <c r="BE71" i="53"/>
  <c r="AH71" i="53"/>
  <c r="AH72" i="53"/>
  <c r="BE72" i="54"/>
  <c r="BF70" i="54"/>
  <c r="AG110" i="54"/>
  <c r="AG109" i="54"/>
  <c r="AI87" i="55"/>
  <c r="AM86" i="55"/>
  <c r="AH73" i="52"/>
  <c r="AH75" i="52"/>
  <c r="AH76" i="52"/>
  <c r="AE75" i="32"/>
  <c r="AE76" i="32"/>
  <c r="BE72" i="52"/>
  <c r="BF70" i="52"/>
  <c r="BC72" i="32"/>
  <c r="BD70" i="32"/>
  <c r="BD71" i="32"/>
  <c r="AG71" i="32"/>
  <c r="AG72" i="32"/>
  <c r="BF71" i="52"/>
  <c r="AI71" i="52"/>
  <c r="AI72" i="52"/>
  <c r="BF72" i="52"/>
  <c r="BG70" i="52"/>
  <c r="AK66" i="55"/>
  <c r="AH92" i="52"/>
  <c r="AH93" i="52"/>
  <c r="AH94" i="52"/>
  <c r="AH95" i="52"/>
  <c r="AH102" i="52"/>
  <c r="AH103" i="52"/>
  <c r="AF73" i="32"/>
  <c r="AH92" i="54"/>
  <c r="AH93" i="54"/>
  <c r="AH94" i="54"/>
  <c r="AH95" i="54"/>
  <c r="AH102" i="54"/>
  <c r="AH103" i="54"/>
  <c r="AJ102" i="49"/>
  <c r="AJ103" i="49"/>
  <c r="AK85" i="49"/>
  <c r="AK86" i="49"/>
  <c r="AK87" i="49"/>
  <c r="AK95" i="49"/>
  <c r="AK96" i="49"/>
  <c r="AJ96" i="55"/>
  <c r="AM95" i="55"/>
  <c r="AG110" i="53"/>
  <c r="AG109" i="53"/>
  <c r="AM87" i="55"/>
  <c r="AI88" i="55"/>
  <c r="BF71" i="54"/>
  <c r="AI71" i="54"/>
  <c r="AI72" i="54"/>
  <c r="BF72" i="54"/>
  <c r="BG70" i="54"/>
  <c r="AH73" i="53"/>
  <c r="AH75" i="53"/>
  <c r="AH76" i="53"/>
  <c r="BE72" i="53"/>
  <c r="BF70" i="53"/>
  <c r="AE110" i="32"/>
  <c r="AE109" i="32"/>
  <c r="AG110" i="52"/>
  <c r="AG109" i="52"/>
  <c r="AL88" i="49"/>
  <c r="AK88" i="49"/>
  <c r="AJ103" i="55"/>
  <c r="AJ102" i="55"/>
  <c r="AH109" i="54"/>
  <c r="AH110" i="54"/>
  <c r="BF71" i="53"/>
  <c r="AI71" i="53"/>
  <c r="AI72" i="53"/>
  <c r="AK102" i="49"/>
  <c r="AK103" i="49"/>
  <c r="AK85" i="55"/>
  <c r="AK86" i="55"/>
  <c r="AK87" i="55"/>
  <c r="AK95" i="55"/>
  <c r="AK96" i="55"/>
  <c r="AH109" i="52"/>
  <c r="AH110" i="52"/>
  <c r="AK68" i="55"/>
  <c r="AK69" i="55"/>
  <c r="AL69" i="55"/>
  <c r="AF92" i="32"/>
  <c r="AF93" i="32"/>
  <c r="AF94" i="32"/>
  <c r="AF95" i="32"/>
  <c r="AF102" i="32"/>
  <c r="AF103" i="32"/>
  <c r="AF75" i="32"/>
  <c r="AF76" i="32"/>
  <c r="AH102" i="53"/>
  <c r="AH103" i="53"/>
  <c r="AH92" i="53"/>
  <c r="AH93" i="53"/>
  <c r="AH94" i="53"/>
  <c r="AH95" i="53"/>
  <c r="BG71" i="54"/>
  <c r="BG72" i="54"/>
  <c r="BH70" i="54"/>
  <c r="BG71" i="52"/>
  <c r="AI73" i="54"/>
  <c r="AI73" i="52"/>
  <c r="AI75" i="52"/>
  <c r="AI76" i="52"/>
  <c r="AG73" i="32"/>
  <c r="BD72" i="32"/>
  <c r="BE70" i="32"/>
  <c r="AK88" i="55"/>
  <c r="AL88" i="55"/>
  <c r="AF109" i="32"/>
  <c r="AF110" i="32"/>
  <c r="AG92" i="32"/>
  <c r="AG93" i="32"/>
  <c r="AG94" i="32"/>
  <c r="AG95" i="32"/>
  <c r="AG102" i="32"/>
  <c r="AG103" i="32"/>
  <c r="O108" i="49"/>
  <c r="O105" i="49"/>
  <c r="O106" i="49"/>
  <c r="I20" i="50"/>
  <c r="O109" i="49"/>
  <c r="I21" i="50"/>
  <c r="BF72" i="53"/>
  <c r="BG70" i="53"/>
  <c r="AH110" i="53"/>
  <c r="AH109" i="53"/>
  <c r="AI73" i="53"/>
  <c r="AI75" i="53"/>
  <c r="AI76" i="53"/>
  <c r="AG75" i="32"/>
  <c r="AG76" i="32"/>
  <c r="AK103" i="55"/>
  <c r="AK102" i="55"/>
  <c r="AI92" i="54"/>
  <c r="AI102" i="54"/>
  <c r="AI103" i="54"/>
  <c r="AI75" i="54"/>
  <c r="AI76" i="54"/>
  <c r="AJ71" i="52"/>
  <c r="AJ72" i="52"/>
  <c r="BH71" i="52"/>
  <c r="BG72" i="52"/>
  <c r="BH70" i="52"/>
  <c r="BH72" i="52"/>
  <c r="BI70" i="52"/>
  <c r="BI72" i="52"/>
  <c r="BJ70" i="52"/>
  <c r="BJ72" i="52"/>
  <c r="BK70" i="52"/>
  <c r="BK72" i="52"/>
  <c r="BE71" i="32"/>
  <c r="AH71" i="32"/>
  <c r="AH72" i="32"/>
  <c r="BE72" i="32"/>
  <c r="BF70" i="32"/>
  <c r="AI102" i="52"/>
  <c r="AI103" i="52"/>
  <c r="AI92" i="52"/>
  <c r="AJ71" i="54"/>
  <c r="AJ72" i="54"/>
  <c r="BH71" i="54"/>
  <c r="O105" i="55"/>
  <c r="O108" i="55"/>
  <c r="AG109" i="32"/>
  <c r="AG110" i="32"/>
  <c r="BG71" i="53"/>
  <c r="BG72" i="53"/>
  <c r="BH70" i="53"/>
  <c r="AI109" i="52"/>
  <c r="AI110" i="52"/>
  <c r="BF71" i="32"/>
  <c r="AI71" i="32"/>
  <c r="AI72" i="32"/>
  <c r="AH73" i="32"/>
  <c r="AH75" i="32"/>
  <c r="AH76" i="32"/>
  <c r="AJ73" i="54"/>
  <c r="AJ75" i="54"/>
  <c r="AJ76" i="54"/>
  <c r="AI93" i="52"/>
  <c r="AM92" i="52"/>
  <c r="AK71" i="52"/>
  <c r="BL71" i="52"/>
  <c r="AI93" i="54"/>
  <c r="AM92" i="54"/>
  <c r="O106" i="55"/>
  <c r="J20" i="50"/>
  <c r="O109" i="55"/>
  <c r="J21" i="50"/>
  <c r="AI92" i="53"/>
  <c r="AI102" i="53"/>
  <c r="AI103" i="53"/>
  <c r="AK71" i="54"/>
  <c r="BL71" i="54"/>
  <c r="AJ73" i="52"/>
  <c r="AJ75" i="52"/>
  <c r="AJ76" i="52"/>
  <c r="AI109" i="54"/>
  <c r="AI110" i="54"/>
  <c r="BH72" i="54"/>
  <c r="BI70" i="54"/>
  <c r="BI72" i="54"/>
  <c r="BJ70" i="54"/>
  <c r="BJ72" i="54"/>
  <c r="BK70" i="54"/>
  <c r="BK72" i="54"/>
  <c r="AK72" i="52"/>
  <c r="AM71" i="52"/>
  <c r="AI94" i="52"/>
  <c r="AM93" i="52"/>
  <c r="BF72" i="32"/>
  <c r="BG70" i="32"/>
  <c r="AJ102" i="52"/>
  <c r="AJ92" i="52"/>
  <c r="AJ93" i="52"/>
  <c r="AJ94" i="52"/>
  <c r="AJ95" i="52"/>
  <c r="AI94" i="54"/>
  <c r="AM93" i="54"/>
  <c r="AJ92" i="54"/>
  <c r="AJ93" i="54"/>
  <c r="AJ94" i="54"/>
  <c r="AJ95" i="54"/>
  <c r="AJ102" i="54"/>
  <c r="AJ71" i="53"/>
  <c r="AJ72" i="53"/>
  <c r="BH71" i="53"/>
  <c r="BH72" i="53"/>
  <c r="BI70" i="53"/>
  <c r="BI72" i="53"/>
  <c r="BJ70" i="53"/>
  <c r="BJ72" i="53"/>
  <c r="BK70" i="53"/>
  <c r="BK72" i="53"/>
  <c r="AI73" i="32"/>
  <c r="AI110" i="53"/>
  <c r="AI109" i="53"/>
  <c r="AH92" i="32"/>
  <c r="AH93" i="32"/>
  <c r="AH94" i="32"/>
  <c r="AH95" i="32"/>
  <c r="AH102" i="32"/>
  <c r="AH103" i="32"/>
  <c r="AK72" i="54"/>
  <c r="AM71" i="54"/>
  <c r="AI93" i="53"/>
  <c r="AM92" i="53"/>
  <c r="AH110" i="32"/>
  <c r="AH109" i="32"/>
  <c r="AI102" i="32"/>
  <c r="AI103" i="32"/>
  <c r="AI92" i="32"/>
  <c r="AJ73" i="53"/>
  <c r="AJ75" i="53"/>
  <c r="AJ76" i="53"/>
  <c r="AJ103" i="54"/>
  <c r="AM102" i="54"/>
  <c r="AJ103" i="52"/>
  <c r="AM102" i="52"/>
  <c r="BG71" i="32"/>
  <c r="BG72" i="32"/>
  <c r="BH70" i="32"/>
  <c r="AI75" i="32"/>
  <c r="AI76" i="32"/>
  <c r="AI95" i="52"/>
  <c r="AM94" i="52"/>
  <c r="AK71" i="53"/>
  <c r="BL71" i="53"/>
  <c r="AI95" i="54"/>
  <c r="AM94" i="54"/>
  <c r="AI94" i="53"/>
  <c r="AM93" i="53"/>
  <c r="AK73" i="54"/>
  <c r="AK73" i="52"/>
  <c r="AI95" i="53"/>
  <c r="AM94" i="53"/>
  <c r="AK72" i="53"/>
  <c r="AM71" i="53"/>
  <c r="AJ109" i="54"/>
  <c r="AJ110" i="54"/>
  <c r="AJ71" i="32"/>
  <c r="AJ72" i="32"/>
  <c r="BH71" i="32"/>
  <c r="AJ102" i="53"/>
  <c r="AJ92" i="53"/>
  <c r="AJ93" i="53"/>
  <c r="AJ94" i="53"/>
  <c r="AJ95" i="53"/>
  <c r="AK92" i="52"/>
  <c r="AK93" i="52"/>
  <c r="AK94" i="52"/>
  <c r="AK102" i="52"/>
  <c r="AK103" i="52"/>
  <c r="AI93" i="32"/>
  <c r="AM92" i="32"/>
  <c r="AK102" i="54"/>
  <c r="AK103" i="54"/>
  <c r="AK92" i="54"/>
  <c r="AK93" i="54"/>
  <c r="AK94" i="54"/>
  <c r="AI110" i="32"/>
  <c r="AI109" i="32"/>
  <c r="AJ109" i="52"/>
  <c r="AJ110" i="52"/>
  <c r="AK75" i="52"/>
  <c r="AK76" i="52"/>
  <c r="AL76" i="52"/>
  <c r="AK75" i="54"/>
  <c r="AK76" i="54"/>
  <c r="AL76" i="54"/>
  <c r="AK109" i="54"/>
  <c r="AK110" i="54"/>
  <c r="AK95" i="52"/>
  <c r="AL95" i="52"/>
  <c r="AK109" i="52"/>
  <c r="AK110" i="52"/>
  <c r="AK71" i="32"/>
  <c r="BL71" i="32"/>
  <c r="AL95" i="54"/>
  <c r="AK95" i="54"/>
  <c r="AI94" i="32"/>
  <c r="AM93" i="32"/>
  <c r="AJ103" i="53"/>
  <c r="AM102" i="53"/>
  <c r="AJ73" i="32"/>
  <c r="AK73" i="53"/>
  <c r="AK75" i="53"/>
  <c r="AK76" i="53"/>
  <c r="AL76" i="53"/>
  <c r="BH72" i="32"/>
  <c r="BI70" i="32"/>
  <c r="BI72" i="32"/>
  <c r="BJ70" i="32"/>
  <c r="BJ72" i="32"/>
  <c r="BK70" i="32"/>
  <c r="BK72" i="32"/>
  <c r="AI95" i="32"/>
  <c r="AM94" i="32"/>
  <c r="AJ102" i="32"/>
  <c r="AJ92" i="32"/>
  <c r="AJ93" i="32"/>
  <c r="AJ94" i="32"/>
  <c r="AJ95" i="32"/>
  <c r="AJ110" i="53"/>
  <c r="AJ109" i="53"/>
  <c r="O113" i="54"/>
  <c r="H20" i="50"/>
  <c r="O116" i="54"/>
  <c r="H21" i="50"/>
  <c r="AK92" i="53"/>
  <c r="AK93" i="53"/>
  <c r="AK94" i="53"/>
  <c r="AK102" i="53"/>
  <c r="AK103" i="53"/>
  <c r="AJ75" i="32"/>
  <c r="AJ76" i="32"/>
  <c r="AK72" i="32"/>
  <c r="AM71" i="32"/>
  <c r="O113" i="52"/>
  <c r="F20" i="50"/>
  <c r="O116" i="52"/>
  <c r="F21" i="50"/>
  <c r="O115" i="52"/>
  <c r="O112" i="52"/>
  <c r="O115" i="54"/>
  <c r="O112" i="54"/>
  <c r="AK109" i="53"/>
  <c r="AK110" i="53"/>
  <c r="AK73" i="32"/>
  <c r="AK75" i="32"/>
  <c r="AK76" i="32"/>
  <c r="AL76" i="32"/>
  <c r="AL95" i="53"/>
  <c r="AK95" i="53"/>
  <c r="AJ103" i="32"/>
  <c r="AM102" i="32"/>
  <c r="AJ109" i="32"/>
  <c r="AJ110" i="32"/>
  <c r="AK102" i="32"/>
  <c r="AK103" i="32"/>
  <c r="AK92" i="32"/>
  <c r="AK93" i="32"/>
  <c r="AK94" i="32"/>
  <c r="O116" i="53"/>
  <c r="G21" i="50"/>
  <c r="O113" i="53"/>
  <c r="G20" i="50"/>
  <c r="O112" i="53"/>
  <c r="O115" i="53"/>
  <c r="AK95" i="32"/>
  <c r="AL95" i="32"/>
  <c r="AK109" i="32"/>
  <c r="AK110" i="32"/>
  <c r="O116" i="32"/>
  <c r="E21" i="50"/>
  <c r="O113" i="32"/>
  <c r="E20" i="50"/>
  <c r="O112" i="32"/>
  <c r="O115" i="32"/>
</calcChain>
</file>

<file path=xl/comments1.xml><?xml version="1.0" encoding="utf-8"?>
<comments xmlns="http://schemas.openxmlformats.org/spreadsheetml/2006/main">
  <authors>
    <author>MANOJ.MISHRA</author>
  </authors>
  <commentList>
    <comment ref="E21" authorId="0" shapeId="0">
      <text>
        <r>
          <rPr>
            <b/>
            <sz val="9"/>
            <color indexed="81"/>
            <rFont val="Tahoma"/>
            <family val="2"/>
          </rPr>
          <t>MANOJ.MISHRA:</t>
        </r>
        <r>
          <rPr>
            <sz val="9"/>
            <color indexed="81"/>
            <rFont val="Tahoma"/>
            <family val="2"/>
          </rPr>
          <t xml:space="preserve">
10% screen loss</t>
        </r>
      </text>
    </comment>
  </commentList>
</comments>
</file>

<file path=xl/comments2.xml><?xml version="1.0" encoding="utf-8"?>
<comments xmlns="http://schemas.openxmlformats.org/spreadsheetml/2006/main">
  <authors>
    <author>MANOJ.MISHRA</author>
  </authors>
  <commentList>
    <comment ref="F106" authorId="0" shapeId="0">
      <text>
        <r>
          <rPr>
            <b/>
            <sz val="9"/>
            <color indexed="81"/>
            <rFont val="Tahoma"/>
            <family val="2"/>
          </rPr>
          <t>MANOJ.MISHRA:</t>
        </r>
        <r>
          <rPr>
            <sz val="9"/>
            <color indexed="81"/>
            <rFont val="Tahoma"/>
            <family val="2"/>
          </rPr>
          <t xml:space="preserve">
Factor of 1.12 for erection &amp; 1.05 for D&amp;E
</t>
        </r>
      </text>
    </comment>
    <comment ref="H265" authorId="0" shapeId="0">
      <text>
        <r>
          <rPr>
            <b/>
            <sz val="9"/>
            <color indexed="81"/>
            <rFont val="Tahoma"/>
            <family val="2"/>
          </rPr>
          <t>MANOJ.MISHRA:</t>
        </r>
        <r>
          <rPr>
            <sz val="9"/>
            <color indexed="81"/>
            <rFont val="Tahoma"/>
            <family val="2"/>
          </rPr>
          <t xml:space="preserve">
Factored by 1.05, 1.06, 1.1 for D&amp;E, erection and freight (Ocean+inland) respectively.
 Further, knocked down by 10%. </t>
        </r>
      </text>
    </comment>
    <comment ref="L265" authorId="0" shapeId="0">
      <text>
        <r>
          <rPr>
            <b/>
            <sz val="9"/>
            <color indexed="81"/>
            <rFont val="Tahoma"/>
            <family val="2"/>
          </rPr>
          <t>MANOJ.MISHRA:</t>
        </r>
        <r>
          <rPr>
            <sz val="9"/>
            <color indexed="81"/>
            <rFont val="Tahoma"/>
            <family val="2"/>
          </rPr>
          <t xml:space="preserve">
Factored by 1.05, 1.06, 1.1 for D&amp;E, erection and freight (Ocean+inland) respectively.
 Further, knocked down by 10%. </t>
        </r>
      </text>
    </comment>
    <comment ref="N265" authorId="0" shapeId="0">
      <text>
        <r>
          <rPr>
            <b/>
            <sz val="9"/>
            <color indexed="81"/>
            <rFont val="Tahoma"/>
            <family val="2"/>
          </rPr>
          <t>MANOJ.MISHRA:</t>
        </r>
        <r>
          <rPr>
            <sz val="9"/>
            <color indexed="81"/>
            <rFont val="Tahoma"/>
            <family val="2"/>
          </rPr>
          <t xml:space="preserve">
Fator for D&amp;E, erection, ocean+inland freight, 20% knocked down</t>
        </r>
      </text>
    </comment>
    <comment ref="F294" authorId="0" shapeId="0">
      <text>
        <r>
          <rPr>
            <b/>
            <sz val="9"/>
            <color indexed="81"/>
            <rFont val="Tahoma"/>
            <family val="2"/>
          </rPr>
          <t>MANOJ.MISHRA:</t>
        </r>
        <r>
          <rPr>
            <sz val="9"/>
            <color indexed="81"/>
            <rFont val="Tahoma"/>
            <family val="2"/>
          </rPr>
          <t xml:space="preserve">
Factored by 1.05, 1.06, 1.1 for D&amp;E, erection and freight (Ocean+inland) respectively.
 Further, knocked down by 10%. </t>
        </r>
      </text>
    </comment>
    <comment ref="F301" authorId="0" shapeId="0">
      <text>
        <r>
          <rPr>
            <b/>
            <sz val="9"/>
            <color indexed="81"/>
            <rFont val="Tahoma"/>
            <family val="2"/>
          </rPr>
          <t>MANOJ.MISHRA:</t>
        </r>
        <r>
          <rPr>
            <sz val="9"/>
            <color indexed="81"/>
            <rFont val="Tahoma"/>
            <family val="2"/>
          </rPr>
          <t xml:space="preserve">
Factored by 1.05, 1.06, 1.1 for D&amp;E, erection and freight (Ocean+inland) respectively.
 Further, knocked down by 10%. </t>
        </r>
      </text>
    </comment>
    <comment ref="F340" authorId="0" shapeId="0">
      <text>
        <r>
          <rPr>
            <b/>
            <sz val="9"/>
            <color indexed="81"/>
            <rFont val="Tahoma"/>
            <family val="2"/>
          </rPr>
          <t>MANOJ.MISHRA:</t>
        </r>
        <r>
          <rPr>
            <sz val="9"/>
            <color indexed="81"/>
            <rFont val="Tahoma"/>
            <family val="2"/>
          </rPr>
          <t xml:space="preserve">
Factored by 1.05, 1.06, 1.1 for D&amp;E, erection and freight (Ocean+inland) respectively.
 Further, knocked down by 10%. </t>
        </r>
      </text>
    </comment>
  </commentList>
</comments>
</file>

<file path=xl/comments3.xml><?xml version="1.0" encoding="utf-8"?>
<comments xmlns="http://schemas.openxmlformats.org/spreadsheetml/2006/main">
  <authors>
    <author>MANOJ.MISHRA</author>
  </authors>
  <commentList>
    <comment ref="Q19" authorId="0" shapeId="0">
      <text>
        <r>
          <rPr>
            <b/>
            <sz val="9"/>
            <color indexed="81"/>
            <rFont val="Tahoma"/>
            <family val="2"/>
          </rPr>
          <t>MANOJ.MISHRA:</t>
        </r>
        <r>
          <rPr>
            <sz val="9"/>
            <color indexed="81"/>
            <rFont val="Tahoma"/>
            <family val="2"/>
          </rPr>
          <t xml:space="preserve">
Ordered cost of S S Solution PBE dtd. 07.11.2017</t>
        </r>
      </text>
    </comment>
  </commentList>
</comments>
</file>

<file path=xl/comments4.xml><?xml version="1.0" encoding="utf-8"?>
<comments xmlns="http://schemas.openxmlformats.org/spreadsheetml/2006/main">
  <authors>
    <author>MANOJ.MISHRA</author>
  </authors>
  <commentList>
    <comment ref="D47" authorId="0" shapeId="0">
      <text>
        <r>
          <rPr>
            <b/>
            <sz val="9"/>
            <color indexed="81"/>
            <rFont val="Tahoma"/>
            <family val="2"/>
          </rPr>
          <t>MANOJ.MISHRA:</t>
        </r>
        <r>
          <rPr>
            <sz val="9"/>
            <color indexed="81"/>
            <rFont val="Tahoma"/>
            <family val="2"/>
          </rPr>
          <t xml:space="preserve">
1.05 factor for D&amp;E</t>
        </r>
      </text>
    </comment>
    <comment ref="D48" authorId="0" shapeId="0">
      <text>
        <r>
          <rPr>
            <b/>
            <sz val="9"/>
            <color indexed="81"/>
            <rFont val="Tahoma"/>
            <family val="2"/>
          </rPr>
          <t>MANOJ.MISHRA:</t>
        </r>
        <r>
          <rPr>
            <sz val="9"/>
            <color indexed="81"/>
            <rFont val="Tahoma"/>
            <family val="2"/>
          </rPr>
          <t xml:space="preserve">
1.05 factor for D&amp;E</t>
        </r>
      </text>
    </comment>
    <comment ref="D49" authorId="0" shapeId="0">
      <text>
        <r>
          <rPr>
            <b/>
            <sz val="9"/>
            <color indexed="81"/>
            <rFont val="Tahoma"/>
            <family val="2"/>
          </rPr>
          <t>MANOJ.MISHRA:</t>
        </r>
        <r>
          <rPr>
            <sz val="9"/>
            <color indexed="81"/>
            <rFont val="Tahoma"/>
            <family val="2"/>
          </rPr>
          <t xml:space="preserve">
Factor 1.05, 1.06, 1.1 respectively for D&amp;E, erection and freight</t>
        </r>
      </text>
    </comment>
    <comment ref="D57" authorId="0" shapeId="0">
      <text>
        <r>
          <rPr>
            <b/>
            <sz val="9"/>
            <color indexed="81"/>
            <rFont val="Tahoma"/>
            <family val="2"/>
          </rPr>
          <t>MANOJ.MISHRA:</t>
        </r>
        <r>
          <rPr>
            <sz val="9"/>
            <color indexed="81"/>
            <rFont val="Tahoma"/>
            <family val="2"/>
          </rPr>
          <t xml:space="preserve">
Factored by 1.05, 1.06, 1.1 for D&amp;E, erection and freight (Ocean+inland) respectively.
</t>
        </r>
      </text>
    </comment>
  </commentList>
</comments>
</file>

<file path=xl/sharedStrings.xml><?xml version="1.0" encoding="utf-8"?>
<sst xmlns="http://schemas.openxmlformats.org/spreadsheetml/2006/main" count="3822" uniqueCount="1627">
  <si>
    <t xml:space="preserve"> </t>
  </si>
  <si>
    <t>Item</t>
  </si>
  <si>
    <t>Unit</t>
  </si>
  <si>
    <t>EQUIPMENT</t>
  </si>
  <si>
    <t>t</t>
  </si>
  <si>
    <t>m</t>
  </si>
  <si>
    <t>b</t>
  </si>
  <si>
    <t>c</t>
  </si>
  <si>
    <t>Sl.No</t>
  </si>
  <si>
    <t>A</t>
  </si>
  <si>
    <t>B</t>
  </si>
  <si>
    <t>C</t>
  </si>
  <si>
    <t>D</t>
  </si>
  <si>
    <t>E</t>
  </si>
  <si>
    <t>SW</t>
  </si>
  <si>
    <t>Sqm</t>
  </si>
  <si>
    <t>Nos.</t>
  </si>
  <si>
    <t>a</t>
  </si>
  <si>
    <t>LS</t>
  </si>
  <si>
    <t>Inserts</t>
  </si>
  <si>
    <t>Upper peep hole frames &amp; covers</t>
  </si>
  <si>
    <t>Base casting for AP</t>
  </si>
  <si>
    <t>Waste heat Box</t>
  </si>
  <si>
    <t>Connecting special</t>
  </si>
  <si>
    <t>Breeches pipe</t>
  </si>
  <si>
    <t>Air inlet Box</t>
  </si>
  <si>
    <t>Air inlet box with lean gas</t>
  </si>
  <si>
    <t>Flash Plate (C/s &amp; P/s)</t>
  </si>
  <si>
    <t>Door Frame (C/s &amp; P/s)</t>
  </si>
  <si>
    <t>Auto throttle gate in flues</t>
  </si>
  <si>
    <t>Hand operated gate (common flue)</t>
  </si>
  <si>
    <t>CI bend</t>
  </si>
  <si>
    <t>Water sealed AP lid assembly for P/S-216.31kg &amp; C/S-217.06kg</t>
  </si>
  <si>
    <t>Spare sealing frames</t>
  </si>
  <si>
    <t>Double bench vice</t>
  </si>
  <si>
    <t>Buckstay</t>
  </si>
  <si>
    <t>Longitudinal tie rods, (12 sets)</t>
  </si>
  <si>
    <t>Top Cross tie rods</t>
  </si>
  <si>
    <t>Bottom Cross tie rods</t>
  </si>
  <si>
    <t>Regn. Cross tie rods</t>
  </si>
  <si>
    <t>Spring for buckstays &amp; tie rods</t>
  </si>
  <si>
    <t>m3</t>
  </si>
  <si>
    <t>CI paving service benches p/side.</t>
  </si>
  <si>
    <t>Covering plates between buckstays</t>
  </si>
  <si>
    <t>CI plates for wharf, 90 m</t>
  </si>
  <si>
    <t>Reversing mechanism</t>
  </si>
  <si>
    <t>Reversing winch drive</t>
  </si>
  <si>
    <t>Central Lub System (Excl. pipes &amp; fittings)</t>
  </si>
  <si>
    <t>DLR with 3t winch</t>
  </si>
  <si>
    <t>Door warming rack</t>
  </si>
  <si>
    <t>Nos</t>
  </si>
  <si>
    <t>Coke Spillage chain Conveyor</t>
  </si>
  <si>
    <t>Holding down device</t>
  </si>
  <si>
    <t>Motorised belt changing device</t>
  </si>
  <si>
    <t>Silica Mortar</t>
  </si>
  <si>
    <t>Insulation Mortar</t>
  </si>
  <si>
    <t>Mica Insulation Bricks</t>
  </si>
  <si>
    <t>Fireclay Insulation Bricks</t>
  </si>
  <si>
    <t>RM</t>
  </si>
  <si>
    <t>Gas collecting main +hydraulic seal +tar box</t>
  </si>
  <si>
    <t>Sail hard plates in front of wharf</t>
  </si>
  <si>
    <t>ACVS</t>
  </si>
  <si>
    <t>Lot</t>
  </si>
  <si>
    <t xml:space="preserve">Hydro-jet door cleaner, 600 bar </t>
  </si>
  <si>
    <t>Auxillary anchorage</t>
  </si>
  <si>
    <t>Small anchorage</t>
  </si>
  <si>
    <t>Cross over main</t>
  </si>
  <si>
    <t>I</t>
  </si>
  <si>
    <t>Number plates</t>
  </si>
  <si>
    <t>Ram changing station</t>
  </si>
  <si>
    <t>Heat shield</t>
  </si>
  <si>
    <t>Amount</t>
  </si>
  <si>
    <t>Total</t>
  </si>
  <si>
    <t>CIVIL</t>
  </si>
  <si>
    <t>Reinforcement</t>
  </si>
  <si>
    <t>Structures</t>
  </si>
  <si>
    <t>Civil Works</t>
  </si>
  <si>
    <t>False ceiling</t>
  </si>
  <si>
    <t>Pressure grouting</t>
  </si>
  <si>
    <t>Refractories</t>
  </si>
  <si>
    <t>Oven Machines</t>
  </si>
  <si>
    <t>S T E E L   A U T H O R I T Y   OF   I N D I A    L I M I T E D</t>
  </si>
  <si>
    <t>`</t>
  </si>
  <si>
    <t>RATES &amp; DUTIES</t>
  </si>
  <si>
    <t>Page-1/3</t>
  </si>
  <si>
    <t>Page-2/3</t>
  </si>
  <si>
    <t>Page-3/3</t>
  </si>
  <si>
    <t>-</t>
  </si>
  <si>
    <t>FE PARITY:</t>
  </si>
  <si>
    <t>** DETAILED CAPITAL COST ESTIMATE**</t>
  </si>
  <si>
    <t>Figures in Rs. Crore</t>
  </si>
  <si>
    <t>E&amp;C</t>
  </si>
  <si>
    <t>Contingn</t>
  </si>
  <si>
    <t>Plant</t>
  </si>
  <si>
    <t>Equity</t>
  </si>
  <si>
    <t>IDC</t>
  </si>
  <si>
    <t>Total fund</t>
  </si>
  <si>
    <t>cost</t>
  </si>
  <si>
    <t>Loan</t>
  </si>
  <si>
    <t>incl. IDC</t>
  </si>
  <si>
    <t>SHOP/FACILITY/PACKAGE</t>
  </si>
  <si>
    <t>FC</t>
  </si>
  <si>
    <t>SPARES</t>
  </si>
  <si>
    <t>TECHNOLOGICAL STRS.</t>
  </si>
  <si>
    <t xml:space="preserve"> BUILDING STRUCTURES</t>
  </si>
  <si>
    <t>REFRACTORIES</t>
  </si>
  <si>
    <t>ERECTION</t>
  </si>
  <si>
    <t>ENGG. &amp; CONSTRN.</t>
  </si>
  <si>
    <t>FRT. &amp; INS.</t>
  </si>
  <si>
    <t xml:space="preserve">IMPORT DUTIES, IT &amp;  CESS              </t>
  </si>
  <si>
    <t>KNOW-HOW</t>
  </si>
  <si>
    <t>TRAINING</t>
  </si>
  <si>
    <t>OTHERS</t>
  </si>
  <si>
    <t>CONTINGENCY</t>
  </si>
  <si>
    <t xml:space="preserve">TOTAL CAPITAL COST </t>
  </si>
  <si>
    <t>EXTRA</t>
  </si>
  <si>
    <t>ADOPTED</t>
  </si>
  <si>
    <t>Imported</t>
  </si>
  <si>
    <t>Indigenous</t>
  </si>
  <si>
    <t>BOUGHT OUT</t>
  </si>
  <si>
    <t>SITE FAB. .</t>
  </si>
  <si>
    <t>Equipment</t>
  </si>
  <si>
    <t>Structure</t>
  </si>
  <si>
    <t>Dismantling</t>
  </si>
  <si>
    <t>Contractor's</t>
  </si>
  <si>
    <t>Owner's</t>
  </si>
  <si>
    <t>Ocean</t>
  </si>
  <si>
    <t>Inland</t>
  </si>
  <si>
    <t>CD</t>
  </si>
  <si>
    <t>ITax on</t>
  </si>
  <si>
    <t>(not to be printed)</t>
  </si>
  <si>
    <t>1 UK POUND=</t>
  </si>
  <si>
    <t>HW</t>
  </si>
  <si>
    <t>Imp.</t>
  </si>
  <si>
    <t>Ind.</t>
  </si>
  <si>
    <t>FS</t>
  </si>
  <si>
    <t>Imp duty</t>
  </si>
  <si>
    <t>1 JAP Y=</t>
  </si>
  <si>
    <t>1st.</t>
  </si>
  <si>
    <t>LC</t>
  </si>
  <si>
    <t>TOTAL</t>
  </si>
  <si>
    <t>2nd</t>
  </si>
  <si>
    <t>d</t>
  </si>
  <si>
    <t>e</t>
  </si>
  <si>
    <t>f</t>
  </si>
  <si>
    <t>g</t>
  </si>
  <si>
    <t>h</t>
  </si>
  <si>
    <t>j</t>
  </si>
  <si>
    <t>k</t>
  </si>
  <si>
    <t>l</t>
  </si>
  <si>
    <t>n</t>
  </si>
  <si>
    <t>o</t>
  </si>
  <si>
    <t>p</t>
  </si>
  <si>
    <t>q</t>
  </si>
  <si>
    <t>r</t>
  </si>
  <si>
    <t>s</t>
  </si>
  <si>
    <t>u</t>
  </si>
  <si>
    <t>v</t>
  </si>
  <si>
    <t>w</t>
  </si>
  <si>
    <t>x</t>
  </si>
  <si>
    <t>y</t>
  </si>
  <si>
    <t>z</t>
  </si>
  <si>
    <t>aa</t>
  </si>
  <si>
    <t>ab</t>
  </si>
  <si>
    <t>ac</t>
  </si>
  <si>
    <t>ae</t>
  </si>
  <si>
    <t>af</t>
  </si>
  <si>
    <t>ag</t>
  </si>
  <si>
    <t>ah</t>
  </si>
  <si>
    <t>al</t>
  </si>
  <si>
    <t>an</t>
  </si>
  <si>
    <t>ao</t>
  </si>
  <si>
    <t>ap</t>
  </si>
  <si>
    <t>aq</t>
  </si>
  <si>
    <t>ar</t>
  </si>
  <si>
    <t>as</t>
  </si>
  <si>
    <t>at</t>
  </si>
  <si>
    <t>au</t>
  </si>
  <si>
    <t>av</t>
  </si>
  <si>
    <t>aw</t>
  </si>
  <si>
    <t>Post Comm.</t>
  </si>
  <si>
    <t>CAPITAL COST</t>
  </si>
  <si>
    <t>NORMS:</t>
  </si>
  <si>
    <t>**ERECTION COST**:</t>
  </si>
  <si>
    <t>EQUIPMENT-HW (IMP+IND)-IN LC</t>
  </si>
  <si>
    <t xml:space="preserve">STRUCTURES-HW (IMP+IND)-IN </t>
  </si>
  <si>
    <t>LC FOR TECH,B/O &amp; SITE FAB</t>
  </si>
  <si>
    <t>REFRACTORIES-HW(IMP+IND)-IN</t>
  </si>
  <si>
    <t>**ENGG. &amp; CONSTRUCTION**</t>
  </si>
  <si>
    <t>OWNER'S--IN FC</t>
  </si>
  <si>
    <t>OWNER'S--IN LC</t>
  </si>
  <si>
    <t>CONTRACTORS' IN FC</t>
  </si>
  <si>
    <t>CONTRACTORS' IN LC</t>
  </si>
  <si>
    <t>**FREIGHT &amp; INSURANCE**</t>
  </si>
  <si>
    <t xml:space="preserve">OCEAN FR &amp; INSURANCE- </t>
  </si>
  <si>
    <t xml:space="preserve">  ON HW FC</t>
  </si>
  <si>
    <t>INLAND FR &amp; INS.-ON IMP HW EQ &amp;</t>
  </si>
  <si>
    <t>SPARES-IN LC</t>
  </si>
  <si>
    <t>INLAND FR &amp; INS.-ON IMP HW STRS &amp;</t>
  </si>
  <si>
    <t>REFRACTORIES-IN LC</t>
  </si>
  <si>
    <t>INLAND FR &amp; INS - ON IND HW EQ</t>
  </si>
  <si>
    <t>&amp; SPARES</t>
  </si>
  <si>
    <t>INLAND FR &amp; INS - ON IND HW STRS</t>
  </si>
  <si>
    <t>&amp; REFRACTORIES</t>
  </si>
  <si>
    <t>**TAXES &amp; DUTIES**</t>
  </si>
  <si>
    <t>INCOME TAX RATE</t>
  </si>
  <si>
    <t>CONTINGENCIES</t>
  </si>
  <si>
    <t>STRUCTURALS</t>
  </si>
  <si>
    <t>ENGG &amp; CONSTN</t>
  </si>
  <si>
    <t>FRT. &amp; INSURANCE</t>
  </si>
  <si>
    <t>DUTIES &amp; TAXES</t>
  </si>
  <si>
    <t>Incl.</t>
  </si>
  <si>
    <t>Cost</t>
  </si>
  <si>
    <t>Sl.</t>
  </si>
  <si>
    <t>No.</t>
  </si>
  <si>
    <t>Spares</t>
  </si>
  <si>
    <t>Taxes &amp; Duties</t>
  </si>
  <si>
    <t>Others</t>
  </si>
  <si>
    <t>Contingencies</t>
  </si>
  <si>
    <t>Total Plant Cost</t>
  </si>
  <si>
    <t>Capital Cost</t>
  </si>
  <si>
    <t>i</t>
  </si>
  <si>
    <t>Gross Margin Calculation</t>
  </si>
  <si>
    <t>Technical Parameters</t>
  </si>
  <si>
    <t>Qty.</t>
  </si>
  <si>
    <t>Gross Margin</t>
  </si>
  <si>
    <t>Rs. Cr.</t>
  </si>
  <si>
    <t>Interest</t>
  </si>
  <si>
    <t>Depreciation</t>
  </si>
  <si>
    <t>Rs./t</t>
  </si>
  <si>
    <t>Phasing of expenditure</t>
  </si>
  <si>
    <t>Years</t>
  </si>
  <si>
    <t>Internal</t>
  </si>
  <si>
    <t>External</t>
  </si>
  <si>
    <t>Total fund incl. IDC</t>
  </si>
  <si>
    <t>total</t>
  </si>
  <si>
    <t>Resources</t>
  </si>
  <si>
    <t>Borrowing</t>
  </si>
  <si>
    <t>Profitability Projections</t>
  </si>
  <si>
    <t xml:space="preserve"> Rs. in crore</t>
  </si>
  <si>
    <t>Item/Year</t>
  </si>
  <si>
    <t>Yr 1</t>
  </si>
  <si>
    <t>Yr 2</t>
  </si>
  <si>
    <t>Yr 3</t>
  </si>
  <si>
    <t>Yr 4</t>
  </si>
  <si>
    <t>Yr 5</t>
  </si>
  <si>
    <t>Yr 6</t>
  </si>
  <si>
    <t>Yr 7</t>
  </si>
  <si>
    <t>Yr 8</t>
  </si>
  <si>
    <t>Yr 9</t>
  </si>
  <si>
    <t>Yr 10</t>
  </si>
  <si>
    <t>Yr 11</t>
  </si>
  <si>
    <t>Yr 12</t>
  </si>
  <si>
    <t>Yr 13</t>
  </si>
  <si>
    <t>Yr 14</t>
  </si>
  <si>
    <t>Yr 15</t>
  </si>
  <si>
    <t>Yr 16</t>
  </si>
  <si>
    <t>Yr 17</t>
  </si>
  <si>
    <t>Yr 18</t>
  </si>
  <si>
    <t>Yr 19</t>
  </si>
  <si>
    <t>Yr 20</t>
  </si>
  <si>
    <t>Yr 21</t>
  </si>
  <si>
    <t>Yr 22</t>
  </si>
  <si>
    <t>Capacity Utilisation</t>
  </si>
  <si>
    <t>Profit before Depr., Int. &amp; Tax</t>
  </si>
  <si>
    <t>Year of comm</t>
  </si>
  <si>
    <t xml:space="preserve">Interest </t>
  </si>
  <si>
    <t>Cap cost</t>
  </si>
  <si>
    <t>Chk total</t>
  </si>
  <si>
    <t>Profit Before Tax (PBT)</t>
  </si>
  <si>
    <t>Net cost</t>
  </si>
  <si>
    <t xml:space="preserve">Corporate Income Tax </t>
  </si>
  <si>
    <t>Rs Cr</t>
  </si>
  <si>
    <t>Profit After Tax (PAT)</t>
  </si>
  <si>
    <t>Cumulative PAT</t>
  </si>
  <si>
    <t>Cash flow statement</t>
  </si>
  <si>
    <t>Cash-Inflows</t>
  </si>
  <si>
    <t>A. Cash from operations</t>
  </si>
  <si>
    <t>B. Equity/ Internal accruals</t>
  </si>
  <si>
    <t>C. Loan</t>
  </si>
  <si>
    <t>(B) Cash out-flow :</t>
  </si>
  <si>
    <t>Capital expenditure</t>
  </si>
  <si>
    <t xml:space="preserve">        Equity/ Internal accruals</t>
  </si>
  <si>
    <t xml:space="preserve">        Loan</t>
  </si>
  <si>
    <t>Interest payment</t>
  </si>
  <si>
    <t>Principal repayment</t>
  </si>
  <si>
    <t>Corporate Income Tax</t>
  </si>
  <si>
    <t xml:space="preserve">Cash surplus </t>
  </si>
  <si>
    <t>Cash surplus (Cummulative)</t>
  </si>
  <si>
    <t>NPV &amp; IRR CALCULATIONS:</t>
  </si>
  <si>
    <t>Outflow</t>
  </si>
  <si>
    <t>Capital Cost (excl. IDC)</t>
  </si>
  <si>
    <t>Total outflow</t>
  </si>
  <si>
    <t>Inflow</t>
  </si>
  <si>
    <t>Gross margin</t>
  </si>
  <si>
    <t>Total inflow</t>
  </si>
  <si>
    <t>Net flow</t>
  </si>
  <si>
    <t>Pre-tax</t>
  </si>
  <si>
    <t>Post Tax</t>
  </si>
  <si>
    <t>Post-tax</t>
  </si>
  <si>
    <t>IRR</t>
  </si>
  <si>
    <t>Rs.Cr.</t>
  </si>
  <si>
    <t>I R R (Post Tax)</t>
  </si>
  <si>
    <t>%</t>
  </si>
  <si>
    <t>Boulder Soling</t>
  </si>
  <si>
    <t>Yr 23</t>
  </si>
  <si>
    <t>CASH  FLOW  STATEMENT</t>
  </si>
  <si>
    <t>M30D grout</t>
  </si>
  <si>
    <t>Precast Slab</t>
  </si>
  <si>
    <t>Conduits (100 dia)</t>
  </si>
  <si>
    <t>IPS Flooring</t>
  </si>
  <si>
    <t>20mm thk plaster</t>
  </si>
  <si>
    <t>15mm thk plaster</t>
  </si>
  <si>
    <t>APP</t>
  </si>
  <si>
    <t>Handrail</t>
  </si>
  <si>
    <t>Steel Doors</t>
  </si>
  <si>
    <t>Windows</t>
  </si>
  <si>
    <t>False floor</t>
  </si>
  <si>
    <t>DPC</t>
  </si>
  <si>
    <t>Plinth Protection</t>
  </si>
  <si>
    <t>Whitewashing</t>
  </si>
  <si>
    <t>nos</t>
  </si>
  <si>
    <t>Annexure - 6.5.1-1</t>
  </si>
  <si>
    <t>Annexure - 6.6.1-1</t>
  </si>
  <si>
    <t>STEEL AUTHORITY OF INDIA LIMITED</t>
  </si>
  <si>
    <t xml:space="preserve">      FINANCIAL ANALYSIS</t>
  </si>
  <si>
    <t>PCC M10</t>
  </si>
  <si>
    <t>Total Benefit</t>
  </si>
  <si>
    <t xml:space="preserve">Expenditure </t>
  </si>
  <si>
    <t>lot</t>
  </si>
  <si>
    <t>Refractory Erection</t>
  </si>
  <si>
    <t>Avoidance of expenditure in case of purchase of external BF coke per annum</t>
  </si>
  <si>
    <t>Unit Rate</t>
  </si>
  <si>
    <t>Remarks/ Basis</t>
  </si>
  <si>
    <t>Rs Lakh</t>
  </si>
  <si>
    <t>Cum</t>
  </si>
  <si>
    <t>Ls</t>
  </si>
  <si>
    <t>Silica Bricks</t>
  </si>
  <si>
    <t>Rs. / Unit</t>
  </si>
  <si>
    <t>Rs./KWh</t>
  </si>
  <si>
    <t>Benefits from Proposed Battery</t>
  </si>
  <si>
    <t xml:space="preserve">Total operating expenditure </t>
  </si>
  <si>
    <t>Contribution on account of additional pig iron production due to better M10 value of STAMP CHARGE BF coke</t>
  </si>
  <si>
    <t>Avoidance of expenditure in case of purchase of external BF coke equivalent to coke saving due to better M10 value of STAMP CHARGE BF coke</t>
  </si>
  <si>
    <t>Contribution on account of power generated from proposed battery</t>
  </si>
  <si>
    <t xml:space="preserve">Record notes of meeting of the Cost Review Committee </t>
  </si>
  <si>
    <t>1. Name of the Project</t>
  </si>
  <si>
    <t xml:space="preserve">2. Subject </t>
  </si>
  <si>
    <t xml:space="preserve">: Capital Cost Estimate </t>
  </si>
  <si>
    <t>3. Assignment No.</t>
  </si>
  <si>
    <t>4. Date of cost review</t>
  </si>
  <si>
    <t>5. Present:</t>
  </si>
  <si>
    <t>Name</t>
  </si>
  <si>
    <t>Designation</t>
  </si>
  <si>
    <t>Mr. D. Kishore</t>
  </si>
  <si>
    <t>Mr. A. R. Dasgupta</t>
  </si>
  <si>
    <t>Mr. Bipin Prasad</t>
  </si>
  <si>
    <t>DGM &amp; I/c (CTEB)</t>
  </si>
  <si>
    <t>6. Proceedings of meeting:</t>
  </si>
  <si>
    <t>FC (in FE)</t>
  </si>
  <si>
    <t xml:space="preserve">LC </t>
  </si>
  <si>
    <r>
      <rPr>
        <b/>
        <sz val="12"/>
        <rFont val="Arial"/>
        <family val="2"/>
      </rPr>
      <t>v.</t>
    </r>
    <r>
      <rPr>
        <b/>
        <sz val="7"/>
        <rFont val="Times New Roman"/>
        <family val="1"/>
      </rPr>
      <t> </t>
    </r>
    <r>
      <rPr>
        <sz val="7"/>
        <rFont val="Times New Roman"/>
        <family val="1"/>
      </rPr>
      <t xml:space="preserve">       </t>
    </r>
    <r>
      <rPr>
        <sz val="12"/>
        <rFont val="Arial"/>
        <family val="2"/>
      </rPr>
      <t xml:space="preserve">TFL confirmed that the Bill of Quantity (BOQ) considered for preparing capital cost is for the total scope of work for the subject project. </t>
    </r>
  </si>
  <si>
    <t>The committee deliberated on the above issues and found the same in order.</t>
  </si>
  <si>
    <t>No reference available</t>
  </si>
  <si>
    <t>1 EURO=Rs.</t>
  </si>
  <si>
    <t>1 USD=Rs.</t>
  </si>
  <si>
    <t>Total cost (after price trend factoring)</t>
  </si>
  <si>
    <t xml:space="preserve">FC (Equivalent Rs. Cr.) </t>
  </si>
  <si>
    <t>LC (Rs. Cr.)</t>
  </si>
  <si>
    <t>FC         (Equivalent Rs. Cr.)</t>
  </si>
  <si>
    <t>FC            (Equivalent Rs. Cr.)</t>
  </si>
  <si>
    <t>LC (Rs. Cr)</t>
  </si>
  <si>
    <t>Mr. K. K. Rao</t>
  </si>
  <si>
    <t>GM (Engg.)</t>
  </si>
  <si>
    <t>Mr. R K Barman</t>
  </si>
  <si>
    <t>DGM I/c (C,C&amp;C)</t>
  </si>
  <si>
    <t>Mr. M K Mishra</t>
  </si>
  <si>
    <t>AGM (CTEB)</t>
  </si>
  <si>
    <t>Mr. S P Rai</t>
  </si>
  <si>
    <t>SAIL/ RSP</t>
  </si>
  <si>
    <t>HRC</t>
  </si>
  <si>
    <t>Frames &amp; covers ch/holes( 31 no charg hole and two number compatible with utube )</t>
  </si>
  <si>
    <t>Doors P.S. (including bricks)</t>
  </si>
  <si>
    <t>Doors C.S. (including bricks)</t>
  </si>
  <si>
    <t>Sub total</t>
  </si>
  <si>
    <t>Technological Strs</t>
  </si>
  <si>
    <t>Fixed Door racks</t>
  </si>
  <si>
    <t>Bench  for seal frame repair</t>
  </si>
  <si>
    <t>Girders in buttress, (24 Nos.)</t>
  </si>
  <si>
    <t>Heating up tie ros</t>
  </si>
  <si>
    <t>AP with goose neck and isolation valve</t>
  </si>
  <si>
    <t>Erection tie rod</t>
  </si>
  <si>
    <t>Template for fixing  burner pipe</t>
  </si>
  <si>
    <t>Ord. Castings (CI &amp; MI)</t>
  </si>
  <si>
    <t>Gas supply pipes seamless for nozzle deck</t>
  </si>
  <si>
    <t>WHARF GATES</t>
  </si>
  <si>
    <t>Water seal for COG</t>
  </si>
  <si>
    <t>Water seal for BFG</t>
  </si>
  <si>
    <t>Heat up instruments</t>
  </si>
  <si>
    <t>Telpher with grab &amp; trolley (without suppoting structures)</t>
  </si>
  <si>
    <t>CT gates</t>
  </si>
  <si>
    <t>Spray Nozzle for FLL</t>
  </si>
  <si>
    <t>Hammer changing station ( structures)</t>
  </si>
  <si>
    <t>cake breaking station ( structures)</t>
  </si>
  <si>
    <t>5 t underslung crane for LLD device</t>
  </si>
  <si>
    <t>Coal Tower freight lift with structure</t>
  </si>
  <si>
    <t xml:space="preserve">Seal pot </t>
  </si>
  <si>
    <t>Filterbox 4 nos</t>
  </si>
  <si>
    <t>Rotary jib crane 3t at EB</t>
  </si>
  <si>
    <t>5t electric hoist for 30m lift out door</t>
  </si>
  <si>
    <t>Electric Hoists 1t - 2 nos</t>
  </si>
  <si>
    <t>Manual hoists 1t - 2nos</t>
  </si>
  <si>
    <t>Paints, Primers &amp; Thinners</t>
  </si>
  <si>
    <t>Oils &amp; Lubricants</t>
  </si>
  <si>
    <t>Ltrs</t>
  </si>
  <si>
    <t>STRUCTURAL WORK</t>
  </si>
  <si>
    <t>New Structures</t>
  </si>
  <si>
    <t>Rail sleepers &amp; fixtures</t>
  </si>
  <si>
    <t xml:space="preserve">DISMANTLING OF STRUCTURES &amp; STACKING </t>
  </si>
  <si>
    <t>DISMANTLING OF CGI SHEETING AND STACKING</t>
  </si>
  <si>
    <t>CIVIL WORKS</t>
  </si>
  <si>
    <t>Excavation</t>
  </si>
  <si>
    <t>Area clearance</t>
  </si>
  <si>
    <t>RCC M15 C</t>
  </si>
  <si>
    <t>RCC-M25 including shuttering except mentioned below</t>
  </si>
  <si>
    <t>RCC- M30</t>
  </si>
  <si>
    <t>RCC- M25 for silos</t>
  </si>
  <si>
    <t>RCC- M30 for chimney</t>
  </si>
  <si>
    <t>HRC M30 INCLUDING SHUTTERING</t>
  </si>
  <si>
    <t>MT</t>
  </si>
  <si>
    <t xml:space="preserve">Hume pipes (600 dia) </t>
  </si>
  <si>
    <t>Rm</t>
  </si>
  <si>
    <t>SS INSERTS</t>
  </si>
  <si>
    <t>Brickwork -full brick</t>
  </si>
  <si>
    <t>6mm thk plaster</t>
  </si>
  <si>
    <t>Weatherproof paint</t>
  </si>
  <si>
    <t>Grade 1 subgrade</t>
  </si>
  <si>
    <t>Grade 2 subgrade</t>
  </si>
  <si>
    <t>Grade 3 subgrade</t>
  </si>
  <si>
    <t>Preparation of subgrade</t>
  </si>
  <si>
    <t>Railway Track over wooden sleeper laid over ballast (Rail length will be 2 times of track length)</t>
  </si>
  <si>
    <t>Acid Proof tiles</t>
  </si>
  <si>
    <t>Piling (550 dia)</t>
  </si>
  <si>
    <t>Screed Concrete</t>
  </si>
  <si>
    <t>Mech Eqpt</t>
  </si>
  <si>
    <t>U &amp; S</t>
  </si>
  <si>
    <t>Gas Preheater</t>
  </si>
  <si>
    <t>Condensate Seal pots</t>
  </si>
  <si>
    <t>Expander</t>
  </si>
  <si>
    <t>Water Pumps for Battery Proper</t>
  </si>
  <si>
    <t>Gland Compensators (MG DN 1600 – 1 no, FCO DN 1200 – 2 no, CROSS DN 1200 – 2 no)</t>
  </si>
  <si>
    <t>ACVS System</t>
  </si>
  <si>
    <t>Fire fighting system</t>
  </si>
  <si>
    <t>Pipes</t>
  </si>
  <si>
    <t>Valves</t>
  </si>
  <si>
    <t>Support</t>
  </si>
  <si>
    <t>DN 1800 size goggle valve with electro hydraulic drive</t>
  </si>
  <si>
    <t>DN 1600 size goggle valve with electro hydraulic drive</t>
  </si>
  <si>
    <t>DN 25 size Ball valve for steam purging, IBR Quality</t>
  </si>
  <si>
    <t>Dismantling of existing DN 2200 Pressure Control Valve with associated items</t>
  </si>
  <si>
    <t>Relocation</t>
  </si>
  <si>
    <t>Under Slung Crane of 3 t capacity</t>
  </si>
  <si>
    <t>Land Based Pushing Emission System</t>
  </si>
  <si>
    <t xml:space="preserve">SS Material + SS for gas nozzle </t>
  </si>
  <si>
    <t>Insulation material</t>
  </si>
  <si>
    <t>Electrical Works</t>
  </si>
  <si>
    <t>Instrumentation</t>
  </si>
  <si>
    <t>Spillage coke conveyor with carrying and return trough (Cap-3t, Length-195m):</t>
  </si>
  <si>
    <t>Spillage Belt Conveyor in 3 parts-Cap-3t, belt width-600mm</t>
  </si>
  <si>
    <t>Chutes with Liner-10mm MS mother plate with 6mm SS liner</t>
  </si>
  <si>
    <t xml:space="preserve">a)    Carrying trough, return trough, counter weight, take-up device, drive end cover etc.-MS </t>
  </si>
  <si>
    <t>b)   Liner on carrying trough- SS</t>
  </si>
  <si>
    <t>c)    Drive, Sprockets, guide rollers, limit switches</t>
  </si>
  <si>
    <t>d)   Chain link and pin- 20Mn Cr 5</t>
  </si>
  <si>
    <t>Belt Conveyor with all technological structure and drive</t>
  </si>
  <si>
    <t>Chute with Liner Plate</t>
  </si>
  <si>
    <t>Steep Rise Z Conveyor</t>
  </si>
  <si>
    <t>Coal Storage Steel Bunker</t>
  </si>
  <si>
    <t>Sector gate with motorized actuator</t>
  </si>
  <si>
    <t xml:space="preserve">Coke handling </t>
  </si>
  <si>
    <t xml:space="preserve">Fireclay Mortar </t>
  </si>
  <si>
    <t>Abrasion resistant bricks for wharf</t>
  </si>
  <si>
    <t>Abrasion resistant mortar for wharf</t>
  </si>
  <si>
    <t xml:space="preserve">Acid resistant Brick </t>
  </si>
  <si>
    <t>Cement Mortar ( Sand + Cement + Additive)</t>
  </si>
  <si>
    <t>Acid Proof bricks &amp; mortar</t>
  </si>
  <si>
    <t>Refractory</t>
  </si>
  <si>
    <t>Bricks for Doors-Fireclay (Category-2)</t>
  </si>
  <si>
    <t>Bricks for lining in  Chimney -Fireclay (Category-1)</t>
  </si>
  <si>
    <t>Fireclay Bricks for Waste Gas Flue -Firedclay ( Category -1)</t>
  </si>
  <si>
    <t>Oven roof-Cat-1</t>
  </si>
  <si>
    <t>Inclined flue-Cat-1</t>
  </si>
  <si>
    <t>Oven Roof Lintel-Cat-5</t>
  </si>
  <si>
    <t>Oven Roof top paving Bricks-Cat-6</t>
  </si>
  <si>
    <t>Auxiliary Materials (Graphite Powder, Hot Rolled Steel, Portland Cement, Alumina Cement, Packing Cardboard, Corrugated Cardboard, Thermal Ortho phosphoric Acid, Sodium Liquid Glass, Pitch, Heat Insulation Cord,SS Sheet, Ceramic Fibers, Castables, Saw dust,  etc. )</t>
  </si>
  <si>
    <t>man days</t>
  </si>
  <si>
    <t>Total Refractory</t>
  </si>
  <si>
    <t>Total Structures</t>
  </si>
  <si>
    <t>Total Plant &amp; Equipt</t>
  </si>
  <si>
    <t>Rail</t>
  </si>
  <si>
    <t>HPALA system (HPALA Pump (70 m3/h &amp; 400 m Head) +Pipes+valves+ booster pump (2 m3/h  1.5 kW))</t>
  </si>
  <si>
    <t>DSR 4002</t>
  </si>
  <si>
    <t>DSR</t>
  </si>
  <si>
    <t>Railway Turnouts +Switches</t>
  </si>
  <si>
    <t>Total dismantling</t>
  </si>
  <si>
    <t>TYHIC-china</t>
  </si>
  <si>
    <t>Sinosteel</t>
  </si>
  <si>
    <t>XGSIC</t>
  </si>
  <si>
    <t>Battery Proper along with oven machines &amp; refractory (Package 2)</t>
  </si>
  <si>
    <t>ROURKELA STEEL PLANT</t>
  </si>
  <si>
    <t>Coke dry cooling plant including BPTG (Package 3)</t>
  </si>
  <si>
    <t>CDCP proper:</t>
  </si>
  <si>
    <t>DM water plant. (Considered in Offer of M/s Sinosteel, hence to be removed from offer of M/s Sinosteel as scope of DM plant has been removed from this package).</t>
  </si>
  <si>
    <t>Dismantling:</t>
  </si>
  <si>
    <t>Pipelines</t>
  </si>
  <si>
    <t>Additional pipelines &amp; associated system:</t>
  </si>
  <si>
    <t>Valves etc.</t>
  </si>
  <si>
    <t>Considered in BQ of M/s Sinosteel</t>
  </si>
  <si>
    <t>Firefighting</t>
  </si>
  <si>
    <t>Nitrogen system:</t>
  </si>
  <si>
    <t>Nitrogen Compressor, 800 kW</t>
  </si>
  <si>
    <t>Pipes &amp; support</t>
  </si>
  <si>
    <t>Electrical cost</t>
  </si>
  <si>
    <t xml:space="preserve">Instrumentation &amp; automation  </t>
  </si>
  <si>
    <t xml:space="preserve">New  Sheeting </t>
  </si>
  <si>
    <t>By-product plant including BOD plant (Package 4)</t>
  </si>
  <si>
    <t>New CCD plant to process 50000 Nm3/hr crude coke oven gas including BOD plant</t>
  </si>
  <si>
    <t>McNally</t>
  </si>
  <si>
    <t>Shrachi</t>
  </si>
  <si>
    <t>Paul Wurth</t>
  </si>
  <si>
    <t>Hutni</t>
  </si>
  <si>
    <t xml:space="preserve">GAS MIXING AND BOOSTER FOR PLANT GRID: </t>
  </si>
  <si>
    <t>Under Slung crane of 5 t capacity</t>
  </si>
  <si>
    <t>Earthwork for coffer dam</t>
  </si>
  <si>
    <t xml:space="preserve">Hume pipes (1000 dia) </t>
  </si>
  <si>
    <t>Water supply system (Package 5)</t>
  </si>
  <si>
    <t>DN300 Gate Valves</t>
  </si>
  <si>
    <t>DN300 Non Return Valves</t>
  </si>
  <si>
    <t>Under sludge Pumps (37 kW)</t>
  </si>
  <si>
    <t>Pressure Sand Filters</t>
  </si>
  <si>
    <t>Makeup Water Pumps (37 kW)</t>
  </si>
  <si>
    <t>Dewatering Pumps (22 kW)</t>
  </si>
  <si>
    <t>3 t under slung crane</t>
  </si>
  <si>
    <t>Misc Valves, filters etc.</t>
  </si>
  <si>
    <t>Boiler and DM water Plant (Package 6)</t>
  </si>
  <si>
    <t xml:space="preserve">60 tph factory steam boiler </t>
  </si>
  <si>
    <t>3x120 m3/h DM Plant</t>
  </si>
  <si>
    <t>DN300 Steam Valves</t>
  </si>
  <si>
    <t>Drain Valves (DN25)</t>
  </si>
  <si>
    <t>Thermodynamic traps</t>
  </si>
  <si>
    <t xml:space="preserve">Alloy Steel pipe grade A106 GrB (DN300, 10.31 mm Thk) </t>
  </si>
  <si>
    <t>Suitably adjusted from BQ for 40m Dia Thickener Mechanism of M/s EIMCO dtd 15/12/10</t>
  </si>
  <si>
    <t>Suitably adjusted from BQ for 6x270 tph Filters of ION Exchange dtd 15/9/14</t>
  </si>
  <si>
    <t>Rockwool 120kg/ m3 Insulating Material</t>
  </si>
  <si>
    <t>Suitably adjusted from BQ for 2x100 tph DM Plant of M/s ION Exchange dtd 5/8/2015</t>
  </si>
  <si>
    <t>2.2 + 1.1.2</t>
  </si>
  <si>
    <t>(5.33.1+5.34.1+ 3.5 times 5.9.1)+10% (for HRC)</t>
  </si>
  <si>
    <t>4.2.2</t>
  </si>
  <si>
    <t>5.22 or 5.22A</t>
  </si>
  <si>
    <t>19.35.2</t>
  </si>
  <si>
    <t>19.35.4</t>
  </si>
  <si>
    <t>11.3.1</t>
  </si>
  <si>
    <t>6.32.1</t>
  </si>
  <si>
    <t>13.3.1</t>
  </si>
  <si>
    <t>13.2.1</t>
  </si>
  <si>
    <t>13.16.1</t>
  </si>
  <si>
    <t>13.46.1</t>
  </si>
  <si>
    <t>13.37.1</t>
  </si>
  <si>
    <t>16.3.2+16.4</t>
  </si>
  <si>
    <t>22.15</t>
  </si>
  <si>
    <t>11.54.2</t>
  </si>
  <si>
    <t>12.29</t>
  </si>
  <si>
    <t>16.78.1</t>
  </si>
  <si>
    <t>16.78.2</t>
  </si>
  <si>
    <t>16.78.3</t>
  </si>
  <si>
    <t>16.1</t>
  </si>
  <si>
    <t>20.1.4</t>
  </si>
  <si>
    <t>4.10</t>
  </si>
  <si>
    <t>4.17</t>
  </si>
  <si>
    <t xml:space="preserve">3rd </t>
  </si>
  <si>
    <t>4th (6 months)</t>
  </si>
  <si>
    <t>Yr 24</t>
  </si>
  <si>
    <t>Gross coke -dry (76% of coal)</t>
  </si>
  <si>
    <t xml:space="preserve">Breeze coke-dry (-34mm) </t>
  </si>
  <si>
    <t xml:space="preserve">Value </t>
  </si>
  <si>
    <t xml:space="preserve">Derived rate of purchased BF coke for the size 34 mm to 80 mm (size as envisaged from proposed battery) </t>
  </si>
  <si>
    <t>Rs/t of coal blend</t>
  </si>
  <si>
    <t>Operating material (coal)</t>
  </si>
  <si>
    <t>Dry coal charge (from coal tower)</t>
  </si>
  <si>
    <t>Rs/t of BF coke</t>
  </si>
  <si>
    <t xml:space="preserve">Total works cost for proposed battery operation </t>
  </si>
  <si>
    <t>Nm3</t>
  </si>
  <si>
    <t>BF Coke (34 mm to 80 mm) from proposed Battery/ annum</t>
  </si>
  <si>
    <t>Dry coal required/ annum (along with handling loss of 2%)</t>
  </si>
  <si>
    <t>Production of tar from proposed battery operation / annum</t>
  </si>
  <si>
    <t>Production of CO gas from proposed battery operation / annum</t>
  </si>
  <si>
    <t>Coal handling + coke &amp; CDCP</t>
  </si>
  <si>
    <t>Credit for CO gas</t>
  </si>
  <si>
    <t>Rs./Gcal</t>
  </si>
  <si>
    <t>Credit for Crude tar</t>
  </si>
  <si>
    <t>kwh</t>
  </si>
  <si>
    <t>Additional hot metal production due to better M10 value of STAMP CHARGE BF coke/ annum</t>
  </si>
  <si>
    <t>Coke saving in coke consumption due to better M10 value of STAMP CHARGE BF coke/ annum</t>
  </si>
  <si>
    <t>Remarks</t>
  </si>
  <si>
    <t>kcal/Nm3</t>
  </si>
  <si>
    <t xml:space="preserve">Calorific Value of CO gas: </t>
  </si>
  <si>
    <t>Credit for crude tar</t>
  </si>
  <si>
    <t>Annual cost of production of BF coke (34 mm to 80 mm) from proposed Battery</t>
  </si>
  <si>
    <t xml:space="preserve">Gross Margin from proposed battery </t>
  </si>
  <si>
    <t xml:space="preserve">Rate of medium pressure steam </t>
  </si>
  <si>
    <t>1 ton tar=</t>
  </si>
  <si>
    <t>Gcal</t>
  </si>
  <si>
    <t>Dep @15%</t>
  </si>
  <si>
    <t xml:space="preserve">Depreciation based on WDV method @ 15% </t>
  </si>
  <si>
    <t>Signature</t>
  </si>
  <si>
    <t>GM(Steel,R. Mills, I &amp; S)</t>
  </si>
  <si>
    <t>Mr. A K Ghosh</t>
  </si>
  <si>
    <t>GM (Proj.Co ordn.&amp; Cont. ) &amp; MR</t>
  </si>
  <si>
    <t xml:space="preserve">GM (Mech.,Elec.,PC&amp;A, C&amp;IT)   </t>
  </si>
  <si>
    <t>GM (RM, U &amp; Refr.)</t>
  </si>
  <si>
    <r>
      <rPr>
        <b/>
        <sz val="12"/>
        <color indexed="8"/>
        <rFont val="Arial"/>
        <family val="2"/>
      </rPr>
      <t>i.</t>
    </r>
    <r>
      <rPr>
        <b/>
        <sz val="7"/>
        <color indexed="8"/>
        <rFont val="Times New Roman"/>
        <family val="1"/>
      </rPr>
      <t xml:space="preserve">        </t>
    </r>
    <r>
      <rPr>
        <b/>
        <u/>
        <sz val="12"/>
        <color indexed="8"/>
        <rFont val="Arial"/>
        <family val="2"/>
      </rPr>
      <t>Details of BQs and earlier POs</t>
    </r>
  </si>
  <si>
    <t>Scope of supply/ work</t>
  </si>
  <si>
    <t>Quoted / derived basic price</t>
  </si>
  <si>
    <t>Estimated basic cost for differential scope of work</t>
  </si>
  <si>
    <r>
      <t xml:space="preserve">Total basic cost </t>
    </r>
    <r>
      <rPr>
        <sz val="12"/>
        <color indexed="8"/>
        <rFont val="Arial"/>
        <family val="2"/>
      </rPr>
      <t>along with escalation, if any.</t>
    </r>
  </si>
  <si>
    <t>Total basic cost (Rs Cr)</t>
  </si>
  <si>
    <t>Total basic cost considered for the proposed project (Rs Cr)</t>
  </si>
  <si>
    <t>Earlier POs / Stage-II cost considered :</t>
  </si>
  <si>
    <r>
      <rPr>
        <b/>
        <sz val="12"/>
        <color indexed="8"/>
        <rFont val="Arial"/>
        <family val="2"/>
      </rPr>
      <t>ii.</t>
    </r>
    <r>
      <rPr>
        <b/>
        <sz val="7"/>
        <color indexed="8"/>
        <rFont val="Times New Roman"/>
        <family val="1"/>
      </rPr>
      <t xml:space="preserve">        </t>
    </r>
    <r>
      <rPr>
        <b/>
        <u/>
        <sz val="12"/>
        <color indexed="8"/>
        <rFont val="Arial"/>
        <family val="2"/>
      </rPr>
      <t>Normalised BQ value:</t>
    </r>
  </si>
  <si>
    <r>
      <rPr>
        <b/>
        <sz val="12"/>
        <color indexed="8"/>
        <rFont val="Arial"/>
        <family val="2"/>
      </rPr>
      <t>iii.</t>
    </r>
    <r>
      <rPr>
        <b/>
        <sz val="7"/>
        <color indexed="8"/>
        <rFont val="Times New Roman"/>
        <family val="1"/>
      </rPr>
      <t xml:space="preserve">        </t>
    </r>
    <r>
      <rPr>
        <b/>
        <u/>
        <sz val="12"/>
        <color indexed="8"/>
        <rFont val="Arial"/>
        <family val="2"/>
      </rPr>
      <t>Price trend considered:</t>
    </r>
  </si>
  <si>
    <r>
      <t xml:space="preserve">iv.        </t>
    </r>
    <r>
      <rPr>
        <b/>
        <u/>
        <sz val="12"/>
        <color indexed="8"/>
        <rFont val="Arial"/>
        <family val="2"/>
      </rPr>
      <t>Final estimate</t>
    </r>
    <r>
      <rPr>
        <b/>
        <sz val="12"/>
        <color indexed="8"/>
        <rFont val="Arial"/>
        <family val="2"/>
      </rPr>
      <t>:</t>
    </r>
  </si>
  <si>
    <t xml:space="preserve">Based on the above considerations, final capital cost estimate net of Cenvat credit for the subject project </t>
  </si>
  <si>
    <t>: 05/DE/4095</t>
  </si>
  <si>
    <t>BQs obtained (Package wise):</t>
  </si>
  <si>
    <t xml:space="preserve"> BQ / POs details</t>
  </si>
  <si>
    <t>Descriptions</t>
  </si>
  <si>
    <t>Hude (EURO)</t>
  </si>
  <si>
    <t>KOCH (EURO)</t>
  </si>
  <si>
    <t>Sinosteel (USD)</t>
  </si>
  <si>
    <t>TYHIC-china (USD)</t>
  </si>
  <si>
    <t>XGSIC (USD)</t>
  </si>
  <si>
    <t>Stamping, Charging &amp; Pushing Machine (SCP) - 2 nos.</t>
  </si>
  <si>
    <t>Gas Booster System - 2 Nos.</t>
  </si>
  <si>
    <t>M/s TLT Engg.</t>
  </si>
  <si>
    <t>July-Sept'15 BQ</t>
  </si>
  <si>
    <t>Engineering  estimate</t>
  </si>
  <si>
    <t>Area</t>
  </si>
  <si>
    <t xml:space="preserve">Coke transfer car (CTC) - 2 nos. </t>
  </si>
  <si>
    <t>Name of supplier(s)</t>
  </si>
  <si>
    <t>Not normalised as value is comparatively very small.</t>
  </si>
  <si>
    <t xml:space="preserve">Gas Booster System - 2 Nos. </t>
  </si>
  <si>
    <t>M/s TLT Engg. (BQ dtd. Sept'15)</t>
  </si>
  <si>
    <t>Average derived value of BQs of four suppliers namely (i) Hude, (ii) Sinosteel (iii) TYHIC-China (iv) XGSIC considered. (BQ dtd. July-Sept'15)</t>
  </si>
  <si>
    <t xml:space="preserve">Stamping, Charging &amp; Pushing Machine (SCP) - 2 nos. </t>
  </si>
  <si>
    <t>120 tph CDCP proper with CDQ, back pressure power generation system, etc.</t>
  </si>
  <si>
    <t>Sinosteel, China</t>
  </si>
  <si>
    <t>Derived basic FC (in FE)</t>
  </si>
  <si>
    <t>10% knocked down and cost towards DM water plant subtracted.</t>
  </si>
  <si>
    <t>Remaining facilities of the package</t>
  </si>
  <si>
    <t>New CCD plant to process 50000 Nm3/hr crude CO gas including BOD plant</t>
  </si>
  <si>
    <t>McNally price is knocked down by 30%. This is adjusted based on the evaluated price obtained in Aug'15 for By-product plant at RINL for 70000Nm3/hr.</t>
  </si>
  <si>
    <t>Basic cost (after normalisation) (in Rs. Cr.)</t>
  </si>
  <si>
    <t>M/s McNally (BQ dtd. Aug'15)</t>
  </si>
  <si>
    <t>M/s EIMCO dtd 15/12/10</t>
  </si>
  <si>
    <t>M/s ION Exchange dtd 15/9/14</t>
  </si>
  <si>
    <t>M/s EIMCO</t>
  </si>
  <si>
    <t>M/s ION Exchange</t>
  </si>
  <si>
    <t>Normalised on account of capacity difference and non heavy duty drive system.(BQ is for 40 m dia and for heavy duty drive)</t>
  </si>
  <si>
    <t>Pressure Sand Filters (4nos.)</t>
  </si>
  <si>
    <t>Normalised on account of capacity difference .(BQ is for 7 nos. filter)</t>
  </si>
  <si>
    <t xml:space="preserve">M/s ISGEC </t>
  </si>
  <si>
    <t xml:space="preserve">M/s ION Exchange </t>
  </si>
  <si>
    <t>Normalised on account of capacity difference .(BQ is for 2x100 m3/hr)</t>
  </si>
  <si>
    <t>Thickner (30 M dia)- non heavy duty drives</t>
  </si>
  <si>
    <t>Thickner drives (30 M dia)- non heavy duty drives</t>
  </si>
  <si>
    <t>BQs are normalised as shown below:</t>
  </si>
  <si>
    <t>Price trend factor has not been considered as basic cost estimate of the proposed project has been prepared based on engineering estimate and normalised value of BQs for some of the items.</t>
  </si>
  <si>
    <r>
      <rPr>
        <b/>
        <sz val="12"/>
        <rFont val="Arial"/>
        <family val="2"/>
      </rPr>
      <t>vi.</t>
    </r>
    <r>
      <rPr>
        <b/>
        <sz val="7"/>
        <rFont val="Times New Roman"/>
        <family val="1"/>
      </rPr>
      <t> </t>
    </r>
    <r>
      <rPr>
        <sz val="7"/>
        <rFont val="Times New Roman"/>
        <family val="1"/>
      </rPr>
      <t xml:space="preserve">       </t>
    </r>
    <r>
      <rPr>
        <sz val="12"/>
        <rFont val="Arial"/>
        <family val="2"/>
      </rPr>
      <t xml:space="preserve">Implementation schedule considered as 42 months from Stage-II approval.  </t>
    </r>
  </si>
  <si>
    <r>
      <t>:</t>
    </r>
    <r>
      <rPr>
        <sz val="14"/>
        <rFont val="Times New Roman"/>
        <family val="1"/>
      </rPr>
      <t xml:space="preserve"> Installation of coke oven battery # 7 </t>
    </r>
    <r>
      <rPr>
        <sz val="14"/>
        <rFont val="Arial"/>
        <family val="2"/>
      </rPr>
      <t>, RSP</t>
    </r>
  </si>
  <si>
    <t>McNally Bharat</t>
  </si>
  <si>
    <t>Shuttering for silos</t>
  </si>
  <si>
    <t>Shuttering for chimneys</t>
  </si>
  <si>
    <t>As per BQ of M/s Slipform projects</t>
  </si>
  <si>
    <t>Contribution on account of generated coke breeze</t>
  </si>
  <si>
    <t>Thermax BQ</t>
  </si>
  <si>
    <t>Triveni offer for 3x50 cum/hr is adjusted.</t>
  </si>
  <si>
    <t>M/s Thermax</t>
  </si>
  <si>
    <t>Normalised on account of capacity difference .(BQ is for 75 TPH)</t>
  </si>
  <si>
    <t>M/s ISGEC dtd. 09/07/2015 and of M/s Thermax dtd.15.07.2015. Lowest price of M/s ISGEC considered.</t>
  </si>
  <si>
    <t>M/s Triveni</t>
  </si>
  <si>
    <t>Normalised on account of capacity difference .(BQ is for 3x50 m3/hr)</t>
  </si>
  <si>
    <t>M/s ION Exchange dtd 5/8/2015 and of M/s Triveni dtd.14.08.2015. However, BQ of M/s ION Exchange considered as capacity of BQ is more near to proposed requirement.</t>
  </si>
  <si>
    <t>Normalised on account of capacity difference and for included civil work.(BQ is for 80 TPH &amp; incl. civil job)</t>
  </si>
  <si>
    <t>Suitably adjusted from BQ for 80 tph boiler of M/s ISGEC dtd. 09/07/2015 and 10% for civil work.</t>
  </si>
  <si>
    <t>Mcnally figure is considered after knocked down it by 30%. This is adjusted based on the evaluated price obtained in Aug'15 for By-product plant at RINL for 70000Nm3/hr. (Separate cost for civil &amp; struct.)</t>
  </si>
  <si>
    <t xml:space="preserve">It has been decided by the committee to consider European lowest price with 15% knocked down value. European price has been considered because provision will be kept in TS/EC such that only European machines will be supplied. </t>
  </si>
  <si>
    <t>Average of all four BQs considered. The average price is similar to one of the probable suppliers.</t>
  </si>
  <si>
    <t>Foreign Training</t>
  </si>
  <si>
    <t>Foreign supervision</t>
  </si>
  <si>
    <t>BQ of Paul Wurth</t>
  </si>
  <si>
    <t>Equipt.</t>
  </si>
  <si>
    <t>BPTG (BHEL offer)</t>
  </si>
  <si>
    <t>EOT crane</t>
  </si>
  <si>
    <t>Structures for BPTG</t>
  </si>
  <si>
    <t>Civil</t>
  </si>
  <si>
    <t xml:space="preserve">Additional: </t>
  </si>
  <si>
    <t>Rs. L</t>
  </si>
  <si>
    <t>M/s Sinosteel, China dtd.06.07.2015 and M/s Paul Wurth (BQ Aug'15). BQ of M/s Sinosteel considered being lower price wrt. M/s Paul Wurth.</t>
  </si>
  <si>
    <t>Paul Wurth + estimate for exclusions for BPTG</t>
  </si>
  <si>
    <t>10% knocked down of Paul Wurth price and cost towards BPTG added.</t>
  </si>
  <si>
    <r>
      <t xml:space="preserve">Cost review committee noted that as per practice for coke oven battery project, capital cost estimate for the installation of COB#7, RSP had been prepared mostly based on the engineering estimate. However, BQs have been considered after due normalisation for some items like SCP machines, coke transfer car, gas booster, CDCP, By-product plant, thickner, pressur filter, steam boiler and DM plant. Based on this the cost committee decided to consider the basic cost for the project as </t>
    </r>
    <r>
      <rPr>
        <b/>
        <sz val="12"/>
        <color indexed="8"/>
        <rFont val="Arial"/>
        <family val="2"/>
      </rPr>
      <t>Rs. 1219.86 Cr.</t>
    </r>
    <r>
      <rPr>
        <sz val="12"/>
        <color indexed="8"/>
        <rFont val="Arial"/>
        <family val="2"/>
      </rPr>
      <t xml:space="preserve"> </t>
    </r>
  </si>
  <si>
    <t>CDCP+ DM water</t>
  </si>
  <si>
    <t>(-) DM water</t>
  </si>
  <si>
    <t>BQ of Sino steel</t>
  </si>
  <si>
    <t>Comparison of battery proper estimate (Pkg-2):</t>
  </si>
  <si>
    <t>Battery proper price of COB#7, BSL (69 ovens)</t>
  </si>
  <si>
    <t>LCNC (Rs. Cr.)</t>
  </si>
  <si>
    <t>Derived LCNC for COB#7, RSP (Rs. Cr.)</t>
  </si>
  <si>
    <t>Oven Machines - Estimated for COB#7, RSP</t>
  </si>
  <si>
    <t>Battery proper price of COB#7, RSP (92 ovens) - prorata adjusted for no. of ovens wrt. COB#7, BSL.</t>
  </si>
  <si>
    <t>Refractory - Estimated for COB#7, RSP</t>
  </si>
  <si>
    <t>Material handling - Estimated for COB#7, RSP</t>
  </si>
  <si>
    <t>Additional civil work wrt. COB#7, BSL - Estimated for COB#7, RSP</t>
  </si>
  <si>
    <t>Additional struct. work wrt. COB#7, BSL - Estimated for COB#7, RSP</t>
  </si>
  <si>
    <t>Additional U&amp;S work wrt. COB#7, BSL - Estimated for COB#7, RSP</t>
  </si>
  <si>
    <t>Wet Quenching system as per COB#8, BSL</t>
  </si>
  <si>
    <t>Additional Electrical and I&amp;A work wrt. COB#7, BSL - Estimated for COB#7, RSP</t>
  </si>
  <si>
    <t>Foreign supervision and foreign training</t>
  </si>
  <si>
    <t>Estimated LCNC for COB#7, RSP as per FR cost estimate.</t>
  </si>
  <si>
    <t>Engineering estimate. Rates are considered based on the previous placed orders.</t>
  </si>
  <si>
    <t>: 31.10.2015</t>
  </si>
  <si>
    <t>Mr. Salil Bhattacharjee</t>
  </si>
  <si>
    <t>AGM (C,C&amp;C)</t>
  </si>
  <si>
    <t>BQs of five suppliers namely (i) Hude, (ii) KOCH (iii) Sinosteel (iv) TYHIC-China (v) XGSIC considered. However, BQ of KOCH (BQ dtd. July-Sept'15) with 15% knocked down has been considered because provision will be kept in TS/EC such that only European machines will be supplied.</t>
  </si>
  <si>
    <t>1USD=Rs.(with forward premium rate)</t>
  </si>
  <si>
    <t>1EURO=Rs.(with forward premium rate)</t>
  </si>
  <si>
    <t>Implementation period considered for  FE forward premium rate calculation (months):</t>
  </si>
  <si>
    <t>Forward premium rate considered:</t>
  </si>
  <si>
    <t>NPV (@ 10%), Rs Cr</t>
  </si>
  <si>
    <t>Tar</t>
  </si>
  <si>
    <t>cost of prod /ton of BF coke</t>
  </si>
  <si>
    <t>Pendent operated EoT crane 20/5 t</t>
  </si>
  <si>
    <t>no</t>
  </si>
  <si>
    <t>Spare bucket</t>
  </si>
  <si>
    <t>Rain water harvesting</t>
  </si>
  <si>
    <t>Raw Water Pumps (4x250 m3/h, 80m)</t>
  </si>
  <si>
    <t>Clarified Water Pumps (4x250 m3/h, 80m)</t>
  </si>
  <si>
    <t>Zero discharge plant consisting of MBBR, filtration &amp; RO plant</t>
  </si>
  <si>
    <t>MS Pipe (DN300, 7.14mm Thk)</t>
  </si>
  <si>
    <t>Electric hoist for DM water plant</t>
  </si>
  <si>
    <t>NPV @ 10%  (Post tax)</t>
  </si>
  <si>
    <t>Rate of purchased BF coke for the size 25 mm to 80 mm</t>
  </si>
  <si>
    <t>Rate of electrical power</t>
  </si>
  <si>
    <t>Change</t>
  </si>
  <si>
    <t>Pay loader (tyre mounted, 115 hp, 2.00 m3 bucket)</t>
  </si>
  <si>
    <t>Power trolley line</t>
  </si>
  <si>
    <t>Double girder EOT crane in Coke bucket repair garage (Cap-75t/20t, span-18m, Lift-15m) – 70t (wt of the crane) *2.5 lakhs/t = 175 Lakhs</t>
  </si>
  <si>
    <t xml:space="preserve">Compensators </t>
  </si>
  <si>
    <t>Screw Compressor for pneumatic blow down, 500 Nm3/h, 7 kg/cm2</t>
  </si>
  <si>
    <t>Air receiver, 2 m3 capacity</t>
  </si>
  <si>
    <t>Screw Compressor for air blast in coal silos, 200 Nm3/h, 7 kg/cm2</t>
  </si>
  <si>
    <t>Steam Traps &amp; Y strainer, ejectors, hyd seal, spray nozzle</t>
  </si>
  <si>
    <t>Coke transfer car - 2 nos, each of 240 t</t>
  </si>
  <si>
    <t>Avg of all three BQ</t>
  </si>
  <si>
    <t>Coke bucket car for dry quenching-80t</t>
  </si>
  <si>
    <r>
      <rPr>
        <u/>
        <sz val="12"/>
        <rFont val="Arial"/>
        <family val="2"/>
      </rPr>
      <t>1x120 tph</t>
    </r>
    <r>
      <rPr>
        <sz val="12"/>
        <rFont val="Arial"/>
        <family val="2"/>
      </rPr>
      <t xml:space="preserve"> OR </t>
    </r>
    <r>
      <rPr>
        <u/>
        <sz val="12"/>
        <rFont val="Arial"/>
        <family val="2"/>
      </rPr>
      <t>3x50 tph</t>
    </r>
    <r>
      <rPr>
        <sz val="12"/>
        <rFont val="Arial"/>
        <family val="2"/>
      </rPr>
      <t xml:space="preserve"> CDCP proper with CDQ, primary dust removal, secondary dust removal, high temperature and high pressure waste heat boiler and relevant equipment, coke dust collecting system, environmental dust removal, DM water system, </t>
    </r>
    <r>
      <rPr>
        <b/>
        <sz val="12"/>
        <rFont val="Arial"/>
        <family val="2"/>
      </rPr>
      <t>back pressure power generation</t>
    </r>
    <r>
      <rPr>
        <sz val="12"/>
        <rFont val="Arial"/>
        <family val="2"/>
      </rPr>
      <t xml:space="preserve"> system, circulating water system (including cooling tower and pump house), compressed air station, firefighting facility, integrated pipeline network, etc.</t>
    </r>
  </si>
  <si>
    <t>1x120 tph OR 3x50 tph CDCP proper (Struct. Scope assumed 15%)</t>
  </si>
  <si>
    <t>1x120 tph OR 3x50 tph CDCP proper (Civil Scope assumed 5%)</t>
  </si>
  <si>
    <t xml:space="preserve">Factored by 1.05, 1.06, 1.1 for D&amp;E, erection and freight (Ocean+inland) respectively.Further, knocked down by 10%. </t>
  </si>
  <si>
    <t>BF coke- dry (34mm to 80 mm) (67%)</t>
  </si>
  <si>
    <t>Production of medium pressure steam  /annum (52 ton /hr)</t>
  </si>
  <si>
    <t>Single girder EOT crane in exchange station of stamping unit (hammer changing stations): Cap-10/1t, span – 12m, lift-25m</t>
  </si>
  <si>
    <t xml:space="preserve">Operating + Overhead+ IntWC - coke &amp; CDCP (same as COB#6, RSP) </t>
  </si>
  <si>
    <t>Production of Power from back pressure turbine / annum (generation 5 MW)</t>
  </si>
  <si>
    <t>Production of coke breeze (-) 34 mm</t>
  </si>
  <si>
    <t>Rate of coke breeze for (-) 34 mm</t>
  </si>
  <si>
    <t>Annexure-6.1.1-2</t>
  </si>
  <si>
    <t>Plant cost</t>
  </si>
  <si>
    <t>Date</t>
  </si>
  <si>
    <t>10.05.2016</t>
  </si>
  <si>
    <t>Annexure-3</t>
  </si>
  <si>
    <t>PHASING OF EXPENDITURE &amp; IDC (42 months from Stg.-2 approval)</t>
  </si>
  <si>
    <t>FE parity with FP rate</t>
  </si>
  <si>
    <t>FP rate</t>
  </si>
  <si>
    <t>IT</t>
  </si>
  <si>
    <t>GST (Freight)</t>
  </si>
  <si>
    <t>1 US $= Rs.</t>
  </si>
  <si>
    <t>(@10%)</t>
  </si>
  <si>
    <t>incl.IDC</t>
  </si>
  <si>
    <t>1 Euro= Rs.</t>
  </si>
  <si>
    <t>Sl.No.</t>
  </si>
  <si>
    <t>INDIGENOUS DUTY &amp; TAXES</t>
  </si>
  <si>
    <t>Equipment Foundation</t>
  </si>
  <si>
    <t>GST</t>
  </si>
  <si>
    <t>Foreign Sup.</t>
  </si>
  <si>
    <t>Design Engg.</t>
  </si>
  <si>
    <t>Imp. Supply</t>
  </si>
  <si>
    <t>Imp. Services</t>
  </si>
  <si>
    <t>Ind. Supply</t>
  </si>
  <si>
    <t>Ind. Services</t>
  </si>
  <si>
    <t>ax</t>
  </si>
  <si>
    <t>ay</t>
  </si>
  <si>
    <t>Input tax credit (ITC)</t>
  </si>
  <si>
    <t xml:space="preserve">Total net of ITC </t>
  </si>
  <si>
    <t>1 (a)</t>
  </si>
  <si>
    <t>1 (c)</t>
  </si>
  <si>
    <t>Total Plant cost</t>
  </si>
  <si>
    <t xml:space="preserve">CAPITAL COST </t>
  </si>
  <si>
    <t>Indg.</t>
  </si>
  <si>
    <t>Foreign Supervision</t>
  </si>
  <si>
    <t>Else manday x per diem rate</t>
  </si>
  <si>
    <t>IMPORT DUTY (PROJECT ID)</t>
  </si>
  <si>
    <t>GST (Imp. Supply)</t>
  </si>
  <si>
    <t>GST (Imp. Services)</t>
  </si>
  <si>
    <t>2007-08</t>
  </si>
  <si>
    <t>I R R</t>
  </si>
  <si>
    <t>GST (Ind. Supply)</t>
  </si>
  <si>
    <t>EXPENDITURE</t>
  </si>
  <si>
    <t>UNIT</t>
  </si>
  <si>
    <t>GST (Ind. Services)</t>
  </si>
  <si>
    <t>Energy Consumption/Annum</t>
  </si>
  <si>
    <t>P.I.</t>
  </si>
  <si>
    <t>Ratio</t>
  </si>
  <si>
    <t>Energy Cost/Annum</t>
  </si>
  <si>
    <t>Miscellaneous</t>
  </si>
  <si>
    <t>Total Expenditure</t>
  </si>
  <si>
    <t>ANNEXURE  6.1.1-1</t>
  </si>
  <si>
    <t>**CAPITAL COST ESTIMATE**SUMMARY</t>
  </si>
  <si>
    <t xml:space="preserve">  STEEL AUTHORITY OF INDIA  LIMITED</t>
  </si>
  <si>
    <t xml:space="preserve">         CAPITAL COST ESTIMATE (SUMMARY)</t>
  </si>
  <si>
    <t>(For Presentation Purpose Only)</t>
  </si>
  <si>
    <t>Erec. &amp; Comm.</t>
  </si>
  <si>
    <t>Engg. &amp; Constn</t>
  </si>
  <si>
    <t>Freight &amp; Insurance</t>
  </si>
  <si>
    <t xml:space="preserve">IDC </t>
  </si>
  <si>
    <t>1 (d)</t>
  </si>
  <si>
    <t>1 (e)</t>
  </si>
  <si>
    <t>1 (f)</t>
  </si>
  <si>
    <t>ERW Pipe of DN800 size for Boiler  CO gas, 2000 m</t>
  </si>
  <si>
    <t>Additional item in R=4</t>
  </si>
  <si>
    <t>DN800 Fabricated Gate Valve</t>
  </si>
  <si>
    <t>1 No. Boiler Feed Pump</t>
  </si>
  <si>
    <t>1 No. Raw Water Pump</t>
  </si>
  <si>
    <t>1 No. DM Water Transfer Pump</t>
  </si>
  <si>
    <t>Diesel storage &amp; pumping capacity</t>
  </si>
  <si>
    <t>Chemical storage &amp; unloading facility</t>
  </si>
  <si>
    <t>Initial filling line &amp; hydrostatic testing</t>
  </si>
  <si>
    <t>Air Conditioning in place of Dry Pressurised Ventilation System</t>
  </si>
  <si>
    <t>High Pressure Sealing System</t>
  </si>
  <si>
    <t xml:space="preserve">Price reduction on account of benzol plant removal from scope and addition of naphthalene plant   </t>
  </si>
  <si>
    <t xml:space="preserve">Price escalation on account of one dual drive exhauster in place of electrical driven exhauster  </t>
  </si>
  <si>
    <t>Price escalation on account of 35000 nm3/hr PGC  &amp; ETP 2 nos instead of 25 000 nm3/hr</t>
  </si>
  <si>
    <t>CCTV system (PC&amp;A)</t>
  </si>
  <si>
    <t>Portable gas analyser</t>
  </si>
  <si>
    <t>CO monitoring system (PC&amp;A)</t>
  </si>
  <si>
    <t>DCS, Engineering station and operator station (PC&amp;A)</t>
  </si>
  <si>
    <t xml:space="preserve">Charges for engaging environmental Consultant, Fee for consent to establish and provision for compliance to EC conditions &amp; towards Enterprise Social Commitment </t>
  </si>
  <si>
    <t>Civil works- Others</t>
  </si>
  <si>
    <t>Civil works- Equipment foundation:</t>
  </si>
  <si>
    <t xml:space="preserve">Total Civil-Equipment foundation </t>
  </si>
  <si>
    <t>Total Civil- Others</t>
  </si>
  <si>
    <t>Civil works- Others:</t>
  </si>
  <si>
    <t>Drinking water system</t>
  </si>
  <si>
    <t>1 (g)</t>
  </si>
  <si>
    <t>Others including training</t>
  </si>
  <si>
    <t>Capital Cost net of ITC on GST</t>
  </si>
  <si>
    <t xml:space="preserve">Input tax credit (ITC) on GST </t>
  </si>
  <si>
    <t>For tall it will be 65% (for +34)</t>
  </si>
  <si>
    <t>ITC</t>
  </si>
  <si>
    <t>DG set of 650 KVA</t>
  </si>
  <si>
    <t>Additional item in R=5</t>
  </si>
  <si>
    <t>Addition in R=5</t>
  </si>
  <si>
    <t>Additional dryer for compressed air</t>
  </si>
  <si>
    <t>Additional in R=5</t>
  </si>
  <si>
    <t>Laboratory work:</t>
  </si>
  <si>
    <t xml:space="preserve">RCC-M25 including shuttering </t>
  </si>
  <si>
    <t>Acrylic emulsion paint</t>
  </si>
  <si>
    <t>Door &amp; Windows</t>
  </si>
  <si>
    <t>Gas Booster System (Coke oven heating), 2 Nos. (1W + 1S)</t>
  </si>
  <si>
    <t>Gas Booster (Mixed gas grid), 500 kW (1W + 1 S)</t>
  </si>
  <si>
    <t>Budgetary Offer from M/s TLT Engg. (factored for D&amp;E, erection, freight) dtd. 25.09.2015 (1 no. added in R=5)</t>
  </si>
  <si>
    <t>Laboratory equipment</t>
  </si>
  <si>
    <t>1A</t>
  </si>
  <si>
    <t>1(b)</t>
  </si>
  <si>
    <t xml:space="preserve">GST </t>
  </si>
  <si>
    <t xml:space="preserve">Critical spares: </t>
  </si>
  <si>
    <t>Unit Rate (Rs./Unit)</t>
  </si>
  <si>
    <t>Amount (Lakh)</t>
  </si>
  <si>
    <t>Total critical spares</t>
  </si>
  <si>
    <t>Expansion Bellows Non metallic all dimension</t>
  </si>
  <si>
    <t>Metallic expansion joints</t>
  </si>
  <si>
    <t>Bag filter cartridge Complete set</t>
  </si>
  <si>
    <t>Nov'17</t>
  </si>
  <si>
    <t>Dec'17</t>
  </si>
  <si>
    <t>Jan'18</t>
  </si>
  <si>
    <t>Feb'18</t>
  </si>
  <si>
    <t>Mar'18</t>
  </si>
  <si>
    <t xml:space="preserve">Rate of CDCP steam </t>
  </si>
  <si>
    <t>@10%</t>
  </si>
  <si>
    <t>net of ITC</t>
  </si>
  <si>
    <t>Contribution on account of CDCP steam generated from proposed battery</t>
  </si>
  <si>
    <t>Social Welfare surcharge</t>
  </si>
  <si>
    <t>Cess on I.Tax / Corp tax</t>
  </si>
  <si>
    <t>Social welfare surcharge</t>
  </si>
  <si>
    <t>Apr'18</t>
  </si>
  <si>
    <t>May'18</t>
  </si>
  <si>
    <t>June'18</t>
  </si>
  <si>
    <t>July'18</t>
  </si>
  <si>
    <t>Aug'18</t>
  </si>
  <si>
    <t>Sept'18</t>
  </si>
  <si>
    <t>Oct'18</t>
  </si>
  <si>
    <t>Nov'18</t>
  </si>
  <si>
    <t>Pg no. 28, 2nd Column (Rate) , for "COKE BRZ ARSING"</t>
  </si>
  <si>
    <t>May'20</t>
  </si>
  <si>
    <t>June'20</t>
  </si>
  <si>
    <t>July'20</t>
  </si>
  <si>
    <t>Aug'20</t>
  </si>
  <si>
    <t>Oct'20</t>
  </si>
  <si>
    <t>Nov'20</t>
  </si>
  <si>
    <t>Dec'20</t>
  </si>
  <si>
    <t>Jan'21</t>
  </si>
  <si>
    <t>Feb'21</t>
  </si>
  <si>
    <t>Mar'21</t>
  </si>
  <si>
    <t>CI paving</t>
  </si>
  <si>
    <t>PCC</t>
  </si>
  <si>
    <t>PCI</t>
  </si>
  <si>
    <t>Benefits</t>
  </si>
  <si>
    <t>Sl. No.</t>
  </si>
  <si>
    <t xml:space="preserve">Operating cost -coal handling + battery operation (same as top charge, RSP) + 5kwh/t of coal charge as additional charge </t>
  </si>
  <si>
    <t xml:space="preserve">Works cost of production - coal handling + battery operation </t>
  </si>
  <si>
    <t>Sl</t>
  </si>
  <si>
    <t>Annual Benefit in Rs. Cr.</t>
  </si>
  <si>
    <t>Savings in coal price with respect to top charge</t>
  </si>
  <si>
    <t>Benefit on account of reduced coke consumption due to improvement in coke quality</t>
  </si>
  <si>
    <t>Benefit on account of increased BF productivity due to improvement in coke quality</t>
  </si>
  <si>
    <t>Benefit on account of increased BF coke yield by 1.5%</t>
  </si>
  <si>
    <t xml:space="preserve">Total Benefit </t>
  </si>
  <si>
    <t>Benefit on account of improvement in coke quality as per RDCIS report</t>
  </si>
  <si>
    <t>Monetary benefit</t>
  </si>
  <si>
    <t>Skip coke generated (t)</t>
  </si>
  <si>
    <t>% Reduction in skip coke rate</t>
  </si>
  <si>
    <t>Qty of skip coke less consumed (t)</t>
  </si>
  <si>
    <t>Saving (Rs. Cr.)</t>
  </si>
  <si>
    <t>M10</t>
  </si>
  <si>
    <t>Considering reduction in coke rate by 1.0% for 1.0% reduction in M10</t>
  </si>
  <si>
    <t>CSR</t>
  </si>
  <si>
    <t>Considering reduction in coke rate by 1.0 Kg/THM for 1% CSR improvement</t>
  </si>
  <si>
    <t>Contribution of pig iron (Rs./t)</t>
  </si>
  <si>
    <t>Savings due to increased productivity (Rs. Cr.)</t>
  </si>
  <si>
    <t xml:space="preserve">V Cost of pig Iron </t>
  </si>
  <si>
    <t>NSR of Pig Iron</t>
  </si>
  <si>
    <t>NPV</t>
  </si>
  <si>
    <t>IRR(Pre-tax)</t>
  </si>
  <si>
    <t>PI</t>
  </si>
  <si>
    <t>ITC+Salvage value</t>
  </si>
  <si>
    <t>2. Benefit on account of increased BF productivity due to improvement in coke quality :</t>
  </si>
  <si>
    <t>1. Benefit on account of reduced coke consumption due to improvement in coke quality:</t>
  </si>
  <si>
    <t>As discussed with Mr. S K naik (BF -Finance), RSP for the year 2020-21</t>
  </si>
  <si>
    <t>Cost of Imported coal (+5%)</t>
  </si>
  <si>
    <t>Cost of imported coal (+10%)</t>
  </si>
  <si>
    <t>Cost of imported coal (-5%)</t>
  </si>
  <si>
    <t>Cost of imported coal (-10%)</t>
  </si>
  <si>
    <t xml:space="preserve">BF coke production </t>
  </si>
  <si>
    <t>Mtpa</t>
  </si>
  <si>
    <t>Base Case</t>
  </si>
  <si>
    <t>Cost of imported coal (+15%)</t>
  </si>
  <si>
    <t>Capital cost (+10%)</t>
  </si>
  <si>
    <t>CC</t>
  </si>
  <si>
    <t>Comparision of cost estimate between Stamp charge COB at RSP and Stamp Charge COB at DSP</t>
  </si>
  <si>
    <r>
      <rPr>
        <b/>
        <sz val="12"/>
        <rFont val="Arial"/>
        <family val="2"/>
      </rPr>
      <t>Add:</t>
    </r>
    <r>
      <rPr>
        <sz val="12"/>
        <rFont val="Arial"/>
      </rPr>
      <t xml:space="preserve"> Additional cost considered in RSP for "By product facility".</t>
    </r>
  </si>
  <si>
    <t>Additional facility in stamp charge COB at RSP</t>
  </si>
  <si>
    <r>
      <rPr>
        <b/>
        <sz val="12"/>
        <rFont val="Arial"/>
        <family val="2"/>
      </rPr>
      <t xml:space="preserve">Deduct: </t>
    </r>
    <r>
      <rPr>
        <sz val="12"/>
        <rFont val="Arial"/>
        <family val="2"/>
      </rPr>
      <t xml:space="preserve">Quenching tower cost </t>
    </r>
  </si>
  <si>
    <t>Quenching tower cost considered in DSP's COB but the same is not considered in RSP's COB</t>
  </si>
  <si>
    <t>Based on BSL COB#8 pkg-5 cost, 1.2 factor to convert to cap cost and 1.15 for escalation</t>
  </si>
  <si>
    <t>kg/m</t>
  </si>
  <si>
    <r>
      <t xml:space="preserve">Deduct: </t>
    </r>
    <r>
      <rPr>
        <sz val="12"/>
        <rFont val="Arial"/>
        <family val="2"/>
      </rPr>
      <t xml:space="preserve">Additional Silos cost </t>
    </r>
  </si>
  <si>
    <t>For "Coal handling + coke sorting facility", in RSP: Rs.52.72 cr. wheras in DSP: Rs.105.48 Cr. has been considered.</t>
  </si>
  <si>
    <t xml:space="preserve">Capital cost net of ITC </t>
  </si>
  <si>
    <t>Stamp charge COB at DSP</t>
  </si>
  <si>
    <t>Stamp charge COB at RSP</t>
  </si>
  <si>
    <t xml:space="preserve">Estimated capital cost for stamp charge COBs </t>
  </si>
  <si>
    <r>
      <t xml:space="preserve">Deduct: </t>
    </r>
    <r>
      <rPr>
        <sz val="12"/>
        <rFont val="Arial"/>
        <family val="2"/>
      </rPr>
      <t>Cost towards RCL facility considered in DSP</t>
    </r>
  </si>
  <si>
    <t>RCL facility considered in DSP but the same is not considered in RSP</t>
  </si>
  <si>
    <t xml:space="preserve">Misc. provisions </t>
  </si>
  <si>
    <t>Cost Modified by Elect Section 16/08/2021</t>
  </si>
  <si>
    <r>
      <t xml:space="preserve">BQ of M/s Sinosteel, China dtd.06.07.2015 with 15% knocked down. (equipt. Considered as 80%)- </t>
    </r>
    <r>
      <rPr>
        <u/>
        <sz val="12"/>
        <rFont val="Arial"/>
        <family val="2"/>
      </rPr>
      <t>Cost is considered same for either scheme</t>
    </r>
    <r>
      <rPr>
        <sz val="12"/>
        <rFont val="Arial"/>
        <family val="2"/>
      </rPr>
      <t xml:space="preserve"> </t>
    </r>
  </si>
  <si>
    <t>Changed by Civil 16.08.21</t>
  </si>
  <si>
    <t>Mcnally figure is considered after knocked down it by 20%. This is adjusted based on the evaluated price obtained in Aug'15 for By-product plant at RINL for 70000Nm3/hr. (Separate cost for civil &amp; struct.)</t>
  </si>
  <si>
    <t>Nos of Oven - 67 Nos in single block TOP CHARGE 5.5 M)</t>
  </si>
  <si>
    <t xml:space="preserve">Installation of Tall Coke Oven Battery # 7 at RSP </t>
  </si>
  <si>
    <t xml:space="preserve"> / Unit</t>
  </si>
  <si>
    <t>Diff with Stamp</t>
  </si>
  <si>
    <t xml:space="preserve">Coal Handling , </t>
  </si>
  <si>
    <t>July-Sept'15 BQ (USD/t)</t>
  </si>
  <si>
    <t>BEC (COB#6, Jan'2008)</t>
  </si>
  <si>
    <t>COB#9, BSP (Rs. L/unit)</t>
  </si>
  <si>
    <t>Pusher car - 2 nos, each of 380 t</t>
  </si>
  <si>
    <t>USD/t (July-Sept'15 BQ)</t>
  </si>
  <si>
    <t>Rs. 95 cr. pkg cost (Rs. 66 cr. basic price) for pusher car-2, charging car-2, guide car-2, + land based emission system</t>
  </si>
  <si>
    <t>Rs. 64 cr. pkg cost (Rs. 44.5 cr. basic price) for pusher car-1, charging car-2, guide car-2, Electric loco-2, + OIS</t>
  </si>
  <si>
    <t>Charging car - 2 nos, each of 140 t</t>
  </si>
  <si>
    <t>Coke quenching wagon (for wet quenching)- 100 t</t>
  </si>
  <si>
    <t>Prev. data/ delete</t>
  </si>
  <si>
    <t>Total basic cost (Rs. L) per m/c</t>
  </si>
  <si>
    <t>Electric Loco- 60 t each</t>
  </si>
  <si>
    <t>Prev. data/ one no. added</t>
  </si>
  <si>
    <t>Proposed basic cost:Rs. Cr.</t>
  </si>
  <si>
    <t xml:space="preserve">new  Sheeting </t>
  </si>
  <si>
    <t>Stand pipe brick-cat 1</t>
  </si>
  <si>
    <t>Fireclay insulation bricks (Mica) for chimney and other area</t>
  </si>
  <si>
    <t>Regenerator -Cat-1</t>
  </si>
  <si>
    <t>Regenerator Checker -cat 2</t>
  </si>
  <si>
    <t>Temporary stoves-cat 1</t>
  </si>
  <si>
    <t>Straight fireclay-cat 1</t>
  </si>
  <si>
    <t>Walls at buttresses-cat 1</t>
  </si>
  <si>
    <t>Pavement of concrete slab, Wall of bottom flues -Cat-3</t>
  </si>
  <si>
    <t>High CCS Shapes -cat 4</t>
  </si>
  <si>
    <t>Calcium Silicate slabs</t>
  </si>
  <si>
    <t>Deleted as per comparison with Stamp Dtd.22.02.19</t>
  </si>
  <si>
    <t>Deleted Dtd.22.02.19</t>
  </si>
  <si>
    <t>Deducted 1000 cum for quenching tower dtd.22.02.19</t>
  </si>
  <si>
    <t>Deduted 110 t for quenching tower dtd.22.02.19</t>
  </si>
  <si>
    <t>Ironite flooring</t>
  </si>
  <si>
    <t>11.4 DSR-16</t>
  </si>
  <si>
    <t>Total Civil</t>
  </si>
  <si>
    <t>Relocating the above control valve to new location</t>
  </si>
  <si>
    <t xml:space="preserve">Refractory Inspection </t>
  </si>
  <si>
    <t>Landed L-1 cost of BEC as per RINL PBE dtd.15.07.2014 (actual/ updated with latest FE parity &amp; with BPTG and for 3 chambers)</t>
  </si>
  <si>
    <t xml:space="preserve">  </t>
  </si>
  <si>
    <t>1 (h)</t>
  </si>
  <si>
    <t>Production of BF Coke from proposed battery/ annum (34mm to 80 mm)</t>
  </si>
  <si>
    <t>Production of medium pressure steam / annum</t>
  </si>
  <si>
    <t>Production of power from back pressure turbine / annum</t>
  </si>
  <si>
    <t>Productiion of coke breeze</t>
  </si>
  <si>
    <t>Rate of purchase power</t>
  </si>
  <si>
    <t xml:space="preserve">Rate of coke breeze </t>
  </si>
  <si>
    <t>Reduction in expenditure on account of Proposed Battery per annum</t>
  </si>
  <si>
    <t xml:space="preserve">Avoidance of expenditure due to reduction of purchase of equivalent external BF coke </t>
  </si>
  <si>
    <t xml:space="preserve">Credit for crude tar </t>
  </si>
  <si>
    <t xml:space="preserve">Credit on account of power generated from proposed CDCP </t>
  </si>
  <si>
    <t xml:space="preserve">Credit on account of medium pressure steam generated from CDCP </t>
  </si>
  <si>
    <t xml:space="preserve">Credit on account of generated coke breeze </t>
  </si>
  <si>
    <t xml:space="preserve">Own cost of production of BF coke </t>
  </si>
  <si>
    <t>Net reduction in expenditure on account of proposed battery per annum (Gross Margin)</t>
  </si>
  <si>
    <t>Other than coal (Rs. per ton of BF coke):</t>
  </si>
  <si>
    <t>Gross coke -dry (76%)</t>
  </si>
  <si>
    <t>Coal cost (Rs. per ton of BF coke):</t>
  </si>
  <si>
    <t>BF coke- dry (34mm to 80 mm) (65%)</t>
  </si>
  <si>
    <t>on GST</t>
  </si>
  <si>
    <t>ITC &amp; salvage value</t>
  </si>
  <si>
    <t>Production of CO Gas from proposed battery / annum</t>
  </si>
  <si>
    <t>Production of crude tar from propose battery / annum</t>
  </si>
  <si>
    <t>Budgetary Offer from M/s TLT Engg. (factored for D&amp;E, erection, freight) dtd. 24.09.2015. Esc. 30%</t>
  </si>
  <si>
    <t>DSR 2021</t>
  </si>
  <si>
    <t>Factored by 1.05, 1.06, for D&amp;E, erection respectively.Further, knocked down by 15%.</t>
  </si>
  <si>
    <t>BQ of M/s Fouress Engg. dtd.29.01.2015, Esc. 10%</t>
  </si>
  <si>
    <t>Base date: 3rd Qtr 2021</t>
  </si>
  <si>
    <t>Imp Coal</t>
  </si>
  <si>
    <t>Description</t>
  </si>
  <si>
    <t>Stamp Charge COB with CDCP (with 1 Mtpa coal throughput)</t>
  </si>
  <si>
    <t>Tall top charge COB with CDCP (with 1 Mtpa coal throughput)</t>
  </si>
  <si>
    <t>Rebuilding</t>
  </si>
  <si>
    <t xml:space="preserve">Blend - I </t>
  </si>
  <si>
    <t xml:space="preserve">Blend - II </t>
  </si>
  <si>
    <t>Option:1</t>
  </si>
  <si>
    <t>Option:2</t>
  </si>
  <si>
    <t>Option:3</t>
  </si>
  <si>
    <t>Option:4</t>
  </si>
  <si>
    <t>Option: 5</t>
  </si>
  <si>
    <t>Option: 6</t>
  </si>
  <si>
    <t>Coal Blend details</t>
  </si>
  <si>
    <t xml:space="preserve">Capital Cost net of ITC </t>
  </si>
  <si>
    <t xml:space="preserve">Coal Blend's weighted avg. cost </t>
  </si>
  <si>
    <t>Gross Margin per annum</t>
  </si>
  <si>
    <t>Sensitivity Analysis of IRR (Post Tax):</t>
  </si>
  <si>
    <t>Cost of imported coal (-20%)</t>
  </si>
  <si>
    <t>Cost of imported coal (-15%)</t>
  </si>
  <si>
    <t>Base/ Current Case</t>
  </si>
  <si>
    <t>Cost of imported coal (+20%)</t>
  </si>
  <si>
    <t xml:space="preserve">Analysis: </t>
  </si>
  <si>
    <t>4 yrs</t>
  </si>
  <si>
    <t>1 yr</t>
  </si>
  <si>
    <t>Source Coal</t>
  </si>
  <si>
    <t>Coal  Blend I (Stamp)</t>
  </si>
  <si>
    <t>Coal  Blend II (Stamp)</t>
  </si>
  <si>
    <t>Coal  Blend (Tall)</t>
  </si>
  <si>
    <t>Indonesia -Hard</t>
  </si>
  <si>
    <t>PEAK DOWNS HARD (LVHR)</t>
  </si>
  <si>
    <t>Wt. Avg.</t>
  </si>
  <si>
    <t>Aug'21</t>
  </si>
  <si>
    <t xml:space="preserve"> Source </t>
  </si>
  <si>
    <t>SteelMint</t>
  </si>
  <si>
    <t>Blend-I</t>
  </si>
  <si>
    <t>Blend-II</t>
  </si>
  <si>
    <t>Blend- Tall</t>
  </si>
  <si>
    <t>2017-18</t>
  </si>
  <si>
    <t>2018-19</t>
  </si>
  <si>
    <t>2019-20</t>
  </si>
  <si>
    <t>2020-21</t>
  </si>
  <si>
    <t>ASH</t>
  </si>
  <si>
    <t>USH</t>
  </si>
  <si>
    <t>MZQ</t>
  </si>
  <si>
    <t>MCC</t>
  </si>
  <si>
    <t>COKE PRICE:</t>
  </si>
  <si>
    <t>Steelmint Source :</t>
  </si>
  <si>
    <t>Year</t>
  </si>
  <si>
    <t>Week</t>
  </si>
  <si>
    <t>Monday</t>
  </si>
  <si>
    <t>Sunday</t>
  </si>
  <si>
    <t xml:space="preserve">Domestic Met Coke </t>
  </si>
  <si>
    <t>INR/Ton</t>
  </si>
  <si>
    <t>2017-08-07</t>
  </si>
  <si>
    <t>2017-08-13</t>
  </si>
  <si>
    <t>2017-08-14</t>
  </si>
  <si>
    <t>2017-08-20</t>
  </si>
  <si>
    <t>2017-08-21</t>
  </si>
  <si>
    <t>2017-08-27</t>
  </si>
  <si>
    <t>2017-08-28</t>
  </si>
  <si>
    <t>2017-09-03</t>
  </si>
  <si>
    <t>2017-09-04</t>
  </si>
  <si>
    <t>2017-09-10</t>
  </si>
  <si>
    <t>2017-09-11</t>
  </si>
  <si>
    <t>2017-09-17</t>
  </si>
  <si>
    <t>2017-09-18</t>
  </si>
  <si>
    <t>2017-09-24</t>
  </si>
  <si>
    <t>2017-09-25</t>
  </si>
  <si>
    <t>2017-10-01</t>
  </si>
  <si>
    <t>2017-10-02</t>
  </si>
  <si>
    <t>2017-10-08</t>
  </si>
  <si>
    <t>2017-10-09</t>
  </si>
  <si>
    <t>2017-10-15</t>
  </si>
  <si>
    <t>2017-10-16</t>
  </si>
  <si>
    <t>2017-10-22</t>
  </si>
  <si>
    <t>2017-10-23</t>
  </si>
  <si>
    <t>2017-10-29</t>
  </si>
  <si>
    <t>2017-10-30</t>
  </si>
  <si>
    <t>2017-11-05</t>
  </si>
  <si>
    <t>2017-11-06</t>
  </si>
  <si>
    <t>2017-11-12</t>
  </si>
  <si>
    <t>2017-11-13</t>
  </si>
  <si>
    <t>2017-11-19</t>
  </si>
  <si>
    <t>2017-11-20</t>
  </si>
  <si>
    <t>2017-11-26</t>
  </si>
  <si>
    <t>2017-11-27</t>
  </si>
  <si>
    <t>2017-12-03</t>
  </si>
  <si>
    <t>2017-12-04</t>
  </si>
  <si>
    <t>2017-12-10</t>
  </si>
  <si>
    <t>2017-12-11</t>
  </si>
  <si>
    <t>2017-12-17</t>
  </si>
  <si>
    <t>2017-12-18</t>
  </si>
  <si>
    <t>2017-12-24</t>
  </si>
  <si>
    <t>2017-12-25</t>
  </si>
  <si>
    <t>2017-12-31</t>
  </si>
  <si>
    <t>2018-01-01</t>
  </si>
  <si>
    <t>2018-01-07</t>
  </si>
  <si>
    <t>2018-01-08</t>
  </si>
  <si>
    <t>2018-01-14</t>
  </si>
  <si>
    <t>2018-01-15</t>
  </si>
  <si>
    <t>2018-01-21</t>
  </si>
  <si>
    <t>2018-01-22</t>
  </si>
  <si>
    <t>2018-01-28</t>
  </si>
  <si>
    <t>2018-01-29</t>
  </si>
  <si>
    <t>2018-02-04</t>
  </si>
  <si>
    <t>2018-02-05</t>
  </si>
  <si>
    <t>2018-02-11</t>
  </si>
  <si>
    <t>2018-02-12</t>
  </si>
  <si>
    <t>2018-02-18</t>
  </si>
  <si>
    <t>2018-02-19</t>
  </si>
  <si>
    <t>2018-02-25</t>
  </si>
  <si>
    <t>2018-02-26</t>
  </si>
  <si>
    <t>2018-03-04</t>
  </si>
  <si>
    <t>2018-03-05</t>
  </si>
  <si>
    <t>2018-03-11</t>
  </si>
  <si>
    <t>2018-03-12</t>
  </si>
  <si>
    <t>2018-03-18</t>
  </si>
  <si>
    <t>2018-03-19</t>
  </si>
  <si>
    <t>2018-03-25</t>
  </si>
  <si>
    <t>2018-03-26</t>
  </si>
  <si>
    <t>2018-04-01</t>
  </si>
  <si>
    <t>2018-04-02</t>
  </si>
  <si>
    <t>2018-04-08</t>
  </si>
  <si>
    <t>2018-04-09</t>
  </si>
  <si>
    <t>2018-04-15</t>
  </si>
  <si>
    <t>2018-04-16</t>
  </si>
  <si>
    <t>2018-04-22</t>
  </si>
  <si>
    <t>2018-04-23</t>
  </si>
  <si>
    <t>2018-04-29</t>
  </si>
  <si>
    <t>2018-04-30</t>
  </si>
  <si>
    <t>2018-05-06</t>
  </si>
  <si>
    <t>2018-05-07</t>
  </si>
  <si>
    <t>2018-05-13</t>
  </si>
  <si>
    <t>2018-05-14</t>
  </si>
  <si>
    <t>2018-05-20</t>
  </si>
  <si>
    <t>2018-05-21</t>
  </si>
  <si>
    <t>2018-05-27</t>
  </si>
  <si>
    <t>2018-05-28</t>
  </si>
  <si>
    <t>2018-06-03</t>
  </si>
  <si>
    <t>2018-06-04</t>
  </si>
  <si>
    <t>2018-06-10</t>
  </si>
  <si>
    <t>2018-06-11</t>
  </si>
  <si>
    <t>2018-06-17</t>
  </si>
  <si>
    <t>2018-06-18</t>
  </si>
  <si>
    <t>2018-06-24</t>
  </si>
  <si>
    <t>2018-06-25</t>
  </si>
  <si>
    <t>2018-07-01</t>
  </si>
  <si>
    <t>2018-07-02</t>
  </si>
  <si>
    <t>2018-07-08</t>
  </si>
  <si>
    <t>2018-07-09</t>
  </si>
  <si>
    <t>2018-07-15</t>
  </si>
  <si>
    <t>2018-07-16</t>
  </si>
  <si>
    <t>2018-07-22</t>
  </si>
  <si>
    <t>2018-07-23</t>
  </si>
  <si>
    <t>2018-07-29</t>
  </si>
  <si>
    <t>2018-07-30</t>
  </si>
  <si>
    <t>2018-08-05</t>
  </si>
  <si>
    <t>2018-08-06</t>
  </si>
  <si>
    <t>2018-08-12</t>
  </si>
  <si>
    <t>2018-08-13</t>
  </si>
  <si>
    <t>2018-08-19</t>
  </si>
  <si>
    <t>2018-08-20</t>
  </si>
  <si>
    <t>2018-08-26</t>
  </si>
  <si>
    <t>2018-08-27</t>
  </si>
  <si>
    <t>2018-09-02</t>
  </si>
  <si>
    <t>2018-09-03</t>
  </si>
  <si>
    <t>2018-09-09</t>
  </si>
  <si>
    <t>2018-09-10</t>
  </si>
  <si>
    <t>2018-09-16</t>
  </si>
  <si>
    <t>2018-09-17</t>
  </si>
  <si>
    <t>2018-09-23</t>
  </si>
  <si>
    <t>2018-09-24</t>
  </si>
  <si>
    <t>2018-09-30</t>
  </si>
  <si>
    <t>2018-10-01</t>
  </si>
  <si>
    <t>2018-10-07</t>
  </si>
  <si>
    <t>2018-10-08</t>
  </si>
  <si>
    <t>2018-10-14</t>
  </si>
  <si>
    <t>2018-10-15</t>
  </si>
  <si>
    <t>2018-10-21</t>
  </si>
  <si>
    <t>2018-10-22</t>
  </si>
  <si>
    <t>2018-10-28</t>
  </si>
  <si>
    <t>2018-10-29</t>
  </si>
  <si>
    <t>2018-11-04</t>
  </si>
  <si>
    <t>2018-11-05</t>
  </si>
  <si>
    <t>2018-11-11</t>
  </si>
  <si>
    <t>2018-11-12</t>
  </si>
  <si>
    <t>2018-11-18</t>
  </si>
  <si>
    <t>2018-11-19</t>
  </si>
  <si>
    <t>2018-11-25</t>
  </si>
  <si>
    <t>2018-11-26</t>
  </si>
  <si>
    <t>2018-12-02</t>
  </si>
  <si>
    <t>2018-12-03</t>
  </si>
  <si>
    <t>2018-12-09</t>
  </si>
  <si>
    <t>2018-12-10</t>
  </si>
  <si>
    <t>2018-12-16</t>
  </si>
  <si>
    <t>2018-12-17</t>
  </si>
  <si>
    <t>2018-12-23</t>
  </si>
  <si>
    <t>2018-12-24</t>
  </si>
  <si>
    <t>2018-12-30</t>
  </si>
  <si>
    <t>2018-12-31</t>
  </si>
  <si>
    <t>2019-01-06</t>
  </si>
  <si>
    <t>2019-01-07</t>
  </si>
  <si>
    <t>2019-01-13</t>
  </si>
  <si>
    <t>2019-01-14</t>
  </si>
  <si>
    <t>2019-01-20</t>
  </si>
  <si>
    <t>2019-01-21</t>
  </si>
  <si>
    <t>2019-01-27</t>
  </si>
  <si>
    <t>2019-02-04</t>
  </si>
  <si>
    <t>2019-02-10</t>
  </si>
  <si>
    <t>2019-02-11</t>
  </si>
  <si>
    <t>2019-02-17</t>
  </si>
  <si>
    <t>2019-02-18</t>
  </si>
  <si>
    <t>2019-02-24</t>
  </si>
  <si>
    <t>2019-02-25</t>
  </si>
  <si>
    <t>2019-03-03</t>
  </si>
  <si>
    <t>2019-03-04</t>
  </si>
  <si>
    <t>2019-03-10</t>
  </si>
  <si>
    <t>2019-03-11</t>
  </si>
  <si>
    <t>2019-03-17</t>
  </si>
  <si>
    <t>2019-03-18</t>
  </si>
  <si>
    <t>2019-03-24</t>
  </si>
  <si>
    <t>2019-03-25</t>
  </si>
  <si>
    <t>2019-03-31</t>
  </si>
  <si>
    <t>2019-04-01</t>
  </si>
  <si>
    <t>2019-04-07</t>
  </si>
  <si>
    <t>2019-04-08</t>
  </si>
  <si>
    <t>2019-04-14</t>
  </si>
  <si>
    <t>2019-04-15</t>
  </si>
  <si>
    <t>2019-04-21</t>
  </si>
  <si>
    <t>2019-04-22</t>
  </si>
  <si>
    <t>2019-04-28</t>
  </si>
  <si>
    <t>2019-04-29</t>
  </si>
  <si>
    <t>2019-05-05</t>
  </si>
  <si>
    <t>2019-05-06</t>
  </si>
  <si>
    <t>2019-05-12</t>
  </si>
  <si>
    <t>2019-05-13</t>
  </si>
  <si>
    <t>2019-05-19</t>
  </si>
  <si>
    <t>2019-05-20</t>
  </si>
  <si>
    <t>2019-05-26</t>
  </si>
  <si>
    <t>2019-05-27</t>
  </si>
  <si>
    <t>2019-06-02</t>
  </si>
  <si>
    <t>2019-06-03</t>
  </si>
  <si>
    <t>2019-06-09</t>
  </si>
  <si>
    <t>2019-06-10</t>
  </si>
  <si>
    <t>2019-06-16</t>
  </si>
  <si>
    <t>2019-06-17</t>
  </si>
  <si>
    <t>2019-06-23</t>
  </si>
  <si>
    <t>2019-06-24</t>
  </si>
  <si>
    <t>2019-06-30</t>
  </si>
  <si>
    <t>2019-07-01</t>
  </si>
  <si>
    <t>2019-07-07</t>
  </si>
  <si>
    <t>2019-07-08</t>
  </si>
  <si>
    <t>2019-07-14</t>
  </si>
  <si>
    <t>2019-07-15</t>
  </si>
  <si>
    <t>2019-07-21</t>
  </si>
  <si>
    <t>2019-07-22</t>
  </si>
  <si>
    <t>2019-07-28</t>
  </si>
  <si>
    <t>2019-07-29</t>
  </si>
  <si>
    <t>2019-08-04</t>
  </si>
  <si>
    <t>2019-08-05</t>
  </si>
  <si>
    <t>2019-08-11</t>
  </si>
  <si>
    <t>2019-08-12</t>
  </si>
  <si>
    <t>2019-08-18</t>
  </si>
  <si>
    <t>2019-08-19</t>
  </si>
  <si>
    <t>2019-08-25</t>
  </si>
  <si>
    <t>2019-08-26</t>
  </si>
  <si>
    <t>2019-09-01</t>
  </si>
  <si>
    <t>2019-09-02</t>
  </si>
  <si>
    <t>2019-09-08</t>
  </si>
  <si>
    <t>2019-09-09</t>
  </si>
  <si>
    <t>2019-09-15</t>
  </si>
  <si>
    <t>2019-09-16</t>
  </si>
  <si>
    <t>2019-09-22</t>
  </si>
  <si>
    <t>2019-09-23</t>
  </si>
  <si>
    <t>2019-09-29</t>
  </si>
  <si>
    <t>2019-09-30</t>
  </si>
  <si>
    <t>2019-10-06</t>
  </si>
  <si>
    <t>2019-10-07</t>
  </si>
  <si>
    <t>2019-10-13</t>
  </si>
  <si>
    <t>2019-10-14</t>
  </si>
  <si>
    <t>2019-10-20</t>
  </si>
  <si>
    <t>2019-10-21</t>
  </si>
  <si>
    <t>2019-10-27</t>
  </si>
  <si>
    <t>2019-10-28</t>
  </si>
  <si>
    <t>2019-11-03</t>
  </si>
  <si>
    <t>2019-11-04</t>
  </si>
  <si>
    <t>2019-11-10</t>
  </si>
  <si>
    <t>2019-11-11</t>
  </si>
  <si>
    <t>2019-11-17</t>
  </si>
  <si>
    <t>2019-11-18</t>
  </si>
  <si>
    <t>2019-11-24</t>
  </si>
  <si>
    <t>2019-11-25</t>
  </si>
  <si>
    <t>2019-12-01</t>
  </si>
  <si>
    <t>2019-12-02</t>
  </si>
  <si>
    <t>2019-12-08</t>
  </si>
  <si>
    <t>2019-12-09</t>
  </si>
  <si>
    <t>2019-12-15</t>
  </si>
  <si>
    <t>2019-12-16</t>
  </si>
  <si>
    <t>2019-12-22</t>
  </si>
  <si>
    <t>2019-12-23</t>
  </si>
  <si>
    <t>2019-12-29</t>
  </si>
  <si>
    <t>2019-12-30</t>
  </si>
  <si>
    <t>2020-01-05</t>
  </si>
  <si>
    <t>2020-01-06</t>
  </si>
  <si>
    <t>2020-01-12</t>
  </si>
  <si>
    <t>2020-01-13</t>
  </si>
  <si>
    <t>2020-01-19</t>
  </si>
  <si>
    <t>2020-01-20</t>
  </si>
  <si>
    <t>2020-01-26</t>
  </si>
  <si>
    <t>2020-02-03</t>
  </si>
  <si>
    <t>2020-02-09</t>
  </si>
  <si>
    <t>2020-02-10</t>
  </si>
  <si>
    <t>2020-02-16</t>
  </si>
  <si>
    <t>2020-02-17</t>
  </si>
  <si>
    <t>2020-02-23</t>
  </si>
  <si>
    <t>2020-02-24</t>
  </si>
  <si>
    <t>2020-03-01</t>
  </si>
  <si>
    <t>2020-03-09</t>
  </si>
  <si>
    <t>2020-03-15</t>
  </si>
  <si>
    <t>2020-03-23</t>
  </si>
  <si>
    <t>2020-03-29</t>
  </si>
  <si>
    <t>2020-03-30</t>
  </si>
  <si>
    <t>2020-04-05</t>
  </si>
  <si>
    <t>2020-04-06</t>
  </si>
  <si>
    <t>2020-04-12</t>
  </si>
  <si>
    <t>2020-04-13</t>
  </si>
  <si>
    <t>2020-04-19</t>
  </si>
  <si>
    <t>2020-04-27</t>
  </si>
  <si>
    <t>2020-05-03</t>
  </si>
  <si>
    <t>2020-05-04</t>
  </si>
  <si>
    <t>2020-05-10</t>
  </si>
  <si>
    <t>2020-05-11</t>
  </si>
  <si>
    <t>2020-05-17</t>
  </si>
  <si>
    <t>2020-05-18</t>
  </si>
  <si>
    <t>2020-05-24</t>
  </si>
  <si>
    <t>2020-05-25</t>
  </si>
  <si>
    <t>2020-05-31</t>
  </si>
  <si>
    <t>2020-06-01</t>
  </si>
  <si>
    <t>2020-06-07</t>
  </si>
  <si>
    <t>2020-06-08</t>
  </si>
  <si>
    <t>2020-06-14</t>
  </si>
  <si>
    <t>2020-06-15</t>
  </si>
  <si>
    <t>2020-06-21</t>
  </si>
  <si>
    <t>2020-06-22</t>
  </si>
  <si>
    <t>2020-06-28</t>
  </si>
  <si>
    <t>2020-06-29</t>
  </si>
  <si>
    <t>2020-07-05</t>
  </si>
  <si>
    <t>2020-07-06</t>
  </si>
  <si>
    <t>2020-07-12</t>
  </si>
  <si>
    <t>2020-07-13</t>
  </si>
  <si>
    <t>2020-07-19</t>
  </si>
  <si>
    <t>2020-07-20</t>
  </si>
  <si>
    <t>2020-07-26</t>
  </si>
  <si>
    <t>2020-07-27</t>
  </si>
  <si>
    <t>2020-08-02</t>
  </si>
  <si>
    <t>2020-08-03</t>
  </si>
  <si>
    <t>2020-08-09</t>
  </si>
  <si>
    <t>2020-08-10</t>
  </si>
  <si>
    <t>2020-08-16</t>
  </si>
  <si>
    <t>2020-08-17</t>
  </si>
  <si>
    <t>2020-08-23</t>
  </si>
  <si>
    <t>2020-08-24</t>
  </si>
  <si>
    <t>2020-08-30</t>
  </si>
  <si>
    <t>2020-08-31</t>
  </si>
  <si>
    <t>2020-09-06</t>
  </si>
  <si>
    <t>2020-09-07</t>
  </si>
  <si>
    <t>2020-09-13</t>
  </si>
  <si>
    <t>2020-09-14</t>
  </si>
  <si>
    <t>2020-09-20</t>
  </si>
  <si>
    <t>2020-09-21</t>
  </si>
  <si>
    <t>2020-09-27</t>
  </si>
  <si>
    <t>2020-09-28</t>
  </si>
  <si>
    <t>2020-10-04</t>
  </si>
  <si>
    <t>2020-10-05</t>
  </si>
  <si>
    <t>2020-10-11</t>
  </si>
  <si>
    <t>2020-10-12</t>
  </si>
  <si>
    <t>2020-10-18</t>
  </si>
  <si>
    <t>2020-10-19</t>
  </si>
  <si>
    <t>2020-10-25</t>
  </si>
  <si>
    <t>2020-10-26</t>
  </si>
  <si>
    <t>2020-11-01</t>
  </si>
  <si>
    <t>2020-11-02</t>
  </si>
  <si>
    <t>2020-11-08</t>
  </si>
  <si>
    <t>2020-11-09</t>
  </si>
  <si>
    <t>2020-11-15</t>
  </si>
  <si>
    <t>2020-11-16</t>
  </si>
  <si>
    <t>2020-11-22</t>
  </si>
  <si>
    <t>2020-11-23</t>
  </si>
  <si>
    <t>2020-11-29</t>
  </si>
  <si>
    <t>2020-11-30</t>
  </si>
  <si>
    <t>2020-12-06</t>
  </si>
  <si>
    <t>2020-12-07</t>
  </si>
  <si>
    <t>2020-12-13</t>
  </si>
  <si>
    <t>2020-12-14</t>
  </si>
  <si>
    <t>2020-12-20</t>
  </si>
  <si>
    <t>2020-12-21</t>
  </si>
  <si>
    <t>2020-12-27</t>
  </si>
  <si>
    <t>July</t>
  </si>
  <si>
    <t>Coal Price at RSP (Rs./Ton):</t>
  </si>
  <si>
    <t>Imported SOFT</t>
  </si>
  <si>
    <t>BF Coke price: Incl. freight + loading /unloading</t>
  </si>
  <si>
    <t xml:space="preserve">Gross Margin Calculation </t>
  </si>
  <si>
    <t>AUS (H)-42.90%, USA (H)-10.80%, Imp (S)-25.40%, Moz (H)-8.00%, PCC-6.00%, Indonesia (H)-4.40% &amp; LVHR-2.50%</t>
  </si>
  <si>
    <t>Average BF coke price including freight and loading/ unloading charges</t>
  </si>
  <si>
    <t xml:space="preserve">Coal blend rate </t>
  </si>
  <si>
    <t>Considering 67% yield of 1 Mt coal charge</t>
  </si>
  <si>
    <t xml:space="preserve">Increase by factor 70/67 on Avg. Coke price (assuming 3% loss on account of size factor from 25 mm to 34 mm) </t>
  </si>
  <si>
    <t xml:space="preserve">Weighted avg landed cost of different type of coal as forwarded by RSP </t>
  </si>
  <si>
    <t>As per RSP Std cost sheet 2021-22</t>
  </si>
  <si>
    <t>As per RSP std cost sheet 2021-22 (assuming rate same as for (-)25 mm) (Pg no.  )</t>
  </si>
  <si>
    <t>As per Std Cost RSP 2021-22</t>
  </si>
  <si>
    <t xml:space="preserve">Operating cost -(same as COB # 6, RSP) </t>
  </si>
  <si>
    <t>Purchased coke landed price at RSP (Source: SteelMint)</t>
  </si>
  <si>
    <t xml:space="preserve">Installation of Stamp Charge Coke Oven Battery </t>
  </si>
  <si>
    <t xml:space="preserve">Incremental Benefit </t>
  </si>
  <si>
    <t>Increase in Hot metal production due to improvement in coke quality (considering 1.5% improvement per 1% improvement in M 10 value) (t)</t>
  </si>
  <si>
    <r>
      <t>Skip Coke (</t>
    </r>
    <r>
      <rPr>
        <b/>
        <sz val="12"/>
        <rFont val="Arial"/>
        <family val="2"/>
      </rPr>
      <t>variable cost)</t>
    </r>
    <r>
      <rPr>
        <sz val="12"/>
        <rFont val="Arial"/>
        <family val="2"/>
      </rPr>
      <t xml:space="preserve"> (Std. cost 21-22 RSP) Rs./t</t>
    </r>
  </si>
  <si>
    <t>Tons of Hot metal produced by 603000 ton skip coke (considering coke rate of 425 kg/THM</t>
  </si>
  <si>
    <t>Tons of hot metal produced by 603000 Ton of Skip coke with coke rate of 425 Kg/THM</t>
  </si>
  <si>
    <t>Std. Cost sheet of RSP for the year 2021-22</t>
  </si>
  <si>
    <r>
      <rPr>
        <b/>
        <sz val="12"/>
        <rFont val="Arial"/>
        <family val="2"/>
      </rPr>
      <t>Add:</t>
    </r>
    <r>
      <rPr>
        <sz val="12"/>
        <rFont val="Arial"/>
        <family val="2"/>
      </rPr>
      <t xml:space="preserve"> Cost considered in RSP for "Boiler &amp; DM water plant facility" + "Water Supply Facilty"</t>
    </r>
  </si>
  <si>
    <r>
      <t xml:space="preserve">Deduct: </t>
    </r>
    <r>
      <rPr>
        <sz val="12"/>
        <rFont val="Arial"/>
        <family val="2"/>
      </rPr>
      <t>Additional coal handling + coke sorting equipment cost</t>
    </r>
  </si>
  <si>
    <r>
      <t xml:space="preserve">Deduct: </t>
    </r>
    <r>
      <rPr>
        <sz val="12"/>
        <rFont val="Arial"/>
        <family val="2"/>
      </rPr>
      <t>Cost towards additional structurs jobs in DSP due to new coal &amp; coke conveying system</t>
    </r>
  </si>
  <si>
    <t>Total Silos in DSP: 30 nos. whereas in RSP: 6 nos. @ Rs.2.5 Cr. per silo</t>
  </si>
  <si>
    <r>
      <t xml:space="preserve">Deduct: </t>
    </r>
    <r>
      <rPr>
        <sz val="12"/>
        <rFont val="Arial"/>
        <family val="2"/>
      </rPr>
      <t xml:space="preserve">Cost towards additional Electrical and Automation system in DSP </t>
    </r>
  </si>
  <si>
    <t>Balancing figure</t>
  </si>
  <si>
    <t>Comparision of cost estimate between Stamp charge COB at RSP and Tall Top COB at RSP</t>
  </si>
  <si>
    <t xml:space="preserve">Estimated capital cost </t>
  </si>
  <si>
    <r>
      <rPr>
        <b/>
        <sz val="12"/>
        <rFont val="Arial"/>
        <family val="2"/>
      </rPr>
      <t>Add:</t>
    </r>
    <r>
      <rPr>
        <sz val="12"/>
        <rFont val="Arial"/>
      </rPr>
      <t xml:space="preserve"> Additional cost of machines in Stamp charge COB </t>
    </r>
  </si>
  <si>
    <t xml:space="preserve"> Tall top COB at RSP</t>
  </si>
  <si>
    <r>
      <t xml:space="preserve">Add: </t>
    </r>
    <r>
      <rPr>
        <sz val="12"/>
        <rFont val="Arial"/>
        <family val="2"/>
      </rPr>
      <t>Cost towards additional structurs jobs in Stamp due to coal &amp; coke conveying system</t>
    </r>
  </si>
  <si>
    <r>
      <t xml:space="preserve">Add: </t>
    </r>
    <r>
      <rPr>
        <sz val="12"/>
        <rFont val="Arial"/>
        <family val="2"/>
      </rPr>
      <t>Cost towards additional civil job in Stamp charge COB</t>
    </r>
  </si>
  <si>
    <t>For "By-product facility", in RSP: Rs.500 cr. (complete plant) wheras in DSP: Rs.110 Cr. has been considered.</t>
  </si>
  <si>
    <r>
      <t xml:space="preserve">Add: </t>
    </r>
    <r>
      <rPr>
        <sz val="12"/>
        <rFont val="Arial"/>
        <family val="2"/>
      </rPr>
      <t>Cost towards additional refractory in Stamp charge COB</t>
    </r>
  </si>
  <si>
    <r>
      <t xml:space="preserve">Add: </t>
    </r>
    <r>
      <rPr>
        <sz val="12"/>
        <rFont val="Arial"/>
        <family val="2"/>
      </rPr>
      <t>Cost towards additional mechanical equipment in Stamp charge COB</t>
    </r>
  </si>
  <si>
    <t>Additional crushers for coal blend, additional crushing ckt for hard coal, battery in two blocks in stamp COB</t>
  </si>
  <si>
    <t>PCC-Munidih (14% Ash)</t>
  </si>
  <si>
    <t xml:space="preserve">COAL PRICE </t>
  </si>
  <si>
    <t>2021-22</t>
  </si>
  <si>
    <t>Apr</t>
  </si>
  <si>
    <t>May</t>
  </si>
  <si>
    <t>Jun</t>
  </si>
  <si>
    <t>Jul</t>
  </si>
  <si>
    <t>Aug</t>
  </si>
  <si>
    <t>Sep</t>
  </si>
  <si>
    <t>Oct</t>
  </si>
  <si>
    <t>Nov</t>
  </si>
  <si>
    <t>Dec</t>
  </si>
  <si>
    <t>Jan</t>
  </si>
  <si>
    <t>Feb</t>
  </si>
  <si>
    <t>Mar</t>
  </si>
  <si>
    <t>Average</t>
  </si>
  <si>
    <t>Indonesia Hard</t>
  </si>
  <si>
    <t>AUS (Soft)</t>
  </si>
  <si>
    <t>USA (Soft)</t>
  </si>
  <si>
    <t>Kestrel (Sof)</t>
  </si>
  <si>
    <t xml:space="preserve"> Peakdown LVHR</t>
  </si>
  <si>
    <t>AVERAGE</t>
  </si>
  <si>
    <t xml:space="preserve">Avg (Aug'20 to July'21) </t>
  </si>
  <si>
    <t>Aug'17</t>
  </si>
  <si>
    <t>Sept'17</t>
  </si>
  <si>
    <t>Oct'17</t>
  </si>
  <si>
    <t>Dec'18</t>
  </si>
  <si>
    <t>Jan'19</t>
  </si>
  <si>
    <t>Feb'19</t>
  </si>
  <si>
    <t>Mar'19</t>
  </si>
  <si>
    <t>Apr'19</t>
  </si>
  <si>
    <t>May'19</t>
  </si>
  <si>
    <t>June'19</t>
  </si>
  <si>
    <t>July'19</t>
  </si>
  <si>
    <t>Aug'19</t>
  </si>
  <si>
    <t>Sept'19</t>
  </si>
  <si>
    <t>Oct'19</t>
  </si>
  <si>
    <t>Nov'19</t>
  </si>
  <si>
    <t>Dec'19</t>
  </si>
  <si>
    <t>Jan'20</t>
  </si>
  <si>
    <t>Feb'20</t>
  </si>
  <si>
    <t>Mar'20</t>
  </si>
  <si>
    <t>Apr'20</t>
  </si>
  <si>
    <t>Sept'20</t>
  </si>
  <si>
    <t>Apr'21</t>
  </si>
  <si>
    <t>May'21</t>
  </si>
  <si>
    <t>June'21</t>
  </si>
  <si>
    <t>July'21</t>
  </si>
  <si>
    <t xml:space="preserve">Avg (Aug'17 to July'21) </t>
  </si>
  <si>
    <t>AUS (H)-21%, USA (H)-8%, AUS (S)-38%, PCI-10%, PCC-20% &amp; MCC-3%</t>
  </si>
  <si>
    <t xml:space="preserve">AUS (H)-21%, USA (H)-8%, AUS (S)-40%, PCC (Munidih-14% Ash)-31% </t>
  </si>
  <si>
    <r>
      <t xml:space="preserve">Based on average coal price of </t>
    </r>
    <r>
      <rPr>
        <b/>
        <sz val="16"/>
        <rFont val="Arial"/>
        <family val="2"/>
      </rPr>
      <t xml:space="preserve">4 yrs (Aug'17 to July'21) </t>
    </r>
  </si>
  <si>
    <r>
      <t xml:space="preserve">Based on average coal price of </t>
    </r>
    <r>
      <rPr>
        <b/>
        <sz val="16"/>
        <rFont val="Arial"/>
        <family val="2"/>
      </rPr>
      <t xml:space="preserve">1 yr (Aug'20 to July'21) </t>
    </r>
  </si>
  <si>
    <t>Blend : Tall Top</t>
  </si>
  <si>
    <t>Cost of imported coal (-25%)</t>
  </si>
  <si>
    <t>Cost of imported coal (-30%)</t>
  </si>
  <si>
    <r>
      <rPr>
        <b/>
        <u/>
        <sz val="14"/>
        <rFont val="Arial"/>
        <family val="2"/>
      </rPr>
      <t>Note 1.</t>
    </r>
    <r>
      <rPr>
        <b/>
        <sz val="14"/>
        <rFont val="Arial"/>
        <family val="2"/>
      </rPr>
      <t xml:space="preserve"> Imported Coal prices are volatile, hence for techno-economic analysis of stamp charge COB weighted average coal price of last 4 yrs and that of last 1 yr have been considered as two different coal blend cost variant. In this process it is observed that weighted average coal price of last 4 yrs is about Rs.2000/ton costlier than that of last 1 yr for the selected coal blend. </t>
    </r>
  </si>
  <si>
    <r>
      <rPr>
        <b/>
        <u/>
        <sz val="14"/>
        <rFont val="Arial"/>
        <family val="2"/>
      </rPr>
      <t>Note 2.</t>
    </r>
    <r>
      <rPr>
        <b/>
        <sz val="14"/>
        <rFont val="Arial"/>
        <family val="2"/>
      </rPr>
      <t xml:space="preserve"> In base case, Stamp charge COB is favorable over equivalent capacity of tall top charge COB. The same trend follows in case of increasing trend in imported coal prices beyond the base case. </t>
    </r>
  </si>
  <si>
    <r>
      <rPr>
        <b/>
        <u/>
        <sz val="14"/>
        <rFont val="Arial"/>
        <family val="2"/>
      </rPr>
      <t>Note 3</t>
    </r>
    <r>
      <rPr>
        <b/>
        <sz val="14"/>
        <rFont val="Arial"/>
        <family val="2"/>
      </rPr>
      <t xml:space="preserve">. Further considering 4 yrs average coal prices, in case of decreasing trend in imported coal prices also the stamp charge COB will be favorable over tall top charge COB upto 15% decrease in imported coal prices from base case level. </t>
    </r>
  </si>
  <si>
    <t>Trend of imported coal price</t>
  </si>
  <si>
    <t>Stamp (Blend I- 4Yrs Coal Price)</t>
  </si>
  <si>
    <t>Tall Top (4 yrs Coal Price)</t>
  </si>
  <si>
    <t>Considering 65% yield of 1 Mt coal charge</t>
  </si>
  <si>
    <t>CONFIDENTIAL</t>
  </si>
  <si>
    <t>₹ Crore</t>
  </si>
  <si>
    <t>Description of Item</t>
  </si>
  <si>
    <t xml:space="preserve">Design &amp; Engineering </t>
  </si>
  <si>
    <t>Supply of Plant &amp; Equipment Incl. Technological Structures</t>
  </si>
  <si>
    <t xml:space="preserve">Supply of Building steel structures including Sheeting and Glazing </t>
  </si>
  <si>
    <t>Supply of Refractories</t>
  </si>
  <si>
    <t>Civil Engineering Work including all related supplies- for equipment foundation</t>
  </si>
  <si>
    <t xml:space="preserve">Civil Engineering Work including all related supplies- Others </t>
  </si>
  <si>
    <t xml:space="preserve">Storage, Handling, Erection of Plant &amp; Equipments &amp; Refractories including Commisioning and PG tests of the facilities </t>
  </si>
  <si>
    <t>Storage, Handling and Erection of Building Steel Structures</t>
  </si>
  <si>
    <t>Training charges:                                                                    (a) For ___________ Foreign mandays,                                                   (b) For ___________Indian mandays</t>
  </si>
  <si>
    <t xml:space="preserve">Customs, Port clearance (excluding duties &amp; cess to be paid by Employer) and Inland transportation (for all items quoted in foreign currency) </t>
  </si>
  <si>
    <t>Comprehensive  / Transit Storage-cum-erection insurance</t>
  </si>
  <si>
    <t xml:space="preserve">Included above </t>
  </si>
  <si>
    <t>Supply of 2 years O &amp; M spares</t>
  </si>
  <si>
    <t>Purchaser's Scope:</t>
  </si>
  <si>
    <t>BCD @7.5%  on CIF</t>
  </si>
  <si>
    <t>ii</t>
  </si>
  <si>
    <t xml:space="preserve">Social welfare surcharge @ 10% on BCD </t>
  </si>
  <si>
    <t>iii</t>
  </si>
  <si>
    <t xml:space="preserve">GST @ 18 % on imported supply </t>
  </si>
  <si>
    <t>iv</t>
  </si>
  <si>
    <t>GST @ 18 % on imported Services &amp; IT</t>
  </si>
  <si>
    <t xml:space="preserve">ROURKELA STEEL PLANT </t>
  </si>
  <si>
    <t xml:space="preserve">Installation of Stamp Charge COB 7 </t>
  </si>
  <si>
    <t>By-product Plant including BOD plant and water supply system (Pkg-4)</t>
  </si>
  <si>
    <t>1 Euro=Rs.</t>
  </si>
  <si>
    <t>ESTIMATE</t>
  </si>
  <si>
    <t>Sub-total</t>
  </si>
  <si>
    <t xml:space="preserve">Total Package Cost </t>
  </si>
  <si>
    <t>Input tax credit (ITC) on GST</t>
  </si>
  <si>
    <t>Package cost net of ITC on GST</t>
  </si>
  <si>
    <t>Variation w.r.t estimate</t>
  </si>
  <si>
    <t>E&amp;C With forward premiuim</t>
  </si>
  <si>
    <t>Phase-I</t>
  </si>
  <si>
    <t>18 Months</t>
  </si>
  <si>
    <t>1st year</t>
  </si>
  <si>
    <t>2nd  year  (6 months)</t>
  </si>
  <si>
    <t>Phase-II</t>
  </si>
  <si>
    <t>10 Months</t>
  </si>
  <si>
    <t>2nd  year  (8 months)</t>
  </si>
  <si>
    <t>Total net of ITC</t>
  </si>
  <si>
    <t>TT Selling Rate 1 EURO=Rs.</t>
  </si>
  <si>
    <t>Consortium of M/s Hutni Projekt Frydek- Mistek a.s, Czech Republic and M/s Hutni Projekt FM (India) Private Limited, Kolkata</t>
  </si>
  <si>
    <t>HPFM</t>
  </si>
  <si>
    <t>HPIL</t>
  </si>
  <si>
    <t>BASIC TOTAL</t>
  </si>
  <si>
    <t>Grand Total</t>
  </si>
  <si>
    <t xml:space="preserve">BASIC PRICE IN INR </t>
  </si>
  <si>
    <t xml:space="preserve">Total INR </t>
  </si>
  <si>
    <t xml:space="preserve">INR </t>
  </si>
  <si>
    <t xml:space="preserve">GST INR </t>
  </si>
  <si>
    <t xml:space="preserve">Price in foreign currency </t>
  </si>
  <si>
    <t>HPFM (EURO)</t>
  </si>
  <si>
    <t>Foreign Component (FC)</t>
  </si>
  <si>
    <t>Local Component (LC)</t>
  </si>
  <si>
    <t>Income Tax  @ 10% grossed-up on imported services</t>
  </si>
  <si>
    <t>Equivalent INR</t>
  </si>
  <si>
    <t>Included</t>
  </si>
  <si>
    <t>Sl No.</t>
  </si>
  <si>
    <t>Original bid after decrement</t>
  </si>
  <si>
    <t>PRICE BID EVALUATION</t>
  </si>
  <si>
    <t>Comparative statement of the negotied prices w.r.t. estimate</t>
  </si>
  <si>
    <t xml:space="preserve">Bid dtd. 07.06.23 after negotiation </t>
  </si>
  <si>
    <t xml:space="preserve">Current Bid (dtd. 16.06.23) after re-negotiation </t>
  </si>
  <si>
    <t>Date: 17.06.2023</t>
  </si>
  <si>
    <t>Ref. No.: CET-17(4)/4095/130</t>
  </si>
  <si>
    <t>Total             (FC + LC)</t>
  </si>
  <si>
    <t>Foreign Supervision charges in India during erection, startup, commissioning and PG test for _____mandays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</si>
</sst>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171" formatCode="_(* #,##0.00_);_(* \(#,##0.00\);_(* &quot;-&quot;??_);_(@_)"/>
    <numFmt numFmtId="179" formatCode="0.00_)"/>
    <numFmt numFmtId="180" formatCode="0_)"/>
    <numFmt numFmtId="181" formatCode="0.0%"/>
    <numFmt numFmtId="182" formatCode="0.000_)"/>
    <numFmt numFmtId="183" formatCode="0.0_)"/>
    <numFmt numFmtId="184" formatCode="0.0000_)"/>
    <numFmt numFmtId="185" formatCode="&quot;Rs&quot;#,##0.00_);[Red]\(&quot;Rs&quot;#,##0.00\)"/>
    <numFmt numFmtId="186" formatCode="0.00000_)"/>
    <numFmt numFmtId="187" formatCode="0.0"/>
    <numFmt numFmtId="188" formatCode="0.0000%"/>
    <numFmt numFmtId="189" formatCode="0.00000000000"/>
    <numFmt numFmtId="190" formatCode="[$INR]\ #,##0.00_);[Red]\([$INR]\ #,##0.00\)"/>
    <numFmt numFmtId="191" formatCode="[$INR]\ #,##0.00;[Red][$INR]\ #,##0.00"/>
    <numFmt numFmtId="192" formatCode="&quot;₹&quot;\ #,##0.00;[Red]&quot;₹&quot;\ #,##0.00"/>
    <numFmt numFmtId="193" formatCode="_(* #,##0.0000_);_(* \(#,##0.0000\);_(* &quot;-&quot;????_);_(@_)"/>
    <numFmt numFmtId="197" formatCode="0.000"/>
    <numFmt numFmtId="204" formatCode="0.0000000_)"/>
    <numFmt numFmtId="206" formatCode="[$$-409]#,##0"/>
    <numFmt numFmtId="209" formatCode="_(* #,##0_);_(* \(#,##0\);_(* &quot;-&quot;??_);_(@_)"/>
    <numFmt numFmtId="210" formatCode="_ * #,##0_ ;_ * \-#,##0_ ;_ * &quot;-&quot;??_ ;_ @_ "/>
    <numFmt numFmtId="212" formatCode="_-* #,##0_-;\-* #,##0_-;_-* &quot;-&quot;??_-;_-@_-"/>
    <numFmt numFmtId="213" formatCode="0.000000_)"/>
    <numFmt numFmtId="215" formatCode="[$€-2]\ #,##0.00"/>
    <numFmt numFmtId="216" formatCode="0.000000000000"/>
  </numFmts>
  <fonts count="84">
    <font>
      <sz val="12"/>
      <name val="Arial"/>
    </font>
    <font>
      <sz val="10"/>
      <name val="Arial"/>
    </font>
    <font>
      <sz val="10"/>
      <name val="Arial"/>
      <family val="2"/>
    </font>
    <font>
      <b/>
      <sz val="12"/>
      <name val="Arial"/>
      <family val="2"/>
    </font>
    <font>
      <sz val="12"/>
      <name val="Arial"/>
      <family val="2"/>
    </font>
    <font>
      <b/>
      <u/>
      <sz val="12"/>
      <name val="Arial"/>
      <family val="2"/>
    </font>
    <font>
      <sz val="12"/>
      <color indexed="8"/>
      <name val="Arial"/>
      <family val="2"/>
    </font>
    <font>
      <b/>
      <sz val="12"/>
      <color indexed="8"/>
      <name val="Arial"/>
      <family val="2"/>
    </font>
    <font>
      <sz val="14"/>
      <name val="Arial"/>
      <family val="2"/>
    </font>
    <font>
      <b/>
      <sz val="14"/>
      <name val="Arial"/>
      <family val="2"/>
    </font>
    <font>
      <b/>
      <i/>
      <sz val="12"/>
      <name val="Arial"/>
      <family val="2"/>
    </font>
    <font>
      <u/>
      <sz val="12"/>
      <name val="Arial"/>
      <family val="2"/>
    </font>
    <font>
      <sz val="9"/>
      <color indexed="81"/>
      <name val="Tahoma"/>
      <family val="2"/>
    </font>
    <font>
      <b/>
      <sz val="9"/>
      <color indexed="81"/>
      <name val="Tahoma"/>
      <family val="2"/>
    </font>
    <font>
      <b/>
      <sz val="11"/>
      <name val="Arial"/>
      <family val="2"/>
    </font>
    <font>
      <b/>
      <sz val="18"/>
      <name val="Arial"/>
      <family val="2"/>
    </font>
    <font>
      <sz val="12"/>
      <name val="Times New Roman"/>
      <family val="1"/>
    </font>
    <font>
      <b/>
      <sz val="7"/>
      <color indexed="8"/>
      <name val="Times New Roman"/>
      <family val="1"/>
    </font>
    <font>
      <b/>
      <u/>
      <sz val="12"/>
      <color indexed="8"/>
      <name val="Arial"/>
      <family val="2"/>
    </font>
    <font>
      <sz val="7"/>
      <name val="Times New Roman"/>
      <family val="1"/>
    </font>
    <font>
      <b/>
      <sz val="7"/>
      <name val="Times New Roman"/>
      <family val="1"/>
    </font>
    <font>
      <sz val="9"/>
      <color indexed="81"/>
      <name val="Tahoma"/>
      <family val="2"/>
    </font>
    <font>
      <b/>
      <sz val="9"/>
      <color indexed="81"/>
      <name val="Tahoma"/>
      <family val="2"/>
    </font>
    <font>
      <sz val="18"/>
      <name val="Arial"/>
      <family val="2"/>
    </font>
    <font>
      <sz val="12"/>
      <color indexed="8"/>
      <name val="Arial"/>
      <family val="2"/>
    </font>
    <font>
      <b/>
      <sz val="12"/>
      <color indexed="8"/>
      <name val="Arial"/>
      <family val="2"/>
    </font>
    <font>
      <sz val="14"/>
      <name val="Times New Roman"/>
      <family val="1"/>
    </font>
    <font>
      <sz val="12"/>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2"/>
      <color indexed="12"/>
      <name val="Arial"/>
      <family val="2"/>
    </font>
    <font>
      <sz val="20"/>
      <name val="Arial"/>
      <family val="2"/>
    </font>
    <font>
      <b/>
      <sz val="20"/>
      <name val="Arial"/>
      <family val="2"/>
    </font>
    <font>
      <b/>
      <sz val="11"/>
      <color indexed="10"/>
      <name val="Calibri"/>
      <family val="2"/>
    </font>
    <font>
      <sz val="11"/>
      <color indexed="19"/>
      <name val="Calibri"/>
      <family val="2"/>
    </font>
    <font>
      <sz val="10"/>
      <name val="Courier"/>
      <family val="3"/>
    </font>
    <font>
      <sz val="11"/>
      <name val="Segoe UI"/>
      <family val="2"/>
    </font>
    <font>
      <b/>
      <sz val="16"/>
      <name val="Arial"/>
      <family val="2"/>
    </font>
    <font>
      <b/>
      <sz val="12"/>
      <color indexed="8"/>
      <name val="Calibri"/>
      <family val="2"/>
    </font>
    <font>
      <sz val="12"/>
      <color indexed="8"/>
      <name val="Calibri"/>
      <family val="2"/>
    </font>
    <font>
      <sz val="16"/>
      <name val="Arial"/>
      <family val="2"/>
    </font>
    <font>
      <b/>
      <u/>
      <sz val="18"/>
      <name val="Arial"/>
      <family val="2"/>
    </font>
    <font>
      <b/>
      <u/>
      <sz val="14"/>
      <name val="Arial"/>
      <family val="2"/>
    </font>
    <font>
      <sz val="12"/>
      <name val="Arial"/>
      <family val="2"/>
    </font>
    <font>
      <sz val="10"/>
      <color indexed="10"/>
      <name val="Arial"/>
      <family val="2"/>
    </font>
    <font>
      <b/>
      <sz val="10"/>
      <name val="Arial"/>
      <family val="2"/>
    </font>
    <font>
      <b/>
      <sz val="10"/>
      <color indexed="56"/>
      <name val="Arial"/>
      <family val="2"/>
    </font>
    <font>
      <b/>
      <u/>
      <sz val="16"/>
      <name val="Arial"/>
      <family val="2"/>
    </font>
    <font>
      <sz val="11"/>
      <color theme="1"/>
      <name val="Calibri"/>
      <family val="2"/>
      <scheme val="minor"/>
    </font>
    <font>
      <b/>
      <sz val="11"/>
      <color theme="1"/>
      <name val="Calibri"/>
      <family val="2"/>
      <scheme val="minor"/>
    </font>
    <font>
      <b/>
      <sz val="7"/>
      <color rgb="FF000000"/>
      <name val="Times New Roman"/>
      <family val="1"/>
    </font>
    <font>
      <sz val="12"/>
      <color rgb="FF000000"/>
      <name val="Arial"/>
      <family val="2"/>
    </font>
    <font>
      <sz val="12"/>
      <color rgb="FF000000"/>
      <name val="Times New Roman"/>
      <family val="1"/>
    </font>
    <font>
      <b/>
      <sz val="12"/>
      <color rgb="FF000000"/>
      <name val="Arial"/>
      <family val="2"/>
    </font>
    <font>
      <sz val="11"/>
      <color rgb="FF000000"/>
      <name val="Calibri"/>
      <family val="2"/>
    </font>
    <font>
      <sz val="12"/>
      <color theme="1"/>
      <name val="Arial"/>
      <family val="2"/>
    </font>
    <font>
      <b/>
      <sz val="12"/>
      <color theme="1"/>
      <name val="Arial"/>
      <family val="2"/>
    </font>
    <font>
      <sz val="11"/>
      <color theme="1"/>
      <name val="Arial Unicode MS"/>
      <family val="2"/>
    </font>
    <font>
      <b/>
      <sz val="12"/>
      <color theme="1"/>
      <name val="Calibri"/>
      <family val="2"/>
      <scheme val="minor"/>
    </font>
    <font>
      <b/>
      <sz val="12"/>
      <color theme="1"/>
      <name val="Arial Unicode MS"/>
      <family val="2"/>
    </font>
    <font>
      <b/>
      <sz val="12"/>
      <color theme="1"/>
      <name val="Times New Roman"/>
      <family val="1"/>
    </font>
    <font>
      <sz val="14"/>
      <color theme="1"/>
      <name val="Calibri"/>
      <family val="2"/>
      <scheme val="minor"/>
    </font>
    <font>
      <b/>
      <sz val="12"/>
      <color rgb="FF000000"/>
      <name val="Calibri"/>
      <family val="2"/>
    </font>
    <font>
      <sz val="12"/>
      <color rgb="FFFF0000"/>
      <name val="Arial"/>
      <family val="2"/>
    </font>
    <font>
      <b/>
      <sz val="14"/>
      <color theme="1"/>
      <name val="Calibri"/>
      <family val="2"/>
      <scheme val="minor"/>
    </font>
    <font>
      <b/>
      <u/>
      <sz val="12"/>
      <color rgb="FF0000FF"/>
      <name val="Calibri"/>
      <family val="2"/>
    </font>
    <font>
      <sz val="10"/>
      <color rgb="FFFF0000"/>
      <name val="Arial"/>
      <family val="2"/>
    </font>
    <font>
      <sz val="10"/>
      <color theme="1"/>
      <name val="Arial"/>
      <family val="2"/>
    </font>
    <font>
      <b/>
      <sz val="16"/>
      <color theme="1"/>
      <name val="Calibri"/>
      <family val="2"/>
      <scheme val="minor"/>
    </font>
    <font>
      <sz val="18"/>
      <color theme="1"/>
      <name val="Calibri"/>
      <family val="2"/>
      <scheme val="minor"/>
    </font>
    <font>
      <b/>
      <sz val="22"/>
      <color theme="1"/>
      <name val="Arial"/>
      <family val="2"/>
    </font>
    <font>
      <b/>
      <sz val="14"/>
      <color theme="1"/>
      <name val="Arial"/>
      <family val="2"/>
    </font>
  </fonts>
  <fills count="36">
    <fill>
      <patternFill patternType="none"/>
    </fill>
    <fill>
      <patternFill patternType="gray125"/>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27"/>
      </patternFill>
    </fill>
    <fill>
      <patternFill patternType="solid">
        <fgColor indexed="43"/>
      </patternFill>
    </fill>
    <fill>
      <patternFill patternType="solid">
        <fgColor indexed="45"/>
      </patternFill>
    </fill>
    <fill>
      <patternFill patternType="solid">
        <fgColor indexed="49"/>
      </patternFill>
    </fill>
    <fill>
      <patternFill patternType="solid">
        <fgColor indexed="53"/>
      </patternFill>
    </fill>
    <fill>
      <patternFill patternType="solid">
        <fgColor indexed="51"/>
      </patternFill>
    </fill>
    <fill>
      <patternFill patternType="solid">
        <fgColor indexed="56"/>
      </patternFill>
    </fill>
    <fill>
      <patternFill patternType="solid">
        <fgColor indexed="10"/>
      </patternFill>
    </fill>
    <fill>
      <patternFill patternType="solid">
        <fgColor indexed="54"/>
      </patternFill>
    </fill>
    <fill>
      <patternFill patternType="solid">
        <fgColor indexed="46"/>
      </patternFill>
    </fill>
    <fill>
      <patternFill patternType="solid">
        <fgColor indexed="9"/>
      </patternFill>
    </fill>
    <fill>
      <patternFill patternType="solid">
        <fgColor indexed="55"/>
      </patternFill>
    </fill>
    <fill>
      <patternFill patternType="solid">
        <fgColor rgb="FFFF0000"/>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FFFF"/>
        <bgColor rgb="FF000000"/>
      </patternFill>
    </fill>
    <fill>
      <patternFill patternType="solid">
        <fgColor theme="6"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FFFF00"/>
        <bgColor rgb="FF000000"/>
      </patternFill>
    </fill>
    <fill>
      <patternFill patternType="solid">
        <fgColor theme="4" tint="0.59999389629810485"/>
        <bgColor indexed="64"/>
      </patternFill>
    </fill>
    <fill>
      <patternFill patternType="solid">
        <fgColor theme="7" tint="0.59999389629810485"/>
        <bgColor indexed="64"/>
      </patternFill>
    </fill>
    <fill>
      <patternFill patternType="solid">
        <fgColor theme="3" tint="0.59999389629810485"/>
        <bgColor indexed="64"/>
      </patternFill>
    </fill>
  </fills>
  <borders count="9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style="medium">
        <color indexed="8"/>
      </left>
      <right/>
      <top/>
      <bottom style="medium">
        <color indexed="8"/>
      </bottom>
      <diagonal/>
    </border>
    <border>
      <left/>
      <right/>
      <top/>
      <bottom style="medium">
        <color indexed="8"/>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s>
  <cellStyleXfs count="73">
    <xf numFmtId="179" fontId="0" fillId="0" borderId="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2" borderId="0" applyNumberFormat="0" applyBorder="0" applyAlignment="0" applyProtection="0"/>
    <xf numFmtId="0" fontId="28" fillId="6"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4"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5"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4" borderId="0" applyNumberFormat="0" applyBorder="0" applyAlignment="0" applyProtection="0"/>
    <xf numFmtId="0" fontId="29" fillId="12"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29" fillId="9" borderId="0" applyNumberFormat="0" applyBorder="0" applyAlignment="0" applyProtection="0"/>
    <xf numFmtId="0" fontId="29" fillId="13" borderId="0" applyNumberFormat="0" applyBorder="0" applyAlignment="0" applyProtection="0"/>
    <xf numFmtId="0" fontId="30" fillId="15" borderId="0" applyNumberFormat="0" applyBorder="0" applyAlignment="0" applyProtection="0"/>
    <xf numFmtId="0" fontId="45" fillId="16" borderId="1" applyNumberFormat="0" applyAlignment="0" applyProtection="0"/>
    <xf numFmtId="0" fontId="31" fillId="17" borderId="2" applyNumberFormat="0" applyAlignment="0" applyProtection="0"/>
    <xf numFmtId="171" fontId="2" fillId="0" borderId="0" applyFont="0" applyFill="0" applyBorder="0" applyAlignment="0" applyProtection="0"/>
    <xf numFmtId="171" fontId="2" fillId="0" borderId="0" applyFont="0" applyFill="0" applyBorder="0" applyAlignment="0" applyProtection="0"/>
    <xf numFmtId="0" fontId="32" fillId="0" borderId="0" applyNumberFormat="0" applyFill="0" applyBorder="0" applyAlignment="0" applyProtection="0"/>
    <xf numFmtId="0" fontId="33" fillId="6"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7" borderId="1" applyNumberFormat="0" applyAlignment="0" applyProtection="0"/>
    <xf numFmtId="0" fontId="41" fillId="0" borderId="6" applyNumberFormat="0" applyFill="0" applyAlignment="0" applyProtection="0"/>
    <xf numFmtId="0" fontId="46" fillId="7" borderId="0" applyNumberFormat="0" applyBorder="0" applyAlignment="0" applyProtection="0"/>
    <xf numFmtId="0" fontId="2" fillId="0" borderId="0"/>
    <xf numFmtId="179" fontId="4" fillId="0" borderId="0"/>
    <xf numFmtId="0" fontId="60" fillId="0" borderId="0"/>
    <xf numFmtId="0" fontId="2" fillId="0" borderId="0"/>
    <xf numFmtId="0" fontId="2" fillId="0" borderId="0"/>
    <xf numFmtId="0" fontId="60" fillId="0" borderId="0"/>
    <xf numFmtId="179" fontId="4" fillId="0" borderId="0"/>
    <xf numFmtId="179" fontId="4" fillId="0" borderId="0"/>
    <xf numFmtId="0" fontId="28" fillId="0" borderId="0" applyFill="0" applyProtection="0">
      <alignment horizontal="center"/>
    </xf>
    <xf numFmtId="179" fontId="4" fillId="0" borderId="0"/>
    <xf numFmtId="179" fontId="4" fillId="0" borderId="0"/>
    <xf numFmtId="193" fontId="4" fillId="0" borderId="0"/>
    <xf numFmtId="186" fontId="4" fillId="0" borderId="0"/>
    <xf numFmtId="179" fontId="27" fillId="0" borderId="0"/>
    <xf numFmtId="189" fontId="47" fillId="0" borderId="0"/>
    <xf numFmtId="179" fontId="4" fillId="0" borderId="0"/>
    <xf numFmtId="179" fontId="4" fillId="0" borderId="0"/>
    <xf numFmtId="185" fontId="4" fillId="0" borderId="0"/>
    <xf numFmtId="0" fontId="2" fillId="0" borderId="0"/>
    <xf numFmtId="0" fontId="2" fillId="0" borderId="0"/>
    <xf numFmtId="0" fontId="2" fillId="0" borderId="0"/>
    <xf numFmtId="212" fontId="4" fillId="0" borderId="0"/>
    <xf numFmtId="0" fontId="2" fillId="5" borderId="7" applyNumberFormat="0" applyFont="0" applyAlignment="0" applyProtection="0"/>
    <xf numFmtId="0" fontId="38" fillId="16"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0" fontId="2" fillId="0" borderId="0"/>
  </cellStyleXfs>
  <cellXfs count="1874">
    <xf numFmtId="179" fontId="0" fillId="0" borderId="0" xfId="0"/>
    <xf numFmtId="0" fontId="3" fillId="0" borderId="10" xfId="0" applyNumberFormat="1" applyFont="1" applyFill="1" applyBorder="1" applyAlignment="1">
      <alignment horizontal="center"/>
    </xf>
    <xf numFmtId="0" fontId="3" fillId="0" borderId="10" xfId="0" applyNumberFormat="1" applyFont="1" applyFill="1" applyBorder="1" applyAlignment="1">
      <alignment horizontal="left"/>
    </xf>
    <xf numFmtId="0" fontId="4" fillId="0" borderId="10" xfId="0" applyNumberFormat="1" applyFont="1" applyFill="1" applyBorder="1"/>
    <xf numFmtId="0" fontId="4" fillId="0" borderId="10" xfId="0" applyNumberFormat="1" applyFont="1" applyFill="1" applyBorder="1" applyAlignment="1">
      <alignment horizontal="right" vertical="top"/>
    </xf>
    <xf numFmtId="0" fontId="4" fillId="0" borderId="10" xfId="0" applyNumberFormat="1" applyFont="1" applyFill="1" applyBorder="1" applyAlignment="1">
      <alignment horizontal="center" vertical="top"/>
    </xf>
    <xf numFmtId="0" fontId="4" fillId="0" borderId="10" xfId="0" applyNumberFormat="1" applyFont="1" applyFill="1" applyBorder="1" applyAlignment="1">
      <alignment horizontal="right"/>
    </xf>
    <xf numFmtId="0" fontId="4" fillId="0" borderId="10" xfId="0" applyNumberFormat="1" applyFont="1" applyFill="1" applyBorder="1" applyAlignment="1">
      <alignment horizontal="left"/>
    </xf>
    <xf numFmtId="0" fontId="4" fillId="0" borderId="10" xfId="0" applyNumberFormat="1" applyFont="1" applyFill="1" applyBorder="1" applyAlignment="1">
      <alignment horizontal="right" vertical="top" wrapText="1"/>
    </xf>
    <xf numFmtId="0" fontId="4" fillId="0" borderId="10" xfId="0" applyNumberFormat="1" applyFont="1" applyFill="1" applyBorder="1" applyAlignment="1">
      <alignment horizontal="left" vertical="top" wrapText="1"/>
    </xf>
    <xf numFmtId="0" fontId="4" fillId="0" borderId="10" xfId="0" applyNumberFormat="1" applyFont="1" applyFill="1" applyBorder="1" applyAlignment="1">
      <alignment horizontal="center"/>
    </xf>
    <xf numFmtId="1" fontId="4" fillId="0" borderId="10" xfId="0" applyNumberFormat="1" applyFont="1" applyFill="1" applyBorder="1" applyAlignment="1">
      <alignment horizontal="right" vertical="top"/>
    </xf>
    <xf numFmtId="0" fontId="3" fillId="0" borderId="10" xfId="0" applyNumberFormat="1" applyFont="1" applyFill="1" applyBorder="1" applyAlignment="1">
      <alignment horizontal="left" vertical="top" wrapText="1"/>
    </xf>
    <xf numFmtId="0" fontId="4" fillId="0" borderId="11" xfId="0" applyNumberFormat="1" applyFont="1" applyFill="1" applyBorder="1"/>
    <xf numFmtId="0" fontId="3" fillId="0" borderId="10" xfId="0" applyNumberFormat="1" applyFont="1" applyFill="1" applyBorder="1" applyAlignment="1">
      <alignment vertical="top" wrapText="1"/>
    </xf>
    <xf numFmtId="0" fontId="4" fillId="18" borderId="10" xfId="0" applyNumberFormat="1" applyFont="1" applyFill="1" applyBorder="1" applyAlignment="1">
      <alignment horizontal="center" vertical="top"/>
    </xf>
    <xf numFmtId="180" fontId="0" fillId="0" borderId="10" xfId="0" applyNumberFormat="1" applyBorder="1" applyAlignment="1">
      <alignment horizontal="center"/>
    </xf>
    <xf numFmtId="179" fontId="4" fillId="0" borderId="0" xfId="0" applyFont="1"/>
    <xf numFmtId="179" fontId="3" fillId="0" borderId="0" xfId="0" applyFont="1"/>
    <xf numFmtId="179" fontId="4" fillId="0" borderId="0" xfId="0" applyFont="1" applyAlignment="1">
      <alignment vertical="top"/>
    </xf>
    <xf numFmtId="179" fontId="4" fillId="0" borderId="0" xfId="0" applyFont="1" applyFill="1" applyBorder="1"/>
    <xf numFmtId="179" fontId="0" fillId="0" borderId="0" xfId="0" applyAlignment="1">
      <alignment vertical="top"/>
    </xf>
    <xf numFmtId="0" fontId="3" fillId="0" borderId="10" xfId="0" applyNumberFormat="1" applyFont="1" applyFill="1" applyBorder="1"/>
    <xf numFmtId="179" fontId="3" fillId="0" borderId="10" xfId="0" applyFont="1" applyBorder="1"/>
    <xf numFmtId="179" fontId="4" fillId="0" borderId="10" xfId="0" applyFont="1" applyBorder="1" applyAlignment="1">
      <alignment vertical="top"/>
    </xf>
    <xf numFmtId="179" fontId="4" fillId="0" borderId="10" xfId="0" applyFont="1" applyBorder="1"/>
    <xf numFmtId="179" fontId="4" fillId="0" borderId="0" xfId="0" applyFont="1" applyAlignment="1">
      <alignment horizontal="center"/>
    </xf>
    <xf numFmtId="179" fontId="3" fillId="0" borderId="0" xfId="0" applyFont="1" applyAlignment="1">
      <alignment horizontal="right"/>
    </xf>
    <xf numFmtId="179" fontId="4" fillId="0" borderId="10" xfId="0" applyFont="1" applyFill="1" applyBorder="1"/>
    <xf numFmtId="180" fontId="4" fillId="0" borderId="10" xfId="0" applyNumberFormat="1" applyFont="1" applyBorder="1"/>
    <xf numFmtId="179" fontId="4" fillId="0" borderId="10" xfId="0" applyFont="1" applyFill="1" applyBorder="1" applyAlignment="1">
      <alignment horizontal="center" vertical="top"/>
    </xf>
    <xf numFmtId="179" fontId="4" fillId="0" borderId="0" xfId="0" applyFont="1" applyAlignment="1">
      <alignment horizontal="right"/>
    </xf>
    <xf numFmtId="179" fontId="4" fillId="0" borderId="0" xfId="0" applyNumberFormat="1" applyFont="1" applyProtection="1"/>
    <xf numFmtId="179" fontId="0" fillId="0" borderId="0" xfId="0" applyFill="1"/>
    <xf numFmtId="179" fontId="4" fillId="0" borderId="0" xfId="0" applyNumberFormat="1" applyFont="1" applyFill="1" applyAlignment="1" applyProtection="1">
      <alignment horizontal="center"/>
    </xf>
    <xf numFmtId="179" fontId="4" fillId="0" borderId="0" xfId="0" applyNumberFormat="1" applyFont="1" applyBorder="1" applyAlignment="1" applyProtection="1">
      <alignment horizontal="center"/>
    </xf>
    <xf numFmtId="179" fontId="0" fillId="0" borderId="0" xfId="0" applyBorder="1"/>
    <xf numFmtId="179" fontId="4" fillId="0" borderId="0" xfId="0" applyFont="1" applyBorder="1" applyAlignment="1">
      <alignment horizontal="center"/>
    </xf>
    <xf numFmtId="179" fontId="4" fillId="0" borderId="0" xfId="0" applyFont="1" applyBorder="1"/>
    <xf numFmtId="179" fontId="4" fillId="0" borderId="0" xfId="0" applyNumberFormat="1" applyFont="1"/>
    <xf numFmtId="179" fontId="4" fillId="0" borderId="0" xfId="0" applyNumberFormat="1" applyFont="1" applyBorder="1" applyProtection="1"/>
    <xf numFmtId="180" fontId="4" fillId="0" borderId="0" xfId="0" applyNumberFormat="1" applyFont="1" applyBorder="1"/>
    <xf numFmtId="0" fontId="0" fillId="0" borderId="0" xfId="0" applyNumberFormat="1"/>
    <xf numFmtId="0" fontId="3" fillId="0" borderId="0" xfId="0" applyNumberFormat="1" applyFont="1" applyAlignment="1">
      <alignment horizontal="right"/>
    </xf>
    <xf numFmtId="0" fontId="0" fillId="0" borderId="0" xfId="0" applyNumberFormat="1" applyAlignment="1">
      <alignment horizontal="left"/>
    </xf>
    <xf numFmtId="0" fontId="4" fillId="0" borderId="0" xfId="0" applyNumberFormat="1" applyFont="1"/>
    <xf numFmtId="0" fontId="0" fillId="0" borderId="0" xfId="0" applyNumberFormat="1" applyAlignment="1">
      <alignment horizontal="center"/>
    </xf>
    <xf numFmtId="2" fontId="0" fillId="0" borderId="0" xfId="0" applyNumberFormat="1"/>
    <xf numFmtId="0" fontId="4" fillId="0" borderId="10" xfId="0" applyNumberFormat="1" applyFont="1" applyBorder="1" applyAlignment="1">
      <alignment horizontal="center"/>
    </xf>
    <xf numFmtId="1" fontId="0" fillId="0" borderId="0" xfId="0" applyNumberFormat="1"/>
    <xf numFmtId="179" fontId="5" fillId="0" borderId="0" xfId="0" applyFont="1"/>
    <xf numFmtId="179" fontId="4" fillId="0" borderId="0" xfId="0" applyNumberFormat="1" applyFont="1" applyAlignment="1" applyProtection="1"/>
    <xf numFmtId="179" fontId="4" fillId="0" borderId="0" xfId="0" applyNumberFormat="1" applyFont="1" applyAlignment="1" applyProtection="1">
      <alignment horizontal="center"/>
    </xf>
    <xf numFmtId="179" fontId="10" fillId="0" borderId="0" xfId="0" applyFont="1" applyBorder="1"/>
    <xf numFmtId="9" fontId="10" fillId="0" borderId="0" xfId="63" applyFont="1" applyBorder="1"/>
    <xf numFmtId="179" fontId="4" fillId="0" borderId="0" xfId="0" quotePrefix="1" applyNumberFormat="1" applyFont="1" applyProtection="1"/>
    <xf numFmtId="179" fontId="6" fillId="0" borderId="0" xfId="0" applyFont="1" applyProtection="1"/>
    <xf numFmtId="183" fontId="6" fillId="0" borderId="0" xfId="0" applyNumberFormat="1" applyFont="1" applyProtection="1"/>
    <xf numFmtId="179" fontId="4" fillId="0" borderId="0" xfId="0" applyNumberFormat="1" applyFont="1" applyAlignment="1" applyProtection="1">
      <alignment horizontal="fill"/>
    </xf>
    <xf numFmtId="179" fontId="4" fillId="0" borderId="0" xfId="0" applyNumberFormat="1" applyFont="1" applyBorder="1" applyAlignment="1" applyProtection="1">
      <alignment horizontal="fill"/>
    </xf>
    <xf numFmtId="179" fontId="7" fillId="0" borderId="0" xfId="0" applyFont="1" applyProtection="1"/>
    <xf numFmtId="184" fontId="4" fillId="0" borderId="0" xfId="0" applyNumberFormat="1" applyFont="1"/>
    <xf numFmtId="2" fontId="4" fillId="0" borderId="0" xfId="0" applyNumberFormat="1" applyFont="1" applyBorder="1"/>
    <xf numFmtId="183" fontId="4" fillId="0" borderId="0" xfId="0" applyNumberFormat="1" applyFont="1" applyBorder="1" applyAlignment="1">
      <alignment horizontal="center"/>
    </xf>
    <xf numFmtId="179" fontId="6" fillId="0" borderId="12" xfId="0" applyFont="1" applyBorder="1" applyProtection="1"/>
    <xf numFmtId="180" fontId="4" fillId="0" borderId="13" xfId="0" applyNumberFormat="1" applyFont="1" applyBorder="1" applyAlignment="1" applyProtection="1">
      <alignment horizontal="right"/>
    </xf>
    <xf numFmtId="179" fontId="11" fillId="0" borderId="0" xfId="0" applyFont="1"/>
    <xf numFmtId="179" fontId="6" fillId="0" borderId="13" xfId="0" applyFont="1" applyBorder="1" applyProtection="1"/>
    <xf numFmtId="9" fontId="4" fillId="0" borderId="13" xfId="63" applyFont="1" applyBorder="1" applyAlignment="1" applyProtection="1">
      <alignment horizontal="right"/>
    </xf>
    <xf numFmtId="179" fontId="6" fillId="0" borderId="0" xfId="0" applyNumberFormat="1" applyFont="1" applyProtection="1"/>
    <xf numFmtId="180" fontId="6" fillId="0" borderId="13" xfId="0" applyNumberFormat="1" applyFont="1" applyBorder="1" applyProtection="1"/>
    <xf numFmtId="180" fontId="6" fillId="0" borderId="14" xfId="0" applyNumberFormat="1" applyFont="1" applyBorder="1" applyProtection="1"/>
    <xf numFmtId="179" fontId="4" fillId="0" borderId="15" xfId="0" applyNumberFormat="1" applyFont="1" applyBorder="1" applyProtection="1"/>
    <xf numFmtId="179" fontId="0" fillId="0" borderId="13" xfId="0" applyBorder="1"/>
    <xf numFmtId="179" fontId="4" fillId="0" borderId="13" xfId="0" applyNumberFormat="1" applyFont="1" applyBorder="1" applyAlignment="1" applyProtection="1">
      <alignment horizontal="center"/>
    </xf>
    <xf numFmtId="179" fontId="4" fillId="0" borderId="13" xfId="0" applyNumberFormat="1" applyFont="1" applyBorder="1" applyProtection="1"/>
    <xf numFmtId="179" fontId="5" fillId="0" borderId="0" xfId="0" applyFont="1" applyBorder="1"/>
    <xf numFmtId="10" fontId="6" fillId="0" borderId="0" xfId="63" applyNumberFormat="1" applyFont="1" applyProtection="1"/>
    <xf numFmtId="179" fontId="3" fillId="0" borderId="11" xfId="0" applyFont="1" applyBorder="1"/>
    <xf numFmtId="179" fontId="3" fillId="0" borderId="13" xfId="0" applyFont="1" applyBorder="1" applyAlignment="1">
      <alignment horizontal="center"/>
    </xf>
    <xf numFmtId="179" fontId="4" fillId="0" borderId="0" xfId="0" applyNumberFormat="1" applyFont="1" applyBorder="1" applyAlignment="1" applyProtection="1">
      <alignment horizontal="left"/>
    </xf>
    <xf numFmtId="179" fontId="6" fillId="0" borderId="15" xfId="0" applyFont="1" applyBorder="1" applyProtection="1"/>
    <xf numFmtId="179" fontId="6" fillId="0" borderId="15" xfId="0" applyNumberFormat="1" applyFont="1" applyBorder="1" applyProtection="1"/>
    <xf numFmtId="9" fontId="7" fillId="0" borderId="0" xfId="0" applyNumberFormat="1" applyFont="1" applyProtection="1"/>
    <xf numFmtId="179" fontId="6" fillId="0" borderId="11" xfId="0" applyFont="1" applyBorder="1" applyProtection="1"/>
    <xf numFmtId="180" fontId="6" fillId="0" borderId="13" xfId="0" applyNumberFormat="1" applyFont="1" applyBorder="1" applyAlignment="1" applyProtection="1">
      <alignment horizontal="center"/>
    </xf>
    <xf numFmtId="180" fontId="6" fillId="0" borderId="14" xfId="0" applyNumberFormat="1" applyFont="1" applyBorder="1" applyAlignment="1" applyProtection="1">
      <alignment horizontal="center"/>
    </xf>
    <xf numFmtId="179" fontId="4" fillId="0" borderId="0" xfId="0" quotePrefix="1" applyNumberFormat="1" applyFont="1" applyBorder="1" applyProtection="1"/>
    <xf numFmtId="179" fontId="4" fillId="0" borderId="13" xfId="0" applyFont="1" applyBorder="1"/>
    <xf numFmtId="179" fontId="6" fillId="0" borderId="13" xfId="0" applyNumberFormat="1" applyFont="1" applyBorder="1" applyProtection="1"/>
    <xf numFmtId="180" fontId="4" fillId="0" borderId="0" xfId="0" applyNumberFormat="1" applyFont="1" applyBorder="1" applyProtection="1"/>
    <xf numFmtId="184" fontId="6" fillId="0" borderId="0" xfId="0" applyNumberFormat="1" applyFont="1" applyProtection="1"/>
    <xf numFmtId="9" fontId="4" fillId="0" borderId="0" xfId="63" applyFont="1"/>
    <xf numFmtId="180" fontId="4" fillId="0" borderId="0" xfId="0" applyNumberFormat="1" applyFont="1" applyFill="1" applyBorder="1"/>
    <xf numFmtId="179" fontId="3" fillId="0" borderId="0" xfId="0" applyNumberFormat="1" applyFont="1" applyBorder="1" applyAlignment="1" applyProtection="1">
      <alignment horizontal="right"/>
    </xf>
    <xf numFmtId="179" fontId="6" fillId="0" borderId="16" xfId="0" applyFont="1" applyBorder="1" applyProtection="1"/>
    <xf numFmtId="179" fontId="6" fillId="0" borderId="17" xfId="0" applyNumberFormat="1" applyFont="1" applyBorder="1" applyProtection="1"/>
    <xf numFmtId="179" fontId="6" fillId="0" borderId="18" xfId="0" applyFont="1" applyBorder="1" applyProtection="1"/>
    <xf numFmtId="179" fontId="6" fillId="0" borderId="19" xfId="0" applyNumberFormat="1" applyFont="1" applyBorder="1" applyProtection="1"/>
    <xf numFmtId="179" fontId="6" fillId="0" borderId="0" xfId="0" applyNumberFormat="1" applyFont="1" applyAlignment="1" applyProtection="1">
      <alignment horizontal="center"/>
    </xf>
    <xf numFmtId="180" fontId="4" fillId="0" borderId="0" xfId="0" applyNumberFormat="1" applyFont="1" applyBorder="1" applyAlignment="1" applyProtection="1">
      <alignment horizontal="right"/>
    </xf>
    <xf numFmtId="180" fontId="4" fillId="0" borderId="0" xfId="0" applyNumberFormat="1" applyFont="1"/>
    <xf numFmtId="179" fontId="4" fillId="0" borderId="0" xfId="0" applyNumberFormat="1" applyFont="1" applyBorder="1" applyAlignment="1" applyProtection="1"/>
    <xf numFmtId="179" fontId="4" fillId="0" borderId="0" xfId="0" applyFont="1" applyFill="1" applyBorder="1" applyAlignment="1">
      <alignment horizontal="right"/>
    </xf>
    <xf numFmtId="179" fontId="4" fillId="0" borderId="0" xfId="0" applyFont="1" applyBorder="1" applyAlignment="1"/>
    <xf numFmtId="10" fontId="4" fillId="0" borderId="0" xfId="63" applyNumberFormat="1" applyFont="1" applyFill="1" applyBorder="1" applyAlignment="1" applyProtection="1"/>
    <xf numFmtId="180" fontId="4" fillId="0" borderId="0" xfId="0" applyNumberFormat="1" applyFont="1" applyAlignment="1">
      <alignment horizontal="right"/>
    </xf>
    <xf numFmtId="180" fontId="4" fillId="0" borderId="13" xfId="0" applyNumberFormat="1" applyFont="1" applyBorder="1" applyAlignment="1">
      <alignment horizontal="center"/>
    </xf>
    <xf numFmtId="0" fontId="4" fillId="0" borderId="0" xfId="0" applyNumberFormat="1" applyFont="1" applyFill="1" applyBorder="1" applyAlignment="1">
      <alignment horizontal="left" vertical="top" wrapText="1"/>
    </xf>
    <xf numFmtId="180" fontId="4" fillId="0" borderId="10" xfId="0" applyNumberFormat="1" applyFont="1" applyBorder="1" applyAlignment="1">
      <alignment vertical="top"/>
    </xf>
    <xf numFmtId="180" fontId="4" fillId="0" borderId="10" xfId="0" applyNumberFormat="1" applyFont="1" applyBorder="1" applyAlignment="1">
      <alignment horizontal="right" vertical="top"/>
    </xf>
    <xf numFmtId="179" fontId="4" fillId="0" borderId="10" xfId="0" applyFont="1" applyBorder="1" applyAlignment="1">
      <alignment horizontal="right" vertical="top"/>
    </xf>
    <xf numFmtId="0" fontId="0" fillId="0" borderId="20" xfId="0" applyNumberFormat="1" applyBorder="1"/>
    <xf numFmtId="0" fontId="4" fillId="0" borderId="10" xfId="0" applyNumberFormat="1" applyFont="1" applyFill="1" applyBorder="1" applyAlignment="1">
      <alignment vertical="top"/>
    </xf>
    <xf numFmtId="179" fontId="4" fillId="0" borderId="0" xfId="0" applyFont="1" applyFill="1"/>
    <xf numFmtId="0" fontId="4" fillId="18" borderId="10" xfId="0" applyNumberFormat="1" applyFont="1" applyFill="1" applyBorder="1" applyAlignment="1">
      <alignment horizontal="center"/>
    </xf>
    <xf numFmtId="0" fontId="4" fillId="0" borderId="21" xfId="0" applyNumberFormat="1" applyFont="1" applyFill="1" applyBorder="1" applyAlignment="1">
      <alignment horizontal="center"/>
    </xf>
    <xf numFmtId="179" fontId="4" fillId="18" borderId="0" xfId="0" applyFont="1" applyFill="1"/>
    <xf numFmtId="2" fontId="4" fillId="18" borderId="10" xfId="0" applyNumberFormat="1" applyFont="1" applyFill="1" applyBorder="1" applyAlignment="1">
      <alignment vertical="top"/>
    </xf>
    <xf numFmtId="179" fontId="4" fillId="18" borderId="0" xfId="0" applyFont="1" applyFill="1" applyAlignment="1">
      <alignment vertical="top"/>
    </xf>
    <xf numFmtId="179" fontId="4" fillId="18" borderId="0" xfId="0" applyFont="1" applyFill="1" applyBorder="1" applyAlignment="1">
      <alignment vertical="top"/>
    </xf>
    <xf numFmtId="179" fontId="4" fillId="18" borderId="10" xfId="0" applyFont="1" applyFill="1" applyBorder="1" applyAlignment="1">
      <alignment horizontal="center" vertical="top"/>
    </xf>
    <xf numFmtId="180" fontId="3" fillId="18" borderId="10" xfId="0" applyNumberFormat="1" applyFont="1" applyFill="1" applyBorder="1"/>
    <xf numFmtId="179" fontId="4" fillId="18" borderId="10" xfId="0" applyFont="1" applyFill="1" applyBorder="1" applyAlignment="1">
      <alignment horizontal="right" vertical="top"/>
    </xf>
    <xf numFmtId="0" fontId="4" fillId="0" borderId="10" xfId="0" applyNumberFormat="1" applyFont="1" applyFill="1" applyBorder="1" applyAlignment="1">
      <alignment horizontal="right" vertical="center"/>
    </xf>
    <xf numFmtId="180" fontId="0" fillId="0" borderId="10" xfId="0" applyNumberFormat="1" applyFill="1" applyBorder="1"/>
    <xf numFmtId="0" fontId="4" fillId="0" borderId="0" xfId="0" applyNumberFormat="1" applyFont="1" applyFill="1"/>
    <xf numFmtId="180" fontId="0" fillId="0" borderId="10" xfId="0" applyNumberFormat="1" applyFill="1" applyBorder="1" applyAlignment="1">
      <alignment vertical="top"/>
    </xf>
    <xf numFmtId="179" fontId="4" fillId="0" borderId="0" xfId="0" applyFont="1" applyAlignment="1">
      <alignment vertical="top" wrapText="1"/>
    </xf>
    <xf numFmtId="179" fontId="3" fillId="0" borderId="0" xfId="0" applyNumberFormat="1" applyFont="1" applyAlignment="1" applyProtection="1"/>
    <xf numFmtId="179" fontId="4" fillId="0" borderId="10" xfId="0" applyFont="1" applyFill="1" applyBorder="1" applyAlignment="1">
      <alignment horizontal="right" vertical="top"/>
    </xf>
    <xf numFmtId="179" fontId="3" fillId="0" borderId="0" xfId="0" applyFont="1" applyAlignment="1">
      <alignment vertical="top"/>
    </xf>
    <xf numFmtId="179" fontId="3" fillId="0" borderId="22" xfId="0" applyFont="1" applyBorder="1"/>
    <xf numFmtId="179" fontId="3" fillId="0" borderId="23" xfId="0" applyFont="1" applyBorder="1"/>
    <xf numFmtId="179" fontId="4" fillId="0" borderId="10" xfId="0" applyFont="1" applyFill="1" applyBorder="1" applyAlignment="1">
      <alignment vertical="top"/>
    </xf>
    <xf numFmtId="0" fontId="4" fillId="0" borderId="10" xfId="0" applyNumberFormat="1" applyFont="1" applyBorder="1" applyAlignment="1">
      <alignment horizontal="center" vertical="top"/>
    </xf>
    <xf numFmtId="0" fontId="0" fillId="0" borderId="0" xfId="0" applyNumberFormat="1" applyBorder="1" applyAlignment="1">
      <alignment vertical="top"/>
    </xf>
    <xf numFmtId="179" fontId="4" fillId="0" borderId="0" xfId="0" applyFont="1" applyBorder="1" applyAlignment="1">
      <alignment vertical="top"/>
    </xf>
    <xf numFmtId="179" fontId="4" fillId="0" borderId="0" xfId="0" applyFont="1" applyFill="1" applyAlignment="1">
      <alignment vertical="top"/>
    </xf>
    <xf numFmtId="179" fontId="3" fillId="0" borderId="10" xfId="0" applyFont="1" applyFill="1" applyBorder="1" applyAlignment="1">
      <alignment vertical="top"/>
    </xf>
    <xf numFmtId="179" fontId="4" fillId="0" borderId="10" xfId="0" applyNumberFormat="1" applyFont="1" applyBorder="1" applyAlignment="1">
      <alignment horizontal="right" vertical="top"/>
    </xf>
    <xf numFmtId="0" fontId="3" fillId="0" borderId="10" xfId="0" applyNumberFormat="1" applyFont="1" applyBorder="1" applyAlignment="1">
      <alignment horizontal="center" vertical="top"/>
    </xf>
    <xf numFmtId="0" fontId="3" fillId="0" borderId="10" xfId="0" applyNumberFormat="1" applyFont="1" applyBorder="1" applyAlignment="1">
      <alignment horizontal="center" vertical="center"/>
    </xf>
    <xf numFmtId="0" fontId="3" fillId="0" borderId="22" xfId="0" applyNumberFormat="1" applyFont="1" applyBorder="1" applyAlignment="1">
      <alignment horizontal="center" vertical="top"/>
    </xf>
    <xf numFmtId="179" fontId="4" fillId="0" borderId="0" xfId="0" applyFont="1" applyFill="1" applyBorder="1" applyAlignment="1">
      <alignment horizontal="center"/>
    </xf>
    <xf numFmtId="0" fontId="4" fillId="0" borderId="0" xfId="0" applyNumberFormat="1" applyFont="1" applyAlignment="1">
      <alignment vertical="top"/>
    </xf>
    <xf numFmtId="180" fontId="4" fillId="0" borderId="10" xfId="0" applyNumberFormat="1" applyFont="1" applyFill="1" applyBorder="1" applyAlignment="1">
      <alignment horizontal="right" vertical="top"/>
    </xf>
    <xf numFmtId="0" fontId="0" fillId="0" borderId="10" xfId="0" applyNumberFormat="1" applyFill="1" applyBorder="1" applyAlignment="1">
      <alignment vertical="top"/>
    </xf>
    <xf numFmtId="180" fontId="4" fillId="0" borderId="10" xfId="0" applyNumberFormat="1" applyFont="1" applyFill="1" applyBorder="1" applyAlignment="1">
      <alignment vertical="top"/>
    </xf>
    <xf numFmtId="0" fontId="0" fillId="0" borderId="10" xfId="0" applyNumberFormat="1" applyBorder="1" applyAlignment="1">
      <alignment vertical="top"/>
    </xf>
    <xf numFmtId="0" fontId="0" fillId="0" borderId="0" xfId="0" applyNumberFormat="1" applyAlignment="1">
      <alignment vertical="top"/>
    </xf>
    <xf numFmtId="0" fontId="0" fillId="0" borderId="0" xfId="0" applyNumberFormat="1" applyAlignment="1">
      <alignment horizontal="center" vertical="top"/>
    </xf>
    <xf numFmtId="2" fontId="0" fillId="0" borderId="0" xfId="0" applyNumberFormat="1" applyAlignment="1">
      <alignment vertical="top"/>
    </xf>
    <xf numFmtId="179" fontId="0" fillId="0" borderId="10" xfId="0" applyBorder="1"/>
    <xf numFmtId="179" fontId="0" fillId="0" borderId="0" xfId="0" applyNumberFormat="1" applyBorder="1" applyAlignment="1">
      <alignment vertical="top" wrapText="1"/>
    </xf>
    <xf numFmtId="179" fontId="4" fillId="0" borderId="0" xfId="0" applyFont="1" applyBorder="1" applyAlignment="1">
      <alignment vertical="top" wrapText="1"/>
    </xf>
    <xf numFmtId="180" fontId="0" fillId="0" borderId="0" xfId="0" applyNumberFormat="1" applyBorder="1" applyAlignment="1">
      <alignment vertical="top" wrapText="1"/>
    </xf>
    <xf numFmtId="179" fontId="4" fillId="0" borderId="0" xfId="0" applyFont="1" applyFill="1" applyBorder="1" applyAlignment="1">
      <alignment vertical="top" wrapText="1"/>
    </xf>
    <xf numFmtId="179" fontId="2" fillId="0" borderId="0" xfId="0" applyFont="1" applyBorder="1" applyAlignment="1">
      <alignment horizontal="left" vertical="top" wrapText="1"/>
    </xf>
    <xf numFmtId="179" fontId="8" fillId="0" borderId="0" xfId="0" applyFont="1" applyAlignment="1">
      <alignment vertical="top"/>
    </xf>
    <xf numFmtId="179" fontId="8" fillId="0" borderId="0" xfId="0" applyFont="1" applyBorder="1" applyAlignment="1">
      <alignment horizontal="right" vertical="top"/>
    </xf>
    <xf numFmtId="1" fontId="0" fillId="0" borderId="0" xfId="0" applyNumberFormat="1" applyAlignment="1">
      <alignment vertical="top"/>
    </xf>
    <xf numFmtId="180" fontId="4" fillId="0" borderId="10" xfId="0" applyNumberFormat="1" applyFont="1" applyFill="1" applyBorder="1" applyAlignment="1">
      <alignment horizontal="right" vertical="top" wrapText="1"/>
    </xf>
    <xf numFmtId="179" fontId="3" fillId="0" borderId="10" xfId="0" applyFont="1" applyBorder="1" applyAlignment="1">
      <alignment horizontal="center" vertical="top"/>
    </xf>
    <xf numFmtId="179" fontId="3" fillId="0" borderId="10" xfId="0" applyFont="1" applyBorder="1" applyAlignment="1">
      <alignment vertical="top"/>
    </xf>
    <xf numFmtId="179" fontId="4" fillId="0" borderId="10" xfId="0" applyFont="1" applyBorder="1" applyAlignment="1">
      <alignment horizontal="center" vertical="top"/>
    </xf>
    <xf numFmtId="180" fontId="4" fillId="0" borderId="10" xfId="0" applyNumberFormat="1" applyFont="1" applyBorder="1" applyAlignment="1">
      <alignment horizontal="right" vertical="top" wrapText="1"/>
    </xf>
    <xf numFmtId="180" fontId="4" fillId="0" borderId="0" xfId="0" applyNumberFormat="1" applyFont="1" applyFill="1" applyBorder="1" applyAlignment="1">
      <alignment horizontal="right" vertical="top" wrapText="1"/>
    </xf>
    <xf numFmtId="180" fontId="4" fillId="0" borderId="0" xfId="0" applyNumberFormat="1" applyFont="1" applyBorder="1" applyAlignment="1">
      <alignment horizontal="right" vertical="top" wrapText="1"/>
    </xf>
    <xf numFmtId="179" fontId="3" fillId="0" borderId="11" xfId="0" applyFont="1" applyBorder="1" applyAlignment="1">
      <alignment horizontal="center" vertical="top"/>
    </xf>
    <xf numFmtId="179" fontId="3" fillId="0" borderId="10" xfId="0" applyFont="1" applyBorder="1" applyAlignment="1">
      <alignment horizontal="center" vertical="top" wrapText="1"/>
    </xf>
    <xf numFmtId="179" fontId="4" fillId="0" borderId="10" xfId="0" applyFont="1" applyFill="1" applyBorder="1" applyAlignment="1">
      <alignment vertical="top" wrapText="1"/>
    </xf>
    <xf numFmtId="0" fontId="4" fillId="0" borderId="21" xfId="0" applyNumberFormat="1" applyFont="1" applyFill="1" applyBorder="1" applyAlignment="1">
      <alignment vertical="top"/>
    </xf>
    <xf numFmtId="0" fontId="4" fillId="0" borderId="0" xfId="0" applyNumberFormat="1" applyFont="1" applyFill="1" applyAlignment="1">
      <alignment vertical="top"/>
    </xf>
    <xf numFmtId="2" fontId="4" fillId="0" borderId="10" xfId="0" applyNumberFormat="1" applyFont="1" applyFill="1" applyBorder="1" applyAlignment="1">
      <alignment vertical="top"/>
    </xf>
    <xf numFmtId="179" fontId="4" fillId="0" borderId="10" xfId="0" applyFont="1" applyBorder="1" applyAlignment="1">
      <alignment vertical="top" wrapText="1"/>
    </xf>
    <xf numFmtId="179" fontId="4" fillId="0" borderId="0" xfId="0" applyFont="1" applyBorder="1" applyAlignment="1">
      <alignment horizontal="center" vertical="top"/>
    </xf>
    <xf numFmtId="183" fontId="4" fillId="0" borderId="0" xfId="0" applyNumberFormat="1" applyFont="1" applyAlignment="1">
      <alignment horizontal="right" vertical="top"/>
    </xf>
    <xf numFmtId="179" fontId="3" fillId="0" borderId="15" xfId="0" applyFont="1" applyBorder="1" applyAlignment="1">
      <alignment vertical="top"/>
    </xf>
    <xf numFmtId="179" fontId="4" fillId="0" borderId="24" xfId="0" applyFont="1" applyBorder="1" applyAlignment="1">
      <alignment horizontal="center" vertical="top"/>
    </xf>
    <xf numFmtId="0" fontId="4" fillId="0" borderId="0" xfId="0" applyNumberFormat="1" applyFont="1" applyFill="1" applyAlignment="1">
      <alignment horizontal="left" vertical="top" wrapText="1"/>
    </xf>
    <xf numFmtId="0" fontId="4" fillId="0" borderId="0" xfId="0" applyNumberFormat="1" applyFont="1" applyBorder="1" applyAlignment="1">
      <alignment horizontal="left" vertical="top" wrapText="1"/>
    </xf>
    <xf numFmtId="0" fontId="4" fillId="0" borderId="0" xfId="0" applyNumberFormat="1" applyFont="1" applyAlignment="1">
      <alignment horizontal="right" vertical="top"/>
    </xf>
    <xf numFmtId="179" fontId="3" fillId="0" borderId="10" xfId="0" applyFont="1" applyFill="1" applyBorder="1" applyAlignment="1">
      <alignment vertical="top" wrapText="1"/>
    </xf>
    <xf numFmtId="0" fontId="0" fillId="0" borderId="0" xfId="0" applyNumberFormat="1" applyAlignment="1">
      <alignment vertical="top" wrapText="1"/>
    </xf>
    <xf numFmtId="179" fontId="4" fillId="0" borderId="0" xfId="0" applyFont="1" applyFill="1" applyBorder="1" applyAlignment="1"/>
    <xf numFmtId="179" fontId="6" fillId="0" borderId="0" xfId="0" applyFont="1" applyFill="1" applyProtection="1"/>
    <xf numFmtId="180" fontId="4" fillId="0" borderId="13" xfId="0" applyNumberFormat="1" applyFont="1" applyFill="1" applyBorder="1" applyAlignment="1" applyProtection="1">
      <alignment horizontal="right"/>
    </xf>
    <xf numFmtId="9" fontId="4" fillId="0" borderId="13" xfId="63" applyFont="1" applyFill="1" applyBorder="1" applyAlignment="1" applyProtection="1">
      <alignment horizontal="right"/>
    </xf>
    <xf numFmtId="179" fontId="6" fillId="0" borderId="0" xfId="0" applyNumberFormat="1" applyFont="1" applyFill="1" applyProtection="1"/>
    <xf numFmtId="179" fontId="6" fillId="0" borderId="15" xfId="0" applyFont="1" applyFill="1" applyBorder="1" applyProtection="1"/>
    <xf numFmtId="179" fontId="6" fillId="0" borderId="15" xfId="0" applyNumberFormat="1" applyFont="1" applyFill="1" applyBorder="1" applyProtection="1"/>
    <xf numFmtId="180" fontId="6" fillId="0" borderId="13" xfId="0" applyNumberFormat="1" applyFont="1" applyFill="1" applyBorder="1" applyAlignment="1" applyProtection="1">
      <alignment horizontal="center"/>
    </xf>
    <xf numFmtId="179" fontId="6" fillId="0" borderId="13" xfId="0" applyNumberFormat="1" applyFont="1" applyFill="1" applyBorder="1" applyProtection="1"/>
    <xf numFmtId="179" fontId="6" fillId="0" borderId="17" xfId="0" applyNumberFormat="1" applyFont="1" applyFill="1" applyBorder="1" applyProtection="1"/>
    <xf numFmtId="179" fontId="6" fillId="0" borderId="19" xfId="0" applyNumberFormat="1" applyFont="1" applyFill="1" applyBorder="1" applyProtection="1"/>
    <xf numFmtId="180" fontId="4" fillId="0" borderId="0" xfId="0" applyNumberFormat="1" applyFont="1" applyFill="1" applyBorder="1" applyAlignment="1" applyProtection="1">
      <alignment horizontal="right"/>
    </xf>
    <xf numFmtId="179" fontId="4" fillId="0" borderId="0" xfId="0" applyNumberFormat="1" applyFont="1" applyFill="1" applyBorder="1" applyAlignment="1" applyProtection="1"/>
    <xf numFmtId="10" fontId="4" fillId="0" borderId="0" xfId="63" applyNumberFormat="1" applyFont="1" applyFill="1"/>
    <xf numFmtId="180" fontId="4" fillId="0" borderId="13" xfId="0" applyNumberFormat="1" applyFont="1" applyFill="1" applyBorder="1" applyAlignment="1">
      <alignment horizontal="center"/>
    </xf>
    <xf numFmtId="179" fontId="4" fillId="0" borderId="0" xfId="0" applyNumberFormat="1" applyFont="1" applyFill="1"/>
    <xf numFmtId="180" fontId="3" fillId="0" borderId="10" xfId="0" applyNumberFormat="1" applyFont="1" applyBorder="1"/>
    <xf numFmtId="179" fontId="3" fillId="19" borderId="0" xfId="0" applyFont="1" applyFill="1" applyBorder="1" applyAlignment="1">
      <alignment vertical="top"/>
    </xf>
    <xf numFmtId="179" fontId="4" fillId="19" borderId="21" xfId="0" applyFont="1" applyFill="1" applyBorder="1" applyAlignment="1">
      <alignment horizontal="center" vertical="top"/>
    </xf>
    <xf numFmtId="179" fontId="4" fillId="19" borderId="24" xfId="0" applyFont="1" applyFill="1" applyBorder="1" applyAlignment="1">
      <alignment horizontal="center" vertical="top"/>
    </xf>
    <xf numFmtId="179" fontId="4" fillId="19" borderId="10" xfId="0" applyFont="1" applyFill="1" applyBorder="1" applyAlignment="1">
      <alignment horizontal="center" vertical="top"/>
    </xf>
    <xf numFmtId="179" fontId="4" fillId="19" borderId="10" xfId="0" applyFont="1" applyFill="1" applyBorder="1" applyAlignment="1">
      <alignment vertical="top"/>
    </xf>
    <xf numFmtId="179" fontId="3" fillId="19" borderId="10" xfId="0" applyFont="1" applyFill="1" applyBorder="1" applyAlignment="1">
      <alignment vertical="top"/>
    </xf>
    <xf numFmtId="0" fontId="4" fillId="0" borderId="0" xfId="0" applyNumberFormat="1" applyFont="1" applyFill="1" applyAlignment="1">
      <alignment vertical="top" wrapText="1"/>
    </xf>
    <xf numFmtId="0" fontId="3" fillId="0" borderId="10" xfId="0" applyNumberFormat="1" applyFont="1" applyBorder="1" applyAlignment="1">
      <alignment horizontal="center" vertical="top" wrapText="1"/>
    </xf>
    <xf numFmtId="0" fontId="0" fillId="0" borderId="0" xfId="0" applyNumberFormat="1" applyFill="1" applyAlignment="1">
      <alignment vertical="top"/>
    </xf>
    <xf numFmtId="0" fontId="0" fillId="0" borderId="0" xfId="0" applyNumberFormat="1" applyFill="1" applyAlignment="1">
      <alignment horizontal="center" vertical="top"/>
    </xf>
    <xf numFmtId="2" fontId="0" fillId="0" borderId="0" xfId="0" applyNumberFormat="1" applyFill="1" applyAlignment="1">
      <alignment vertical="top"/>
    </xf>
    <xf numFmtId="1" fontId="0" fillId="0" borderId="10" xfId="0" applyNumberFormat="1" applyBorder="1" applyAlignment="1">
      <alignment vertical="top"/>
    </xf>
    <xf numFmtId="0" fontId="4" fillId="0" borderId="0" xfId="0" applyNumberFormat="1" applyFont="1" applyFill="1" applyBorder="1" applyAlignment="1">
      <alignment vertical="top" wrapText="1"/>
    </xf>
    <xf numFmtId="180" fontId="0" fillId="0" borderId="0" xfId="0" applyNumberFormat="1"/>
    <xf numFmtId="2" fontId="4" fillId="0" borderId="25" xfId="0" applyNumberFormat="1" applyFont="1" applyFill="1" applyBorder="1" applyAlignment="1">
      <alignment vertical="top" wrapText="1"/>
    </xf>
    <xf numFmtId="2" fontId="4" fillId="0" borderId="0" xfId="0" applyNumberFormat="1" applyFont="1" applyFill="1" applyBorder="1" applyAlignment="1">
      <alignment vertical="top" wrapText="1"/>
    </xf>
    <xf numFmtId="0" fontId="3" fillId="0" borderId="0" xfId="0" applyNumberFormat="1" applyFont="1" applyAlignment="1">
      <alignment horizontal="right" vertical="center"/>
    </xf>
    <xf numFmtId="0" fontId="0" fillId="0" borderId="0" xfId="0" applyNumberFormat="1" applyAlignment="1">
      <alignment vertical="center"/>
    </xf>
    <xf numFmtId="0" fontId="0" fillId="0" borderId="0" xfId="0" applyNumberFormat="1" applyAlignment="1">
      <alignment horizontal="left" vertical="center"/>
    </xf>
    <xf numFmtId="179" fontId="11" fillId="0" borderId="0" xfId="0" applyFont="1" applyFill="1"/>
    <xf numFmtId="10" fontId="4" fillId="0" borderId="0" xfId="63" applyNumberFormat="1" applyFont="1" applyFill="1" applyBorder="1" applyAlignment="1" applyProtection="1">
      <alignment horizontal="right" vertical="center"/>
    </xf>
    <xf numFmtId="179" fontId="4" fillId="20" borderId="0" xfId="48" applyFill="1" applyAlignment="1">
      <alignment horizontal="left"/>
    </xf>
    <xf numFmtId="179" fontId="5" fillId="20" borderId="0" xfId="48" applyFont="1" applyFill="1" applyAlignment="1">
      <alignment horizontal="left" vertical="center"/>
    </xf>
    <xf numFmtId="179" fontId="4" fillId="20" borderId="0" xfId="48" applyFill="1"/>
    <xf numFmtId="179" fontId="4" fillId="20" borderId="0" xfId="48" applyFont="1" applyFill="1"/>
    <xf numFmtId="179" fontId="4" fillId="20" borderId="0" xfId="48" applyFont="1" applyFill="1" applyAlignment="1">
      <alignment horizontal="left" vertical="center" indent="1"/>
    </xf>
    <xf numFmtId="179" fontId="4" fillId="20" borderId="0" xfId="48" applyFont="1" applyFill="1" applyAlignment="1">
      <alignment horizontal="left" vertical="center" indent="8"/>
    </xf>
    <xf numFmtId="179" fontId="62" fillId="20" borderId="0" xfId="48" applyFont="1" applyFill="1" applyBorder="1" applyAlignment="1">
      <alignment vertical="center"/>
    </xf>
    <xf numFmtId="179" fontId="4" fillId="20" borderId="0" xfId="48" applyFill="1" applyBorder="1"/>
    <xf numFmtId="179" fontId="63" fillId="20" borderId="0" xfId="48" applyFont="1" applyFill="1" applyAlignment="1">
      <alignment vertical="center"/>
    </xf>
    <xf numFmtId="179" fontId="4" fillId="20" borderId="0" xfId="48" applyFill="1" applyAlignment="1">
      <alignment vertical="top"/>
    </xf>
    <xf numFmtId="179" fontId="4" fillId="20" borderId="0" xfId="48" applyFont="1" applyFill="1" applyAlignment="1">
      <alignment vertical="top"/>
    </xf>
    <xf numFmtId="179" fontId="4" fillId="20" borderId="10" xfId="48" applyFill="1" applyBorder="1" applyAlignment="1">
      <alignment vertical="top"/>
    </xf>
    <xf numFmtId="179" fontId="63" fillId="20" borderId="10" xfId="48" applyFont="1" applyFill="1" applyBorder="1" applyAlignment="1">
      <alignment horizontal="left" vertical="top" wrapText="1"/>
    </xf>
    <xf numFmtId="179" fontId="63" fillId="20" borderId="10" xfId="48" applyFont="1" applyFill="1" applyBorder="1" applyAlignment="1">
      <alignment vertical="top" wrapText="1"/>
    </xf>
    <xf numFmtId="179" fontId="64" fillId="20" borderId="10" xfId="48" applyFont="1" applyFill="1" applyBorder="1" applyAlignment="1">
      <alignment horizontal="center" vertical="top" wrapText="1"/>
    </xf>
    <xf numFmtId="179" fontId="63" fillId="20" borderId="10" xfId="48" applyFont="1" applyFill="1" applyBorder="1" applyAlignment="1">
      <alignment vertical="center" wrapText="1"/>
    </xf>
    <xf numFmtId="180" fontId="63" fillId="20" borderId="10" xfId="48" applyNumberFormat="1" applyFont="1" applyFill="1" applyBorder="1" applyAlignment="1">
      <alignment horizontal="center" vertical="top" wrapText="1"/>
    </xf>
    <xf numFmtId="179" fontId="62" fillId="20" borderId="0" xfId="48" applyFont="1" applyFill="1" applyAlignment="1">
      <alignment vertical="center"/>
    </xf>
    <xf numFmtId="179" fontId="65" fillId="20" borderId="0" xfId="48" applyFont="1" applyFill="1" applyAlignment="1">
      <alignment vertical="center"/>
    </xf>
    <xf numFmtId="179" fontId="19" fillId="20" borderId="0" xfId="48" applyFont="1" applyFill="1" applyAlignment="1">
      <alignment horizontal="left" vertical="center"/>
    </xf>
    <xf numFmtId="179" fontId="4" fillId="20" borderId="0" xfId="48" applyFill="1" applyAlignment="1">
      <alignment horizontal="right"/>
    </xf>
    <xf numFmtId="179" fontId="4" fillId="0" borderId="0" xfId="48" applyFill="1"/>
    <xf numFmtId="179" fontId="63" fillId="0" borderId="0" xfId="48" applyFont="1" applyFill="1" applyAlignment="1">
      <alignment horizontal="justify" vertical="center"/>
    </xf>
    <xf numFmtId="179" fontId="4" fillId="0" borderId="0" xfId="48" applyFont="1" applyFill="1"/>
    <xf numFmtId="179" fontId="4" fillId="0" borderId="0" xfId="48" applyFill="1" applyAlignment="1">
      <alignment vertical="top"/>
    </xf>
    <xf numFmtId="179" fontId="4" fillId="0" borderId="10" xfId="48" applyFont="1" applyFill="1" applyBorder="1" applyAlignment="1">
      <alignment horizontal="center" vertical="top"/>
    </xf>
    <xf numFmtId="179" fontId="4" fillId="0" borderId="0" xfId="48" applyFont="1" applyFill="1" applyAlignment="1">
      <alignment vertical="top"/>
    </xf>
    <xf numFmtId="179" fontId="4" fillId="0" borderId="10" xfId="48" applyFill="1" applyBorder="1" applyAlignment="1">
      <alignment horizontal="center"/>
    </xf>
    <xf numFmtId="179" fontId="63" fillId="0" borderId="0" xfId="48" applyFont="1" applyFill="1" applyAlignment="1">
      <alignment vertical="top"/>
    </xf>
    <xf numFmtId="9" fontId="4" fillId="0" borderId="10" xfId="48" applyNumberFormat="1" applyFill="1" applyBorder="1" applyAlignment="1">
      <alignment horizontal="center" vertical="top"/>
    </xf>
    <xf numFmtId="179" fontId="4" fillId="20" borderId="0" xfId="48" applyFill="1" applyBorder="1" applyAlignment="1">
      <alignment vertical="top"/>
    </xf>
    <xf numFmtId="179" fontId="63" fillId="20" borderId="0" xfId="48" applyFont="1" applyFill="1" applyBorder="1" applyAlignment="1">
      <alignment horizontal="center" vertical="top" wrapText="1"/>
    </xf>
    <xf numFmtId="179" fontId="63" fillId="0" borderId="0" xfId="48" applyFont="1" applyFill="1" applyBorder="1" applyAlignment="1">
      <alignment horizontal="left" vertical="top" wrapText="1"/>
    </xf>
    <xf numFmtId="179" fontId="63" fillId="20" borderId="0" xfId="48" applyFont="1" applyFill="1" applyBorder="1" applyAlignment="1">
      <alignment vertical="top" wrapText="1"/>
    </xf>
    <xf numFmtId="180" fontId="63" fillId="20" borderId="0" xfId="48" applyNumberFormat="1" applyFont="1" applyFill="1" applyBorder="1" applyAlignment="1">
      <alignment horizontal="center" vertical="top" wrapText="1"/>
    </xf>
    <xf numFmtId="179" fontId="63" fillId="20" borderId="0" xfId="48" applyNumberFormat="1" applyFont="1" applyFill="1" applyBorder="1" applyAlignment="1">
      <alignment horizontal="center" vertical="top" wrapText="1"/>
    </xf>
    <xf numFmtId="179" fontId="3" fillId="20" borderId="0" xfId="48" applyFont="1" applyFill="1" applyAlignment="1">
      <alignment horizontal="left" vertical="center" indent="1"/>
    </xf>
    <xf numFmtId="179" fontId="3" fillId="20" borderId="0" xfId="48" applyFont="1" applyFill="1"/>
    <xf numFmtId="179" fontId="3" fillId="20" borderId="10" xfId="48" applyFont="1" applyFill="1" applyBorder="1" applyAlignment="1">
      <alignment horizontal="center" vertical="top" wrapText="1"/>
    </xf>
    <xf numFmtId="0" fontId="0" fillId="0" borderId="0" xfId="0" applyNumberFormat="1" applyAlignment="1">
      <alignment horizontal="center" vertical="center"/>
    </xf>
    <xf numFmtId="179" fontId="4" fillId="0" borderId="0" xfId="48" applyFont="1" applyFill="1" applyAlignment="1">
      <alignment horizontal="left" vertical="center" indent="1"/>
    </xf>
    <xf numFmtId="179" fontId="3" fillId="0" borderId="0" xfId="0" applyFont="1" applyBorder="1" applyAlignment="1">
      <alignment vertical="top"/>
    </xf>
    <xf numFmtId="179" fontId="3" fillId="0" borderId="21" xfId="0" applyFont="1" applyBorder="1" applyAlignment="1">
      <alignment horizontal="center" vertical="top"/>
    </xf>
    <xf numFmtId="179" fontId="3" fillId="0" borderId="24" xfId="0" applyFont="1" applyBorder="1" applyAlignment="1">
      <alignment horizontal="center" vertical="top"/>
    </xf>
    <xf numFmtId="179" fontId="4" fillId="0" borderId="11" xfId="0" applyFont="1" applyBorder="1" applyAlignment="1">
      <alignment vertical="top"/>
    </xf>
    <xf numFmtId="179" fontId="3" fillId="0" borderId="26" xfId="0" applyFont="1" applyBorder="1" applyAlignment="1">
      <alignment horizontal="center" vertical="top"/>
    </xf>
    <xf numFmtId="179" fontId="3" fillId="0" borderId="27" xfId="0" applyFont="1" applyBorder="1" applyAlignment="1">
      <alignment horizontal="center" vertical="top"/>
    </xf>
    <xf numFmtId="179" fontId="3" fillId="0" borderId="26" xfId="0" applyFont="1" applyBorder="1" applyAlignment="1">
      <alignment horizontal="center" vertical="top" wrapText="1"/>
    </xf>
    <xf numFmtId="179" fontId="4" fillId="19" borderId="26" xfId="0" applyFont="1" applyFill="1" applyBorder="1" applyAlignment="1">
      <alignment horizontal="center" vertical="top"/>
    </xf>
    <xf numFmtId="179" fontId="4" fillId="19" borderId="27" xfId="0" applyFont="1" applyFill="1" applyBorder="1" applyAlignment="1">
      <alignment horizontal="center" vertical="top"/>
    </xf>
    <xf numFmtId="179" fontId="4" fillId="0" borderId="14" xfId="0" applyFont="1" applyFill="1" applyBorder="1" applyAlignment="1">
      <alignment vertical="top"/>
    </xf>
    <xf numFmtId="179" fontId="3" fillId="0" borderId="14" xfId="0" applyFont="1" applyFill="1" applyBorder="1" applyAlignment="1">
      <alignment horizontal="center" vertical="top"/>
    </xf>
    <xf numFmtId="179" fontId="3" fillId="0" borderId="14" xfId="0" applyFont="1" applyFill="1" applyBorder="1" applyAlignment="1">
      <alignment vertical="top"/>
    </xf>
    <xf numFmtId="179" fontId="4" fillId="19" borderId="14" xfId="0" applyFont="1" applyFill="1" applyBorder="1" applyAlignment="1">
      <alignment vertical="top"/>
    </xf>
    <xf numFmtId="179" fontId="3" fillId="0" borderId="25" xfId="0" applyFont="1" applyBorder="1"/>
    <xf numFmtId="179" fontId="3" fillId="0" borderId="28" xfId="0" applyFont="1" applyBorder="1" applyAlignment="1">
      <alignment horizontal="center" vertical="top"/>
    </xf>
    <xf numFmtId="179" fontId="3" fillId="0" borderId="29" xfId="0" applyFont="1" applyBorder="1" applyAlignment="1">
      <alignment horizontal="center" vertical="top"/>
    </xf>
    <xf numFmtId="179" fontId="3" fillId="0" borderId="29" xfId="0" applyFont="1" applyBorder="1" applyAlignment="1">
      <alignment horizontal="center" vertical="top" wrapText="1"/>
    </xf>
    <xf numFmtId="179" fontId="3" fillId="19" borderId="30" xfId="0" applyFont="1" applyFill="1" applyBorder="1" applyAlignment="1">
      <alignment horizontal="center" vertical="top"/>
    </xf>
    <xf numFmtId="179" fontId="3" fillId="0" borderId="31" xfId="0" applyFont="1" applyBorder="1" applyAlignment="1">
      <alignment horizontal="center" vertical="top" wrapText="1"/>
    </xf>
    <xf numFmtId="179" fontId="3" fillId="0" borderId="10" xfId="0" applyFont="1" applyBorder="1" applyAlignment="1">
      <alignment horizontal="right" vertical="top"/>
    </xf>
    <xf numFmtId="179" fontId="3" fillId="0" borderId="11" xfId="0" applyFont="1" applyFill="1" applyBorder="1" applyAlignment="1">
      <alignment horizontal="center" vertical="top"/>
    </xf>
    <xf numFmtId="179" fontId="3" fillId="0" borderId="24" xfId="0" applyFont="1" applyBorder="1" applyAlignment="1">
      <alignment horizontal="right" vertical="top"/>
    </xf>
    <xf numFmtId="0" fontId="3" fillId="0" borderId="21" xfId="0" applyNumberFormat="1" applyFont="1" applyFill="1" applyBorder="1" applyAlignment="1">
      <alignment horizontal="left" vertical="top" wrapText="1"/>
    </xf>
    <xf numFmtId="179" fontId="4" fillId="0" borderId="24" xfId="0" applyFont="1" applyBorder="1" applyAlignment="1">
      <alignment horizontal="right" vertical="top"/>
    </xf>
    <xf numFmtId="179" fontId="4" fillId="0" borderId="24" xfId="0" applyFont="1" applyFill="1" applyBorder="1" applyAlignment="1">
      <alignment horizontal="right" vertical="top"/>
    </xf>
    <xf numFmtId="2" fontId="4" fillId="0" borderId="10" xfId="0" applyNumberFormat="1" applyFont="1" applyFill="1" applyBorder="1"/>
    <xf numFmtId="0" fontId="4" fillId="0" borderId="0" xfId="0" applyNumberFormat="1" applyFont="1" applyFill="1" applyBorder="1"/>
    <xf numFmtId="0" fontId="4" fillId="0" borderId="22" xfId="0" applyNumberFormat="1" applyFont="1" applyFill="1" applyBorder="1" applyAlignment="1">
      <alignment horizontal="right"/>
    </xf>
    <xf numFmtId="0" fontId="66" fillId="0" borderId="0" xfId="42" applyFont="1" applyBorder="1" applyAlignment="1">
      <alignment horizontal="right" vertical="center" wrapText="1"/>
    </xf>
    <xf numFmtId="1" fontId="4" fillId="0" borderId="0" xfId="0" applyNumberFormat="1" applyFont="1" applyFill="1" applyAlignment="1">
      <alignment horizontal="left" vertical="top"/>
    </xf>
    <xf numFmtId="1" fontId="4" fillId="0" borderId="0" xfId="0" applyNumberFormat="1" applyFont="1" applyFill="1" applyBorder="1" applyAlignment="1">
      <alignment horizontal="left" vertical="top"/>
    </xf>
    <xf numFmtId="0" fontId="0" fillId="0" borderId="10" xfId="0" applyNumberFormat="1" applyFill="1" applyBorder="1"/>
    <xf numFmtId="0" fontId="0" fillId="0" borderId="10" xfId="0" applyNumberFormat="1" applyBorder="1"/>
    <xf numFmtId="179" fontId="4" fillId="0" borderId="14" xfId="0" applyFont="1" applyBorder="1" applyAlignment="1">
      <alignment horizontal="center" vertical="top"/>
    </xf>
    <xf numFmtId="179" fontId="4" fillId="0" borderId="21" xfId="0" applyFont="1" applyBorder="1" applyAlignment="1">
      <alignment horizontal="right" vertical="top"/>
    </xf>
    <xf numFmtId="0" fontId="4" fillId="0" borderId="24" xfId="0" applyNumberFormat="1" applyFont="1" applyFill="1" applyBorder="1"/>
    <xf numFmtId="179" fontId="67" fillId="0" borderId="10" xfId="0" applyFont="1" applyFill="1" applyBorder="1" applyAlignment="1">
      <alignment vertical="top" wrapText="1"/>
    </xf>
    <xf numFmtId="179" fontId="4" fillId="0" borderId="22" xfId="0" applyFont="1" applyBorder="1" applyAlignment="1">
      <alignment horizontal="right" vertical="top"/>
    </xf>
    <xf numFmtId="180" fontId="3" fillId="0" borderId="11" xfId="0" applyNumberFormat="1" applyFont="1" applyBorder="1"/>
    <xf numFmtId="179" fontId="67" fillId="0" borderId="10" xfId="0" applyFont="1" applyFill="1" applyBorder="1" applyAlignment="1">
      <alignment horizontal="center" vertical="top"/>
    </xf>
    <xf numFmtId="179" fontId="68" fillId="0" borderId="10" xfId="0" applyFont="1" applyBorder="1" applyAlignment="1">
      <alignment horizontal="center" vertical="top" wrapText="1"/>
    </xf>
    <xf numFmtId="179" fontId="68" fillId="0" borderId="10" xfId="0" applyFont="1" applyBorder="1" applyAlignment="1">
      <alignment horizontal="center" vertical="top"/>
    </xf>
    <xf numFmtId="179" fontId="68" fillId="0" borderId="10" xfId="0" applyFont="1" applyFill="1" applyBorder="1" applyAlignment="1">
      <alignment vertical="top"/>
    </xf>
    <xf numFmtId="179" fontId="68" fillId="0" borderId="10" xfId="0" applyFont="1" applyFill="1" applyBorder="1" applyAlignment="1">
      <alignment vertical="top" wrapText="1"/>
    </xf>
    <xf numFmtId="179" fontId="4" fillId="0" borderId="21" xfId="0" applyFont="1" applyFill="1" applyBorder="1" applyAlignment="1">
      <alignment horizontal="right" vertical="top"/>
    </xf>
    <xf numFmtId="179" fontId="4" fillId="0" borderId="23" xfId="0" applyFont="1" applyFill="1" applyBorder="1" applyAlignment="1">
      <alignment horizontal="right" vertical="top"/>
    </xf>
    <xf numFmtId="179" fontId="4" fillId="0" borderId="21" xfId="0" applyFont="1" applyBorder="1" applyAlignment="1">
      <alignment horizontal="center" vertical="top"/>
    </xf>
    <xf numFmtId="180" fontId="3" fillId="0" borderId="10" xfId="0" applyNumberFormat="1" applyFont="1" applyFill="1" applyBorder="1"/>
    <xf numFmtId="179" fontId="3" fillId="19" borderId="21" xfId="0" applyFont="1" applyFill="1" applyBorder="1" applyAlignment="1">
      <alignment horizontal="right" vertical="top"/>
    </xf>
    <xf numFmtId="179" fontId="3" fillId="19" borderId="10" xfId="0" applyFont="1" applyFill="1" applyBorder="1" applyAlignment="1">
      <alignment horizontal="right" vertical="top"/>
    </xf>
    <xf numFmtId="1" fontId="4" fillId="0" borderId="10" xfId="0" applyNumberFormat="1" applyFont="1" applyFill="1" applyBorder="1" applyAlignment="1">
      <alignment horizontal="left" vertical="top"/>
    </xf>
    <xf numFmtId="180" fontId="3" fillId="19" borderId="23" xfId="0" applyNumberFormat="1" applyFont="1" applyFill="1" applyBorder="1" applyAlignment="1">
      <alignment horizontal="center"/>
    </xf>
    <xf numFmtId="180" fontId="3" fillId="19" borderId="10" xfId="0" applyNumberFormat="1" applyFont="1" applyFill="1" applyBorder="1" applyAlignment="1">
      <alignment horizontal="center"/>
    </xf>
    <xf numFmtId="0" fontId="3" fillId="0" borderId="21" xfId="0" applyNumberFormat="1" applyFont="1" applyFill="1" applyBorder="1" applyAlignment="1">
      <alignment horizontal="center"/>
    </xf>
    <xf numFmtId="0" fontId="3" fillId="0" borderId="23" xfId="0" applyNumberFormat="1" applyFont="1" applyFill="1" applyBorder="1" applyAlignment="1">
      <alignment vertical="top" wrapText="1"/>
    </xf>
    <xf numFmtId="0" fontId="4" fillId="0" borderId="23" xfId="0" applyNumberFormat="1" applyFont="1" applyFill="1" applyBorder="1"/>
    <xf numFmtId="0" fontId="4" fillId="0" borderId="0" xfId="0" applyNumberFormat="1" applyFont="1" applyFill="1" applyBorder="1" applyAlignment="1">
      <alignment vertical="top"/>
    </xf>
    <xf numFmtId="0" fontId="66" fillId="0" borderId="0" xfId="42" applyFont="1" applyBorder="1" applyAlignment="1">
      <alignment horizontal="right" vertical="top" wrapText="1"/>
    </xf>
    <xf numFmtId="179" fontId="0" fillId="0" borderId="10" xfId="0" applyFill="1" applyBorder="1" applyAlignment="1">
      <alignment vertical="top" wrapText="1"/>
    </xf>
    <xf numFmtId="1" fontId="0" fillId="0" borderId="10" xfId="0" applyNumberFormat="1" applyFill="1" applyBorder="1" applyAlignment="1">
      <alignment vertical="top" wrapText="1"/>
    </xf>
    <xf numFmtId="179" fontId="61" fillId="0" borderId="10" xfId="0" applyFont="1" applyFill="1" applyBorder="1" applyAlignment="1">
      <alignment vertical="top" wrapText="1"/>
    </xf>
    <xf numFmtId="183" fontId="4" fillId="0" borderId="10" xfId="0" applyNumberFormat="1" applyFont="1" applyFill="1" applyBorder="1" applyAlignment="1">
      <alignment horizontal="right" vertical="top"/>
    </xf>
    <xf numFmtId="179" fontId="4" fillId="0" borderId="24" xfId="0" applyFont="1" applyFill="1" applyBorder="1" applyAlignment="1">
      <alignment horizontal="center" vertical="top"/>
    </xf>
    <xf numFmtId="179" fontId="3" fillId="0" borderId="10" xfId="0" applyFont="1" applyFill="1" applyBorder="1" applyAlignment="1">
      <alignment horizontal="right" vertical="top"/>
    </xf>
    <xf numFmtId="180" fontId="4" fillId="0" borderId="0" xfId="0" applyNumberFormat="1" applyFont="1" applyAlignment="1">
      <alignment vertical="top"/>
    </xf>
    <xf numFmtId="179" fontId="4" fillId="0" borderId="10" xfId="0" applyFont="1" applyBorder="1" applyAlignment="1">
      <alignment horizontal="left" vertical="top" wrapText="1"/>
    </xf>
    <xf numFmtId="0" fontId="60" fillId="0" borderId="10" xfId="0" applyNumberFormat="1" applyFont="1" applyFill="1" applyBorder="1" applyAlignment="1">
      <alignment vertical="top" wrapText="1"/>
    </xf>
    <xf numFmtId="179" fontId="4" fillId="0" borderId="0" xfId="0" applyFont="1" applyAlignment="1">
      <alignment horizontal="right" vertical="top"/>
    </xf>
    <xf numFmtId="179" fontId="4" fillId="19" borderId="21" xfId="0" applyFont="1" applyFill="1" applyBorder="1" applyAlignment="1">
      <alignment vertical="top"/>
    </xf>
    <xf numFmtId="0" fontId="16" fillId="0" borderId="10" xfId="42" applyFont="1" applyBorder="1" applyAlignment="1">
      <alignment horizontal="center" vertical="top" wrapText="1"/>
    </xf>
    <xf numFmtId="0" fontId="16" fillId="0" borderId="10" xfId="42" applyFont="1" applyBorder="1" applyAlignment="1">
      <alignment vertical="top"/>
    </xf>
    <xf numFmtId="0" fontId="16" fillId="0" borderId="10" xfId="42" applyFont="1" applyBorder="1"/>
    <xf numFmtId="0" fontId="16" fillId="0" borderId="10" xfId="42" applyFont="1" applyBorder="1" applyAlignment="1">
      <alignment horizontal="center" vertical="center" wrapText="1"/>
    </xf>
    <xf numFmtId="0" fontId="16" fillId="0" borderId="10" xfId="42" applyFont="1" applyBorder="1" applyAlignment="1">
      <alignment vertical="center"/>
    </xf>
    <xf numFmtId="0" fontId="16" fillId="0" borderId="10" xfId="42" applyFont="1" applyBorder="1" applyAlignment="1">
      <alignment vertical="center" wrapText="1"/>
    </xf>
    <xf numFmtId="0" fontId="16" fillId="0" borderId="10" xfId="42" applyFont="1" applyFill="1" applyBorder="1" applyAlignment="1">
      <alignment horizontal="center" vertical="center" wrapText="1"/>
    </xf>
    <xf numFmtId="0" fontId="2" fillId="0" borderId="10" xfId="42" applyFont="1" applyBorder="1" applyAlignment="1">
      <alignment horizontal="center"/>
    </xf>
    <xf numFmtId="0" fontId="2" fillId="0" borderId="10" xfId="42" applyBorder="1" applyAlignment="1">
      <alignment horizontal="center"/>
    </xf>
    <xf numFmtId="0" fontId="69" fillId="0" borderId="26" xfId="0" applyNumberFormat="1" applyFont="1" applyBorder="1" applyAlignment="1">
      <alignment horizontal="center" vertical="center"/>
    </xf>
    <xf numFmtId="0" fontId="69" fillId="0" borderId="10" xfId="0" applyNumberFormat="1" applyFont="1" applyBorder="1"/>
    <xf numFmtId="2" fontId="16" fillId="0" borderId="10" xfId="42" applyNumberFormat="1" applyFont="1" applyBorder="1" applyAlignment="1">
      <alignment vertical="top"/>
    </xf>
    <xf numFmtId="2" fontId="16" fillId="0" borderId="10" xfId="42" applyNumberFormat="1" applyFont="1" applyBorder="1" applyAlignment="1">
      <alignment vertical="center"/>
    </xf>
    <xf numFmtId="0" fontId="16" fillId="0" borderId="22" xfId="42" applyFont="1" applyBorder="1" applyAlignment="1">
      <alignment vertical="top"/>
    </xf>
    <xf numFmtId="0" fontId="16" fillId="0" borderId="11" xfId="42" applyFont="1" applyBorder="1" applyAlignment="1">
      <alignment horizontal="center" vertical="top" wrapText="1"/>
    </xf>
    <xf numFmtId="180" fontId="0" fillId="0" borderId="10" xfId="0" applyNumberFormat="1" applyBorder="1"/>
    <xf numFmtId="1" fontId="69" fillId="0" borderId="11" xfId="0" applyNumberFormat="1" applyFont="1" applyBorder="1"/>
    <xf numFmtId="0" fontId="0" fillId="0" borderId="11" xfId="0" applyNumberFormat="1" applyBorder="1" applyAlignment="1">
      <alignment vertical="top"/>
    </xf>
    <xf numFmtId="0" fontId="0" fillId="0" borderId="11" xfId="0" applyNumberFormat="1" applyBorder="1"/>
    <xf numFmtId="179" fontId="4" fillId="0" borderId="11" xfId="0" applyFont="1" applyFill="1" applyBorder="1" applyAlignment="1">
      <alignment vertical="top"/>
    </xf>
    <xf numFmtId="179" fontId="3" fillId="19" borderId="11" xfId="0" applyFont="1" applyFill="1" applyBorder="1" applyAlignment="1">
      <alignment horizontal="right" vertical="top"/>
    </xf>
    <xf numFmtId="0" fontId="69" fillId="0" borderId="32" xfId="0" applyNumberFormat="1" applyFont="1" applyBorder="1" applyAlignment="1">
      <alignment horizontal="center" vertical="center"/>
    </xf>
    <xf numFmtId="0" fontId="69" fillId="0" borderId="21" xfId="0" applyNumberFormat="1" applyFont="1" applyBorder="1"/>
    <xf numFmtId="1" fontId="69" fillId="0" borderId="24" xfId="0" applyNumberFormat="1" applyFont="1" applyBorder="1"/>
    <xf numFmtId="0" fontId="0" fillId="0" borderId="21" xfId="0" applyNumberFormat="1" applyBorder="1"/>
    <xf numFmtId="0" fontId="69" fillId="0" borderId="10" xfId="0" applyNumberFormat="1" applyFont="1" applyBorder="1" applyAlignment="1">
      <alignment horizontal="center" vertical="center"/>
    </xf>
    <xf numFmtId="1" fontId="69" fillId="0" borderId="10" xfId="0" applyNumberFormat="1" applyFont="1" applyBorder="1"/>
    <xf numFmtId="180" fontId="0" fillId="0" borderId="21" xfId="0" applyNumberFormat="1" applyBorder="1"/>
    <xf numFmtId="0" fontId="16" fillId="0" borderId="10" xfId="42" applyFont="1" applyBorder="1" applyAlignment="1">
      <alignment vertical="top" wrapText="1"/>
    </xf>
    <xf numFmtId="0" fontId="2" fillId="0" borderId="10" xfId="42" applyFont="1" applyBorder="1" applyAlignment="1">
      <alignment horizontal="center" vertical="top"/>
    </xf>
    <xf numFmtId="180" fontId="4" fillId="0" borderId="24" xfId="0" applyNumberFormat="1" applyFont="1" applyFill="1" applyBorder="1" applyAlignment="1">
      <alignment horizontal="right" vertical="top"/>
    </xf>
    <xf numFmtId="180" fontId="4" fillId="0" borderId="14" xfId="0" applyNumberFormat="1" applyFont="1" applyFill="1" applyBorder="1" applyAlignment="1">
      <alignment horizontal="right" vertical="top"/>
    </xf>
    <xf numFmtId="180" fontId="4" fillId="0" borderId="0" xfId="0" applyNumberFormat="1" applyFont="1" applyFill="1" applyAlignment="1">
      <alignment vertical="top"/>
    </xf>
    <xf numFmtId="180" fontId="4" fillId="0" borderId="21" xfId="0" applyNumberFormat="1" applyFont="1" applyFill="1" applyBorder="1" applyAlignment="1">
      <alignment horizontal="right" vertical="top"/>
    </xf>
    <xf numFmtId="179" fontId="4" fillId="0" borderId="14" xfId="0" applyFont="1" applyFill="1" applyBorder="1" applyAlignment="1">
      <alignment horizontal="center" vertical="top"/>
    </xf>
    <xf numFmtId="0" fontId="0" fillId="0" borderId="0" xfId="0" quotePrefix="1" applyNumberFormat="1" applyFill="1" applyAlignment="1">
      <alignment vertical="top"/>
    </xf>
    <xf numFmtId="1" fontId="16" fillId="0" borderId="10" xfId="42" applyNumberFormat="1" applyFont="1" applyFill="1" applyBorder="1" applyAlignment="1">
      <alignment vertical="top"/>
    </xf>
    <xf numFmtId="0" fontId="16" fillId="0" borderId="14" xfId="42" applyFont="1" applyFill="1" applyBorder="1" applyAlignment="1">
      <alignment vertical="top" wrapText="1"/>
    </xf>
    <xf numFmtId="0" fontId="16" fillId="0" borderId="10" xfId="42" applyFont="1" applyFill="1" applyBorder="1" applyAlignment="1">
      <alignment horizontal="center" vertical="top" wrapText="1"/>
    </xf>
    <xf numFmtId="0" fontId="2" fillId="0" borderId="10" xfId="42" applyFont="1" applyFill="1" applyBorder="1" applyAlignment="1">
      <alignment horizontal="center" vertical="top"/>
    </xf>
    <xf numFmtId="0" fontId="69" fillId="0" borderId="10" xfId="0" applyNumberFormat="1" applyFont="1" applyBorder="1" applyAlignment="1">
      <alignment vertical="top" wrapText="1"/>
    </xf>
    <xf numFmtId="1" fontId="69" fillId="0" borderId="10" xfId="0" applyNumberFormat="1" applyFont="1" applyBorder="1" applyAlignment="1">
      <alignment vertical="top" wrapText="1"/>
    </xf>
    <xf numFmtId="179" fontId="4" fillId="0" borderId="21" xfId="0" applyFont="1" applyBorder="1" applyAlignment="1">
      <alignment horizontal="right" vertical="top" wrapText="1"/>
    </xf>
    <xf numFmtId="179" fontId="4" fillId="0" borderId="0" xfId="0" applyFont="1" applyFill="1" applyAlignment="1">
      <alignment vertical="top" wrapText="1"/>
    </xf>
    <xf numFmtId="179" fontId="4" fillId="0" borderId="22" xfId="0" applyFont="1" applyBorder="1" applyAlignment="1">
      <alignment horizontal="center" vertical="top"/>
    </xf>
    <xf numFmtId="179" fontId="3" fillId="19" borderId="22" xfId="0" applyFont="1" applyFill="1" applyBorder="1" applyAlignment="1">
      <alignment horizontal="right" vertical="top"/>
    </xf>
    <xf numFmtId="179" fontId="4" fillId="0" borderId="10" xfId="0" applyFont="1" applyBorder="1" applyAlignment="1">
      <alignment horizontal="right" vertical="top" wrapText="1"/>
    </xf>
    <xf numFmtId="0" fontId="69" fillId="0" borderId="26" xfId="0" applyNumberFormat="1" applyFont="1" applyFill="1" applyBorder="1" applyAlignment="1">
      <alignment horizontal="center" vertical="center"/>
    </xf>
    <xf numFmtId="0" fontId="69" fillId="0" borderId="10" xfId="0" applyNumberFormat="1" applyFont="1" applyFill="1" applyBorder="1"/>
    <xf numFmtId="1" fontId="69" fillId="0" borderId="11" xfId="0" applyNumberFormat="1" applyFont="1" applyFill="1" applyBorder="1"/>
    <xf numFmtId="0" fontId="0" fillId="0" borderId="0" xfId="0" applyNumberFormat="1" applyFill="1"/>
    <xf numFmtId="49" fontId="70" fillId="0" borderId="14" xfId="0" applyNumberFormat="1" applyFont="1" applyBorder="1" applyAlignment="1">
      <alignment wrapText="1"/>
    </xf>
    <xf numFmtId="49" fontId="70" fillId="0" borderId="0" xfId="0" applyNumberFormat="1" applyFont="1" applyBorder="1" applyAlignment="1">
      <alignment wrapText="1"/>
    </xf>
    <xf numFmtId="49" fontId="70" fillId="0" borderId="10" xfId="0" applyNumberFormat="1" applyFont="1" applyBorder="1" applyAlignment="1">
      <alignment wrapText="1"/>
    </xf>
    <xf numFmtId="49" fontId="71" fillId="0" borderId="10" xfId="0" applyNumberFormat="1" applyFont="1" applyFill="1" applyBorder="1" applyAlignment="1">
      <alignment wrapText="1"/>
    </xf>
    <xf numFmtId="49" fontId="70" fillId="0" borderId="10" xfId="0" applyNumberFormat="1" applyFont="1" applyBorder="1" applyAlignment="1">
      <alignment vertical="top" wrapText="1"/>
    </xf>
    <xf numFmtId="2" fontId="4" fillId="0" borderId="0" xfId="0" applyNumberFormat="1" applyFont="1" applyFill="1" applyBorder="1" applyAlignment="1">
      <alignment horizontal="left" vertical="top" wrapText="1"/>
    </xf>
    <xf numFmtId="0" fontId="0" fillId="21" borderId="0" xfId="0" applyNumberFormat="1" applyFill="1"/>
    <xf numFmtId="0" fontId="4" fillId="0" borderId="0" xfId="0" applyNumberFormat="1" applyFont="1" applyFill="1" applyBorder="1" applyAlignment="1">
      <alignment horizontal="center" vertical="top" wrapText="1"/>
    </xf>
    <xf numFmtId="2" fontId="0" fillId="0" borderId="0" xfId="0" applyNumberFormat="1" applyBorder="1" applyAlignment="1">
      <alignment vertical="top"/>
    </xf>
    <xf numFmtId="1" fontId="0" fillId="0" borderId="0" xfId="0" applyNumberFormat="1" applyBorder="1" applyAlignment="1">
      <alignment horizontal="right" vertical="top"/>
    </xf>
    <xf numFmtId="179" fontId="0" fillId="0" borderId="15" xfId="0" applyNumberFormat="1" applyBorder="1" applyAlignment="1">
      <alignment vertical="top" wrapText="1"/>
    </xf>
    <xf numFmtId="2" fontId="0" fillId="0" borderId="15" xfId="0" applyNumberFormat="1" applyBorder="1" applyAlignment="1">
      <alignment vertical="top"/>
    </xf>
    <xf numFmtId="179" fontId="4" fillId="0" borderId="15" xfId="0" applyFont="1" applyBorder="1" applyAlignment="1">
      <alignment vertical="top" wrapText="1"/>
    </xf>
    <xf numFmtId="180" fontId="0" fillId="0" borderId="15" xfId="0" applyNumberFormat="1" applyBorder="1" applyAlignment="1">
      <alignment vertical="top" wrapText="1"/>
    </xf>
    <xf numFmtId="0" fontId="0" fillId="0" borderId="15" xfId="0" applyNumberFormat="1" applyBorder="1" applyAlignment="1">
      <alignment vertical="top"/>
    </xf>
    <xf numFmtId="1" fontId="0" fillId="0" borderId="15" xfId="0" applyNumberFormat="1" applyBorder="1" applyAlignment="1">
      <alignment horizontal="right" vertical="top"/>
    </xf>
    <xf numFmtId="0" fontId="0" fillId="0" borderId="13" xfId="0" applyNumberFormat="1" applyBorder="1" applyAlignment="1">
      <alignment horizontal="center" vertical="top"/>
    </xf>
    <xf numFmtId="179" fontId="4" fillId="0" borderId="13" xfId="0" applyFont="1" applyBorder="1" applyAlignment="1">
      <alignment horizontal="center" vertical="top" wrapText="1"/>
    </xf>
    <xf numFmtId="180" fontId="0" fillId="0" borderId="13" xfId="0" applyNumberFormat="1" applyBorder="1" applyAlignment="1">
      <alignment horizontal="center" vertical="top" wrapText="1"/>
    </xf>
    <xf numFmtId="0" fontId="0" fillId="0" borderId="13" xfId="0" applyNumberFormat="1" applyBorder="1" applyAlignment="1">
      <alignment vertical="top"/>
    </xf>
    <xf numFmtId="180" fontId="0" fillId="0" borderId="33" xfId="0" applyNumberFormat="1" applyBorder="1" applyAlignment="1">
      <alignment vertical="top"/>
    </xf>
    <xf numFmtId="1" fontId="0" fillId="0" borderId="0" xfId="0" applyNumberFormat="1" applyBorder="1"/>
    <xf numFmtId="0" fontId="4" fillId="0" borderId="10" xfId="0" applyNumberFormat="1" applyFont="1" applyBorder="1" applyAlignment="1">
      <alignment horizontal="center" vertical="top" wrapText="1"/>
    </xf>
    <xf numFmtId="1" fontId="0" fillId="0" borderId="22" xfId="0" applyNumberFormat="1" applyBorder="1" applyAlignment="1">
      <alignment vertical="top"/>
    </xf>
    <xf numFmtId="180" fontId="3" fillId="0" borderId="10" xfId="0" applyNumberFormat="1" applyFont="1" applyBorder="1" applyAlignment="1">
      <alignment vertical="top"/>
    </xf>
    <xf numFmtId="0" fontId="4" fillId="0" borderId="15" xfId="0" applyNumberFormat="1" applyFont="1" applyBorder="1" applyAlignment="1">
      <alignment vertical="top"/>
    </xf>
    <xf numFmtId="0" fontId="3" fillId="0" borderId="0" xfId="0" applyNumberFormat="1" applyFont="1" applyFill="1" applyBorder="1" applyAlignment="1">
      <alignment horizontal="center" vertical="top"/>
    </xf>
    <xf numFmtId="0" fontId="0" fillId="0" borderId="0" xfId="0" applyNumberFormat="1" applyFill="1" applyAlignment="1">
      <alignment horizontal="right"/>
    </xf>
    <xf numFmtId="2" fontId="4" fillId="0" borderId="0" xfId="0" applyNumberFormat="1" applyFont="1" applyFill="1" applyBorder="1" applyAlignment="1">
      <alignment horizontal="center" vertical="top"/>
    </xf>
    <xf numFmtId="0" fontId="0" fillId="0" borderId="0" xfId="0" applyNumberFormat="1" applyFill="1" applyAlignment="1">
      <alignment horizontal="left"/>
    </xf>
    <xf numFmtId="0" fontId="0" fillId="0" borderId="0" xfId="0" applyNumberFormat="1" applyFill="1" applyAlignment="1">
      <alignment horizontal="left" vertical="center"/>
    </xf>
    <xf numFmtId="0" fontId="0" fillId="0" borderId="0" xfId="0" applyNumberFormat="1" applyFill="1" applyAlignment="1">
      <alignment horizontal="center" vertical="center"/>
    </xf>
    <xf numFmtId="0" fontId="4" fillId="0" borderId="13" xfId="0" applyNumberFormat="1" applyFont="1" applyFill="1" applyBorder="1" applyAlignment="1">
      <alignment horizontal="center" vertical="top" wrapText="1"/>
    </xf>
    <xf numFmtId="0" fontId="4" fillId="0" borderId="15" xfId="0" applyNumberFormat="1" applyFont="1" applyFill="1" applyBorder="1" applyAlignment="1">
      <alignment horizontal="center" vertical="top" wrapText="1"/>
    </xf>
    <xf numFmtId="0" fontId="4" fillId="0" borderId="15" xfId="0" applyNumberFormat="1" applyFont="1" applyFill="1" applyBorder="1" applyAlignment="1">
      <alignment horizontal="left" vertical="top" wrapText="1"/>
    </xf>
    <xf numFmtId="2" fontId="0" fillId="0" borderId="0" xfId="0" applyNumberFormat="1" applyFill="1"/>
    <xf numFmtId="0" fontId="4" fillId="0" borderId="10" xfId="0" applyNumberFormat="1" applyFont="1" applyBorder="1" applyAlignment="1">
      <alignment vertical="top" wrapText="1"/>
    </xf>
    <xf numFmtId="180" fontId="3" fillId="0" borderId="14" xfId="0" applyNumberFormat="1" applyFont="1" applyBorder="1"/>
    <xf numFmtId="179" fontId="63" fillId="0" borderId="10" xfId="48" applyFont="1" applyFill="1" applyBorder="1" applyAlignment="1">
      <alignment horizontal="center" vertical="top" wrapText="1"/>
    </xf>
    <xf numFmtId="179" fontId="63" fillId="20" borderId="10" xfId="48" applyFont="1" applyFill="1" applyBorder="1" applyAlignment="1">
      <alignment horizontal="center" vertical="top" wrapText="1"/>
    </xf>
    <xf numFmtId="179" fontId="4" fillId="20" borderId="0" xfId="48" applyFont="1" applyFill="1" applyBorder="1" applyAlignment="1">
      <alignment horizontal="center" vertical="top" wrapText="1"/>
    </xf>
    <xf numFmtId="179" fontId="63" fillId="20" borderId="11" xfId="48" applyFont="1" applyFill="1" applyBorder="1" applyAlignment="1">
      <alignment horizontal="center" vertical="top" wrapText="1"/>
    </xf>
    <xf numFmtId="179" fontId="3" fillId="20" borderId="0" xfId="48" applyFont="1" applyFill="1" applyBorder="1" applyAlignment="1">
      <alignment horizontal="center" vertical="top" wrapText="1"/>
    </xf>
    <xf numFmtId="179" fontId="63" fillId="20" borderId="10" xfId="48" applyFont="1" applyFill="1" applyBorder="1" applyAlignment="1">
      <alignment horizontal="center" vertical="top" wrapText="1"/>
    </xf>
    <xf numFmtId="179" fontId="63" fillId="0" borderId="10" xfId="48" applyFont="1" applyFill="1" applyBorder="1" applyAlignment="1">
      <alignment horizontal="center" vertical="top" wrapText="1"/>
    </xf>
    <xf numFmtId="179" fontId="3" fillId="20" borderId="11" xfId="48" applyFont="1" applyFill="1" applyBorder="1" applyAlignment="1">
      <alignment horizontal="center" vertical="top" wrapText="1"/>
    </xf>
    <xf numFmtId="179" fontId="4" fillId="0" borderId="10" xfId="48" applyFont="1" applyFill="1" applyBorder="1" applyAlignment="1">
      <alignment horizontal="left" vertical="top" wrapText="1"/>
    </xf>
    <xf numFmtId="179" fontId="4" fillId="0" borderId="11" xfId="48" applyFont="1" applyFill="1" applyBorder="1" applyAlignment="1">
      <alignment horizontal="left" vertical="top" wrapText="1"/>
    </xf>
    <xf numFmtId="179" fontId="4" fillId="20" borderId="25" xfId="48" applyFont="1" applyFill="1" applyBorder="1" applyAlignment="1">
      <alignment horizontal="center" vertical="top" wrapText="1"/>
    </xf>
    <xf numFmtId="179" fontId="4" fillId="20" borderId="34" xfId="48" applyFont="1" applyFill="1" applyBorder="1" applyAlignment="1">
      <alignment horizontal="center" vertical="top" wrapText="1"/>
    </xf>
    <xf numFmtId="179" fontId="4" fillId="20" borderId="0" xfId="48" applyFill="1" applyAlignment="1">
      <alignment vertical="center"/>
    </xf>
    <xf numFmtId="179" fontId="4" fillId="20" borderId="0" xfId="48" applyFont="1" applyFill="1" applyAlignment="1">
      <alignment vertical="center"/>
    </xf>
    <xf numFmtId="179" fontId="63" fillId="20" borderId="21" xfId="48" applyFont="1" applyFill="1" applyBorder="1" applyAlignment="1">
      <alignment horizontal="center" vertical="top" wrapText="1"/>
    </xf>
    <xf numFmtId="180" fontId="63" fillId="20" borderId="10" xfId="48" applyNumberFormat="1" applyFont="1" applyFill="1" applyBorder="1" applyAlignment="1">
      <alignment horizontal="right" vertical="top" wrapText="1"/>
    </xf>
    <xf numFmtId="179" fontId="17" fillId="0" borderId="0" xfId="48" applyFont="1" applyFill="1" applyAlignment="1">
      <alignment vertical="top"/>
    </xf>
    <xf numFmtId="179" fontId="3" fillId="21" borderId="35" xfId="48" applyFont="1" applyFill="1" applyBorder="1" applyAlignment="1">
      <alignment horizontal="right" vertical="top"/>
    </xf>
    <xf numFmtId="179" fontId="3" fillId="21" borderId="36" xfId="48" applyFont="1" applyFill="1" applyBorder="1" applyAlignment="1">
      <alignment horizontal="left" vertical="top"/>
    </xf>
    <xf numFmtId="179" fontId="4" fillId="20" borderId="10" xfId="48" applyFont="1" applyFill="1" applyBorder="1" applyAlignment="1">
      <alignment vertical="top"/>
    </xf>
    <xf numFmtId="179" fontId="4" fillId="20" borderId="10" xfId="48" applyFill="1" applyBorder="1" applyAlignment="1">
      <alignment vertical="center"/>
    </xf>
    <xf numFmtId="179" fontId="4" fillId="20" borderId="10" xfId="48" applyFont="1" applyFill="1" applyBorder="1" applyAlignment="1">
      <alignment vertical="center"/>
    </xf>
    <xf numFmtId="179" fontId="63" fillId="20" borderId="10" xfId="48" applyFont="1" applyFill="1" applyBorder="1" applyAlignment="1">
      <alignment horizontal="center" vertical="top" wrapText="1"/>
    </xf>
    <xf numFmtId="179" fontId="63" fillId="20" borderId="10" xfId="48" applyFont="1" applyFill="1" applyBorder="1" applyAlignment="1">
      <alignment horizontal="left" vertical="center" wrapText="1"/>
    </xf>
    <xf numFmtId="179" fontId="4" fillId="0" borderId="0" xfId="48" applyFill="1" applyBorder="1" applyAlignment="1">
      <alignment vertical="center" wrapText="1"/>
    </xf>
    <xf numFmtId="179" fontId="8" fillId="20" borderId="0" xfId="48" applyFont="1" applyFill="1" applyAlignment="1">
      <alignment horizontal="left" vertical="center" indent="1"/>
    </xf>
    <xf numFmtId="179" fontId="4" fillId="0" borderId="37" xfId="48" applyFill="1" applyBorder="1" applyAlignment="1">
      <alignment horizontal="center" vertical="top"/>
    </xf>
    <xf numFmtId="179" fontId="4" fillId="0" borderId="28" xfId="48" applyFill="1" applyBorder="1" applyAlignment="1">
      <alignment vertical="top" wrapText="1"/>
    </xf>
    <xf numFmtId="179" fontId="63" fillId="20" borderId="28" xfId="48" applyFont="1" applyFill="1" applyBorder="1" applyAlignment="1">
      <alignment horizontal="center" vertical="top" wrapText="1"/>
    </xf>
    <xf numFmtId="179" fontId="63" fillId="20" borderId="29" xfId="48" applyFont="1" applyFill="1" applyBorder="1" applyAlignment="1">
      <alignment horizontal="center" vertical="top" wrapText="1"/>
    </xf>
    <xf numFmtId="179" fontId="4" fillId="0" borderId="28" xfId="48" applyFont="1" applyFill="1" applyBorder="1" applyAlignment="1">
      <alignment horizontal="center" vertical="top" wrapText="1"/>
    </xf>
    <xf numFmtId="179" fontId="63" fillId="20" borderId="38" xfId="48" applyFont="1" applyFill="1" applyBorder="1" applyAlignment="1">
      <alignment vertical="top" wrapText="1"/>
    </xf>
    <xf numFmtId="180" fontId="4" fillId="0" borderId="38" xfId="0" applyNumberFormat="1" applyFont="1" applyFill="1" applyBorder="1" applyAlignment="1">
      <alignment vertical="top"/>
    </xf>
    <xf numFmtId="179" fontId="63" fillId="20" borderId="38" xfId="48" applyFont="1" applyFill="1" applyBorder="1" applyAlignment="1">
      <alignment horizontal="center" vertical="top" wrapText="1"/>
    </xf>
    <xf numFmtId="179" fontId="4" fillId="0" borderId="38" xfId="48" applyFill="1" applyBorder="1" applyAlignment="1">
      <alignment horizontal="center"/>
    </xf>
    <xf numFmtId="180" fontId="4" fillId="0" borderId="0" xfId="0" applyNumberFormat="1" applyFont="1" applyFill="1" applyBorder="1" applyAlignment="1">
      <alignment vertical="top"/>
    </xf>
    <xf numFmtId="179" fontId="63" fillId="20" borderId="39" xfId="48" applyFont="1" applyFill="1" applyBorder="1" applyAlignment="1">
      <alignment vertical="top" wrapText="1"/>
    </xf>
    <xf numFmtId="180" fontId="4" fillId="0" borderId="39" xfId="0" applyNumberFormat="1" applyFont="1" applyFill="1" applyBorder="1" applyAlignment="1">
      <alignment vertical="top"/>
    </xf>
    <xf numFmtId="179" fontId="63" fillId="20" borderId="39" xfId="48" applyFont="1" applyFill="1" applyBorder="1" applyAlignment="1">
      <alignment horizontal="center" vertical="top" wrapText="1"/>
    </xf>
    <xf numFmtId="179" fontId="4" fillId="0" borderId="39" xfId="48" applyFill="1" applyBorder="1" applyAlignment="1">
      <alignment horizontal="center"/>
    </xf>
    <xf numFmtId="179" fontId="4" fillId="0" borderId="39" xfId="48" applyFill="1" applyBorder="1" applyAlignment="1">
      <alignment horizontal="center" vertical="center"/>
    </xf>
    <xf numFmtId="179" fontId="4" fillId="0" borderId="37" xfId="48" applyFill="1" applyBorder="1" applyAlignment="1">
      <alignment vertical="top" wrapText="1"/>
    </xf>
    <xf numFmtId="179" fontId="4" fillId="0" borderId="28" xfId="48" applyFill="1" applyBorder="1" applyAlignment="1">
      <alignment vertical="top"/>
    </xf>
    <xf numFmtId="179" fontId="4" fillId="0" borderId="28" xfId="48" applyFill="1" applyBorder="1" applyAlignment="1">
      <alignment horizontal="center"/>
    </xf>
    <xf numFmtId="179" fontId="4" fillId="0" borderId="28" xfId="48" applyFill="1" applyBorder="1" applyAlignment="1">
      <alignment horizontal="center" vertical="center"/>
    </xf>
    <xf numFmtId="179" fontId="4" fillId="0" borderId="37" xfId="0" applyFont="1" applyFill="1" applyBorder="1" applyAlignment="1">
      <alignment horizontal="left" vertical="top" wrapText="1"/>
    </xf>
    <xf numFmtId="180" fontId="4" fillId="0" borderId="28" xfId="48" applyNumberFormat="1" applyFill="1" applyBorder="1" applyAlignment="1">
      <alignment horizontal="right" vertical="center"/>
    </xf>
    <xf numFmtId="0" fontId="16" fillId="0" borderId="28" xfId="42" applyFont="1" applyBorder="1" applyAlignment="1">
      <alignment vertical="top" wrapText="1"/>
    </xf>
    <xf numFmtId="49" fontId="70" fillId="0" borderId="10" xfId="0" applyNumberFormat="1" applyFont="1" applyFill="1" applyBorder="1" applyAlignment="1">
      <alignment vertical="top" wrapText="1"/>
    </xf>
    <xf numFmtId="1" fontId="4" fillId="0" borderId="10" xfId="0" applyNumberFormat="1" applyFont="1" applyFill="1" applyBorder="1" applyAlignment="1">
      <alignment vertical="top"/>
    </xf>
    <xf numFmtId="1" fontId="0" fillId="0" borderId="10" xfId="0" applyNumberFormat="1" applyFill="1" applyBorder="1" applyAlignment="1">
      <alignment vertical="top"/>
    </xf>
    <xf numFmtId="0" fontId="0" fillId="0" borderId="0" xfId="0" applyNumberFormat="1" applyFill="1" applyBorder="1" applyAlignment="1">
      <alignment vertical="top"/>
    </xf>
    <xf numFmtId="2" fontId="4" fillId="0" borderId="0" xfId="0" applyNumberFormat="1" applyFont="1" applyFill="1" applyBorder="1"/>
    <xf numFmtId="2" fontId="4" fillId="0" borderId="0" xfId="0" applyNumberFormat="1" applyFont="1" applyFill="1" applyBorder="1" applyAlignment="1">
      <alignment vertical="top"/>
    </xf>
    <xf numFmtId="1" fontId="4" fillId="0" borderId="0" xfId="0" applyNumberFormat="1" applyFont="1" applyFill="1" applyBorder="1" applyAlignment="1">
      <alignment vertical="top"/>
    </xf>
    <xf numFmtId="2" fontId="3" fillId="0" borderId="0" xfId="0" applyNumberFormat="1" applyFont="1" applyFill="1" applyBorder="1"/>
    <xf numFmtId="179" fontId="4" fillId="0" borderId="10" xfId="48" applyFill="1" applyBorder="1" applyAlignment="1">
      <alignment horizontal="center" vertical="top"/>
    </xf>
    <xf numFmtId="1" fontId="0" fillId="0" borderId="0" xfId="0" applyNumberFormat="1" applyAlignment="1">
      <alignment horizontal="right" vertical="top"/>
    </xf>
    <xf numFmtId="0" fontId="16" fillId="0" borderId="40" xfId="42" applyFont="1" applyBorder="1" applyAlignment="1">
      <alignment vertical="top" wrapText="1"/>
    </xf>
    <xf numFmtId="0" fontId="16" fillId="0" borderId="38" xfId="42" applyFont="1" applyBorder="1" applyAlignment="1">
      <alignment vertical="top" wrapText="1"/>
    </xf>
    <xf numFmtId="0" fontId="16" fillId="0" borderId="39" xfId="42" applyFont="1" applyBorder="1" applyAlignment="1">
      <alignment vertical="top" wrapText="1"/>
    </xf>
    <xf numFmtId="180" fontId="4" fillId="0" borderId="39" xfId="48" applyNumberFormat="1" applyFill="1" applyBorder="1" applyAlignment="1">
      <alignment horizontal="right" vertical="center"/>
    </xf>
    <xf numFmtId="180" fontId="4" fillId="0" borderId="38" xfId="48" applyNumberFormat="1" applyFill="1" applyBorder="1" applyAlignment="1">
      <alignment horizontal="right" vertical="top"/>
    </xf>
    <xf numFmtId="179" fontId="4" fillId="0" borderId="38" xfId="48" applyFill="1" applyBorder="1" applyAlignment="1">
      <alignment horizontal="center" vertical="top"/>
    </xf>
    <xf numFmtId="179" fontId="4" fillId="0" borderId="0" xfId="48" applyFill="1" applyBorder="1" applyAlignment="1">
      <alignment vertical="top" wrapText="1"/>
    </xf>
    <xf numFmtId="180" fontId="4" fillId="0" borderId="40" xfId="48" applyNumberFormat="1" applyFill="1" applyBorder="1" applyAlignment="1">
      <alignment horizontal="right" vertical="top"/>
    </xf>
    <xf numFmtId="179" fontId="4" fillId="0" borderId="40" xfId="48" applyFill="1" applyBorder="1" applyAlignment="1">
      <alignment horizontal="center" vertical="top"/>
    </xf>
    <xf numFmtId="180" fontId="4" fillId="0" borderId="28" xfId="48" applyNumberFormat="1" applyFill="1" applyBorder="1" applyAlignment="1">
      <alignment horizontal="right" vertical="top"/>
    </xf>
    <xf numFmtId="179" fontId="4" fillId="0" borderId="28" xfId="48" applyFill="1" applyBorder="1" applyAlignment="1">
      <alignment horizontal="center" vertical="top"/>
    </xf>
    <xf numFmtId="179" fontId="4" fillId="0" borderId="39" xfId="48" applyFill="1" applyBorder="1" applyAlignment="1">
      <alignment horizontal="center" vertical="top"/>
    </xf>
    <xf numFmtId="180" fontId="4" fillId="0" borderId="28" xfId="0" applyNumberFormat="1" applyFont="1" applyBorder="1" applyAlignment="1">
      <alignment vertical="top"/>
    </xf>
    <xf numFmtId="0" fontId="0" fillId="0" borderId="0" xfId="0" applyNumberFormat="1" applyBorder="1"/>
    <xf numFmtId="179" fontId="4" fillId="0" borderId="0" xfId="0" applyFont="1" applyBorder="1" applyAlignment="1">
      <alignment horizontal="right" vertical="top"/>
    </xf>
    <xf numFmtId="179" fontId="4" fillId="0" borderId="0" xfId="48" applyFill="1" applyBorder="1"/>
    <xf numFmtId="179" fontId="4" fillId="0" borderId="0" xfId="48" applyFont="1" applyFill="1" applyBorder="1"/>
    <xf numFmtId="179" fontId="4" fillId="0" borderId="0" xfId="48" applyFill="1" applyBorder="1" applyAlignment="1">
      <alignment vertical="top"/>
    </xf>
    <xf numFmtId="179" fontId="3" fillId="0" borderId="10" xfId="48" applyFont="1" applyFill="1" applyBorder="1"/>
    <xf numFmtId="179" fontId="4" fillId="0" borderId="10" xfId="48" applyFill="1" applyBorder="1"/>
    <xf numFmtId="179" fontId="4" fillId="0" borderId="10" xfId="48" applyFill="1" applyBorder="1" applyAlignment="1">
      <alignment vertical="top"/>
    </xf>
    <xf numFmtId="179" fontId="4" fillId="0" borderId="10" xfId="48" applyFill="1" applyBorder="1" applyAlignment="1">
      <alignment vertical="top" wrapText="1"/>
    </xf>
    <xf numFmtId="179" fontId="3" fillId="0" borderId="10" xfId="48" applyFont="1" applyFill="1" applyBorder="1" applyAlignment="1">
      <alignment horizontal="center" vertical="center"/>
    </xf>
    <xf numFmtId="179" fontId="4" fillId="0" borderId="10" xfId="0" applyFont="1" applyBorder="1" applyAlignment="1">
      <alignment horizontal="center"/>
    </xf>
    <xf numFmtId="179" fontId="4" fillId="0" borderId="10" xfId="0" quotePrefix="1" applyFont="1" applyBorder="1" applyAlignment="1">
      <alignment vertical="top" wrapText="1"/>
    </xf>
    <xf numFmtId="179" fontId="0" fillId="0" borderId="10" xfId="0" applyBorder="1" applyAlignment="1">
      <alignment vertical="top"/>
    </xf>
    <xf numFmtId="179" fontId="0" fillId="0" borderId="10" xfId="0" applyBorder="1" applyAlignment="1">
      <alignment vertical="top" wrapText="1"/>
    </xf>
    <xf numFmtId="179" fontId="16" fillId="0" borderId="0" xfId="0" applyFont="1" applyFill="1" applyBorder="1" applyAlignment="1">
      <alignment horizontal="left" vertical="top" wrapText="1"/>
    </xf>
    <xf numFmtId="180" fontId="16" fillId="0" borderId="0" xfId="0" applyNumberFormat="1" applyFont="1" applyFill="1" applyBorder="1" applyAlignment="1">
      <alignment horizontal="left" vertical="top" wrapText="1"/>
    </xf>
    <xf numFmtId="179" fontId="3" fillId="0" borderId="10" xfId="0" applyFont="1" applyFill="1" applyBorder="1" applyAlignment="1">
      <alignment horizontal="center" vertical="top" wrapText="1"/>
    </xf>
    <xf numFmtId="0" fontId="3" fillId="0" borderId="10" xfId="0" applyNumberFormat="1" applyFont="1" applyBorder="1" applyAlignment="1">
      <alignment vertical="top"/>
    </xf>
    <xf numFmtId="180" fontId="0" fillId="0" borderId="10" xfId="0" applyNumberFormat="1" applyBorder="1" applyAlignment="1">
      <alignment vertical="top" wrapText="1"/>
    </xf>
    <xf numFmtId="180" fontId="0" fillId="0" borderId="10" xfId="0" applyNumberFormat="1" applyBorder="1" applyAlignment="1">
      <alignment vertical="top"/>
    </xf>
    <xf numFmtId="179" fontId="4" fillId="21" borderId="10" xfId="0" applyFont="1" applyFill="1" applyBorder="1" applyAlignment="1">
      <alignment vertical="top"/>
    </xf>
    <xf numFmtId="0" fontId="4" fillId="0" borderId="10" xfId="0" applyNumberFormat="1" applyFont="1" applyBorder="1"/>
    <xf numFmtId="0" fontId="4" fillId="21" borderId="10" xfId="0" applyNumberFormat="1" applyFont="1" applyFill="1" applyBorder="1"/>
    <xf numFmtId="0" fontId="0" fillId="21" borderId="10" xfId="0" applyNumberFormat="1" applyFill="1" applyBorder="1"/>
    <xf numFmtId="179" fontId="0" fillId="21" borderId="10" xfId="0" applyFill="1" applyBorder="1" applyAlignment="1">
      <alignment vertical="top" wrapText="1"/>
    </xf>
    <xf numFmtId="0" fontId="0" fillId="21" borderId="10" xfId="0" applyNumberFormat="1" applyFill="1" applyBorder="1" applyAlignment="1">
      <alignment vertical="top"/>
    </xf>
    <xf numFmtId="179" fontId="4" fillId="0" borderId="0" xfId="0" applyFont="1" applyFill="1" applyBorder="1" applyAlignment="1">
      <alignment vertical="top"/>
    </xf>
    <xf numFmtId="0" fontId="16" fillId="21" borderId="10" xfId="42" applyFont="1" applyFill="1" applyBorder="1" applyAlignment="1">
      <alignment vertical="top" wrapText="1"/>
    </xf>
    <xf numFmtId="0" fontId="16" fillId="21" borderId="10" xfId="42" applyFont="1" applyFill="1" applyBorder="1" applyAlignment="1">
      <alignment vertical="top"/>
    </xf>
    <xf numFmtId="0" fontId="16" fillId="21" borderId="10" xfId="42" applyFont="1" applyFill="1" applyBorder="1" applyAlignment="1">
      <alignment horizontal="justify" vertical="top" wrapText="1"/>
    </xf>
    <xf numFmtId="0" fontId="16" fillId="21" borderId="10" xfId="42" applyFont="1" applyFill="1" applyBorder="1"/>
    <xf numFmtId="0" fontId="16" fillId="21" borderId="10" xfId="42" applyFont="1" applyFill="1" applyBorder="1" applyAlignment="1">
      <alignment horizontal="justify" vertical="center" wrapText="1"/>
    </xf>
    <xf numFmtId="0" fontId="16" fillId="0" borderId="0" xfId="42" applyFont="1" applyBorder="1" applyAlignment="1">
      <alignment horizontal="center" vertical="top" wrapText="1"/>
    </xf>
    <xf numFmtId="0" fontId="2" fillId="21" borderId="10" xfId="42" applyFont="1" applyFill="1" applyBorder="1" applyAlignment="1">
      <alignment wrapText="1"/>
    </xf>
    <xf numFmtId="0" fontId="69" fillId="21" borderId="10" xfId="0" applyNumberFormat="1" applyFont="1" applyFill="1" applyBorder="1" applyAlignment="1">
      <alignment wrapText="1"/>
    </xf>
    <xf numFmtId="0" fontId="69" fillId="21" borderId="21" xfId="0" applyNumberFormat="1" applyFont="1" applyFill="1" applyBorder="1" applyAlignment="1">
      <alignment wrapText="1"/>
    </xf>
    <xf numFmtId="2" fontId="2" fillId="0" borderId="10" xfId="42" applyNumberFormat="1" applyFont="1" applyFill="1" applyBorder="1" applyAlignment="1">
      <alignment horizontal="center" vertical="top"/>
    </xf>
    <xf numFmtId="0" fontId="69" fillId="21" borderId="10" xfId="0" applyNumberFormat="1" applyFont="1" applyFill="1" applyBorder="1" applyAlignment="1">
      <alignment vertical="top" wrapText="1"/>
    </xf>
    <xf numFmtId="0" fontId="4" fillId="21" borderId="10" xfId="0" applyNumberFormat="1" applyFont="1" applyFill="1" applyBorder="1" applyAlignment="1">
      <alignment vertical="top"/>
    </xf>
    <xf numFmtId="1" fontId="0" fillId="21" borderId="10" xfId="0" applyNumberFormat="1" applyFill="1" applyBorder="1" applyAlignment="1">
      <alignment vertical="top"/>
    </xf>
    <xf numFmtId="1" fontId="0" fillId="21" borderId="10" xfId="0" applyNumberFormat="1" applyFill="1" applyBorder="1" applyAlignment="1">
      <alignment horizontal="right" vertical="top"/>
    </xf>
    <xf numFmtId="2" fontId="0" fillId="21" borderId="10" xfId="0" applyNumberFormat="1" applyFill="1" applyBorder="1" applyAlignment="1">
      <alignment vertical="top"/>
    </xf>
    <xf numFmtId="0" fontId="72" fillId="0" borderId="10" xfId="0" applyNumberFormat="1" applyFont="1" applyFill="1" applyBorder="1" applyAlignment="1">
      <alignment horizontal="center" vertical="top" wrapText="1"/>
    </xf>
    <xf numFmtId="0" fontId="4" fillId="21" borderId="10" xfId="0" applyNumberFormat="1" applyFont="1" applyFill="1" applyBorder="1" applyAlignment="1">
      <alignment horizontal="center" vertical="top" wrapText="1"/>
    </xf>
    <xf numFmtId="2" fontId="4" fillId="21" borderId="10" xfId="0" applyNumberFormat="1" applyFont="1" applyFill="1" applyBorder="1" applyAlignment="1">
      <alignment vertical="top" wrapText="1"/>
    </xf>
    <xf numFmtId="0" fontId="4" fillId="21" borderId="10" xfId="0" quotePrefix="1" applyNumberFormat="1" applyFont="1" applyFill="1" applyBorder="1" applyAlignment="1">
      <alignment horizontal="left" vertical="top" wrapText="1"/>
    </xf>
    <xf numFmtId="179" fontId="4" fillId="21" borderId="24" xfId="0" applyFont="1" applyFill="1" applyBorder="1" applyAlignment="1">
      <alignment horizontal="right" vertical="top"/>
    </xf>
    <xf numFmtId="179" fontId="4" fillId="18" borderId="24" xfId="0" applyFont="1" applyFill="1" applyBorder="1" applyAlignment="1">
      <alignment horizontal="right" vertical="top"/>
    </xf>
    <xf numFmtId="179" fontId="3" fillId="18" borderId="10" xfId="0" applyFont="1" applyFill="1" applyBorder="1" applyAlignment="1">
      <alignment vertical="top" wrapText="1"/>
    </xf>
    <xf numFmtId="0" fontId="4" fillId="21" borderId="10" xfId="0" applyNumberFormat="1" applyFont="1" applyFill="1" applyBorder="1" applyAlignment="1">
      <alignment vertical="top" wrapText="1"/>
    </xf>
    <xf numFmtId="0" fontId="4" fillId="21" borderId="10" xfId="0" applyNumberFormat="1" applyFont="1" applyFill="1" applyBorder="1" applyAlignment="1">
      <alignment horizontal="center" vertical="top"/>
    </xf>
    <xf numFmtId="180" fontId="4" fillId="21" borderId="10" xfId="0" applyNumberFormat="1" applyFont="1" applyFill="1" applyBorder="1" applyAlignment="1">
      <alignment horizontal="right" vertical="top" wrapText="1"/>
    </xf>
    <xf numFmtId="0" fontId="4" fillId="21" borderId="10" xfId="0" applyNumberFormat="1" applyFont="1" applyFill="1" applyBorder="1" applyAlignment="1">
      <alignment horizontal="center"/>
    </xf>
    <xf numFmtId="2" fontId="4" fillId="21" borderId="10" xfId="0" applyNumberFormat="1" applyFont="1" applyFill="1" applyBorder="1" applyAlignment="1">
      <alignment horizontal="center" vertical="top"/>
    </xf>
    <xf numFmtId="180" fontId="4" fillId="21" borderId="0" xfId="0" applyNumberFormat="1" applyFont="1" applyFill="1" applyBorder="1" applyAlignment="1">
      <alignment horizontal="right" vertical="top" wrapText="1"/>
    </xf>
    <xf numFmtId="2" fontId="4" fillId="21" borderId="10" xfId="0" applyNumberFormat="1" applyFont="1" applyFill="1" applyBorder="1"/>
    <xf numFmtId="0" fontId="4" fillId="18" borderId="0" xfId="0" applyNumberFormat="1" applyFont="1" applyFill="1" applyBorder="1"/>
    <xf numFmtId="179" fontId="67" fillId="21" borderId="10" xfId="0" applyFont="1" applyFill="1" applyBorder="1" applyAlignment="1">
      <alignment horizontal="left" vertical="top" wrapText="1" indent="1"/>
    </xf>
    <xf numFmtId="179" fontId="67" fillId="21" borderId="10" xfId="0" applyFont="1" applyFill="1" applyBorder="1" applyAlignment="1">
      <alignment horizontal="center" vertical="top" wrapText="1"/>
    </xf>
    <xf numFmtId="179" fontId="67" fillId="21" borderId="10" xfId="0" applyFont="1" applyFill="1" applyBorder="1" applyAlignment="1">
      <alignment vertical="top" wrapText="1"/>
    </xf>
    <xf numFmtId="179" fontId="67" fillId="21" borderId="21" xfId="0" applyFont="1" applyFill="1" applyBorder="1" applyAlignment="1">
      <alignment vertical="top" wrapText="1"/>
    </xf>
    <xf numFmtId="0" fontId="4" fillId="21" borderId="24" xfId="0" applyNumberFormat="1" applyFont="1" applyFill="1" applyBorder="1"/>
    <xf numFmtId="179" fontId="4" fillId="21" borderId="10" xfId="0" applyFont="1" applyFill="1" applyBorder="1" applyAlignment="1">
      <alignment horizontal="right" vertical="top"/>
    </xf>
    <xf numFmtId="179" fontId="4" fillId="21" borderId="10" xfId="0" applyFont="1" applyFill="1" applyBorder="1" applyAlignment="1">
      <alignment horizontal="center" vertical="top"/>
    </xf>
    <xf numFmtId="180" fontId="3" fillId="0" borderId="11" xfId="0" applyNumberFormat="1" applyFont="1" applyFill="1" applyBorder="1"/>
    <xf numFmtId="171" fontId="4" fillId="21" borderId="10" xfId="28" applyFont="1" applyFill="1" applyBorder="1" applyAlignment="1">
      <alignment horizontal="center" vertical="top"/>
    </xf>
    <xf numFmtId="171" fontId="4" fillId="21" borderId="10" xfId="28" applyFont="1" applyFill="1" applyBorder="1" applyAlignment="1">
      <alignment horizontal="right" vertical="top" wrapText="1"/>
    </xf>
    <xf numFmtId="0" fontId="4" fillId="21" borderId="14" xfId="0" applyNumberFormat="1" applyFont="1" applyFill="1" applyBorder="1" applyAlignment="1">
      <alignment horizontal="center"/>
    </xf>
    <xf numFmtId="179" fontId="67" fillId="18" borderId="10" xfId="0" applyFont="1" applyFill="1" applyBorder="1" applyAlignment="1">
      <alignment vertical="top" wrapText="1"/>
    </xf>
    <xf numFmtId="0" fontId="4" fillId="18" borderId="24" xfId="0" applyNumberFormat="1" applyFont="1" applyFill="1" applyBorder="1"/>
    <xf numFmtId="179" fontId="4" fillId="18" borderId="10" xfId="0" applyFont="1" applyFill="1" applyBorder="1" applyAlignment="1">
      <alignment vertical="top"/>
    </xf>
    <xf numFmtId="0" fontId="4" fillId="18" borderId="10" xfId="0" applyNumberFormat="1" applyFont="1" applyFill="1" applyBorder="1"/>
    <xf numFmtId="0" fontId="0" fillId="18" borderId="10" xfId="0" applyNumberFormat="1" applyFill="1" applyBorder="1"/>
    <xf numFmtId="179" fontId="4" fillId="21" borderId="10" xfId="0" applyFont="1" applyFill="1" applyBorder="1" applyAlignment="1">
      <alignment vertical="top" wrapText="1"/>
    </xf>
    <xf numFmtId="0" fontId="67" fillId="21" borderId="10" xfId="0" applyNumberFormat="1" applyFont="1" applyFill="1" applyBorder="1" applyAlignment="1">
      <alignment vertical="top" wrapText="1"/>
    </xf>
    <xf numFmtId="0" fontId="67" fillId="21" borderId="23" xfId="0" applyNumberFormat="1" applyFont="1" applyFill="1" applyBorder="1" applyAlignment="1">
      <alignment vertical="top" wrapText="1"/>
    </xf>
    <xf numFmtId="171" fontId="4" fillId="21" borderId="10" xfId="28" applyFont="1" applyFill="1" applyBorder="1" applyAlignment="1">
      <alignment horizontal="left" vertical="top" wrapText="1"/>
    </xf>
    <xf numFmtId="171" fontId="4" fillId="0" borderId="10" xfId="28" applyFont="1" applyFill="1" applyBorder="1" applyAlignment="1">
      <alignment horizontal="right" vertical="top"/>
    </xf>
    <xf numFmtId="171" fontId="4" fillId="21" borderId="10" xfId="28" applyFont="1" applyFill="1" applyBorder="1" applyAlignment="1">
      <alignment horizontal="right" vertical="top"/>
    </xf>
    <xf numFmtId="179" fontId="67" fillId="21" borderId="10" xfId="0" applyFont="1" applyFill="1" applyBorder="1" applyAlignment="1">
      <alignment horizontal="justify" vertical="center" wrapText="1"/>
    </xf>
    <xf numFmtId="180" fontId="3" fillId="0" borderId="10" xfId="0" applyNumberFormat="1" applyFont="1" applyFill="1" applyBorder="1" applyAlignment="1">
      <alignment vertical="top"/>
    </xf>
    <xf numFmtId="0" fontId="4" fillId="21" borderId="10" xfId="0" applyNumberFormat="1" applyFont="1" applyFill="1" applyBorder="1" applyAlignment="1">
      <alignment horizontal="left"/>
    </xf>
    <xf numFmtId="180" fontId="4" fillId="0" borderId="0" xfId="0" applyNumberFormat="1" applyFont="1" applyFill="1" applyAlignment="1">
      <alignment horizontal="right" vertical="top"/>
    </xf>
    <xf numFmtId="179" fontId="3" fillId="21" borderId="10" xfId="0" applyFont="1" applyFill="1" applyBorder="1" applyAlignment="1">
      <alignment vertical="top"/>
    </xf>
    <xf numFmtId="180" fontId="4" fillId="18" borderId="10" xfId="0" applyNumberFormat="1" applyFont="1" applyFill="1" applyBorder="1" applyAlignment="1">
      <alignment horizontal="right" vertical="top" wrapText="1"/>
    </xf>
    <xf numFmtId="179" fontId="4" fillId="18" borderId="21" xfId="0" applyFont="1" applyFill="1" applyBorder="1" applyAlignment="1">
      <alignment horizontal="right" vertical="top"/>
    </xf>
    <xf numFmtId="0" fontId="3" fillId="21" borderId="10" xfId="0" applyNumberFormat="1" applyFont="1" applyFill="1" applyBorder="1" applyAlignment="1">
      <alignment vertical="top" wrapText="1"/>
    </xf>
    <xf numFmtId="179" fontId="4" fillId="21" borderId="10" xfId="0" applyFont="1" applyFill="1" applyBorder="1" applyAlignment="1">
      <alignment horizontal="left" vertical="top" wrapText="1"/>
    </xf>
    <xf numFmtId="0" fontId="0" fillId="0" borderId="0" xfId="0" applyNumberFormat="1" applyBorder="1" applyAlignment="1">
      <alignment vertical="top" wrapText="1"/>
    </xf>
    <xf numFmtId="179" fontId="0" fillId="0" borderId="0" xfId="0" applyFill="1" applyBorder="1" applyAlignment="1">
      <alignment vertical="top" wrapText="1"/>
    </xf>
    <xf numFmtId="0" fontId="0" fillId="0" borderId="0" xfId="0" applyNumberFormat="1" applyFont="1" applyFill="1" applyBorder="1"/>
    <xf numFmtId="179" fontId="3" fillId="19" borderId="0" xfId="0" applyFont="1" applyFill="1" applyBorder="1" applyAlignment="1">
      <alignment horizontal="right" vertical="top"/>
    </xf>
    <xf numFmtId="180" fontId="4" fillId="18" borderId="0" xfId="0" applyNumberFormat="1" applyFont="1" applyFill="1" applyBorder="1" applyAlignment="1">
      <alignment horizontal="right" vertical="top" wrapText="1"/>
    </xf>
    <xf numFmtId="0" fontId="0" fillId="18" borderId="0" xfId="0" applyNumberFormat="1" applyFill="1" applyBorder="1"/>
    <xf numFmtId="179" fontId="4" fillId="18" borderId="0" xfId="0" applyFont="1" applyFill="1" applyBorder="1" applyAlignment="1">
      <alignment horizontal="right" vertical="top"/>
    </xf>
    <xf numFmtId="183" fontId="4" fillId="0" borderId="10" xfId="0" applyNumberFormat="1" applyFont="1" applyBorder="1" applyAlignment="1">
      <alignment horizontal="right" vertical="top" wrapText="1"/>
    </xf>
    <xf numFmtId="0" fontId="69" fillId="18" borderId="10" xfId="0" applyNumberFormat="1" applyFont="1" applyFill="1" applyBorder="1" applyAlignment="1">
      <alignment horizontal="center" vertical="center"/>
    </xf>
    <xf numFmtId="179" fontId="4" fillId="18" borderId="0" xfId="0" applyFont="1" applyFill="1" applyAlignment="1">
      <alignment vertical="top" wrapText="1"/>
    </xf>
    <xf numFmtId="2" fontId="3" fillId="0" borderId="10" xfId="0" applyNumberFormat="1" applyFont="1" applyFill="1" applyBorder="1" applyAlignment="1">
      <alignment vertical="top"/>
    </xf>
    <xf numFmtId="2" fontId="0" fillId="0" borderId="10" xfId="0" applyNumberFormat="1" applyFill="1" applyBorder="1" applyAlignment="1">
      <alignment vertical="top"/>
    </xf>
    <xf numFmtId="2" fontId="3" fillId="0" borderId="22" xfId="0" applyNumberFormat="1" applyFont="1" applyFill="1" applyBorder="1" applyAlignment="1">
      <alignment vertical="top"/>
    </xf>
    <xf numFmtId="179" fontId="3" fillId="0" borderId="10" xfId="0" applyFont="1" applyBorder="1" applyAlignment="1">
      <alignment horizontal="left" vertical="top"/>
    </xf>
    <xf numFmtId="179" fontId="4" fillId="0" borderId="0" xfId="0" applyNumberFormat="1" applyFont="1" applyBorder="1" applyAlignment="1" applyProtection="1">
      <alignment vertical="center"/>
    </xf>
    <xf numFmtId="179" fontId="4" fillId="0" borderId="0" xfId="0" applyNumberFormat="1" applyFont="1" applyBorder="1" applyAlignment="1" applyProtection="1">
      <alignment vertical="top"/>
    </xf>
    <xf numFmtId="0" fontId="4" fillId="22" borderId="10" xfId="0" applyNumberFormat="1" applyFont="1" applyFill="1" applyBorder="1" applyAlignment="1">
      <alignment vertical="top" wrapText="1"/>
    </xf>
    <xf numFmtId="9" fontId="4" fillId="0" borderId="10" xfId="63" applyFont="1" applyFill="1" applyBorder="1" applyAlignment="1" applyProtection="1">
      <alignment horizontal="center" vertical="center"/>
    </xf>
    <xf numFmtId="179" fontId="4" fillId="0" borderId="10" xfId="0" applyFont="1" applyBorder="1" applyAlignment="1">
      <alignment horizontal="center" vertical="center"/>
    </xf>
    <xf numFmtId="181" fontId="4" fillId="0" borderId="20" xfId="63" applyNumberFormat="1" applyFont="1" applyBorder="1" applyAlignment="1">
      <alignment horizontal="center" vertical="center"/>
    </xf>
    <xf numFmtId="10" fontId="4" fillId="0" borderId="20" xfId="63" applyNumberFormat="1" applyFont="1" applyBorder="1" applyAlignment="1">
      <alignment horizontal="center" vertical="center"/>
    </xf>
    <xf numFmtId="9" fontId="4" fillId="0" borderId="20" xfId="63" applyFont="1" applyBorder="1" applyAlignment="1">
      <alignment horizontal="center" vertical="center"/>
    </xf>
    <xf numFmtId="9" fontId="4" fillId="0" borderId="20" xfId="63" applyNumberFormat="1" applyFont="1" applyBorder="1" applyAlignment="1">
      <alignment horizontal="center" vertical="center"/>
    </xf>
    <xf numFmtId="9" fontId="4" fillId="0" borderId="20" xfId="63" applyNumberFormat="1" applyFont="1" applyBorder="1" applyAlignment="1">
      <alignment vertical="center"/>
    </xf>
    <xf numFmtId="179" fontId="4" fillId="0" borderId="10" xfId="0" applyNumberFormat="1" applyFont="1" applyBorder="1" applyAlignment="1" applyProtection="1">
      <alignment vertical="center"/>
    </xf>
    <xf numFmtId="179" fontId="4" fillId="0" borderId="10" xfId="0" applyNumberFormat="1" applyFont="1" applyFill="1" applyBorder="1" applyAlignment="1" applyProtection="1">
      <alignment horizontal="center" vertical="top"/>
    </xf>
    <xf numFmtId="179" fontId="4" fillId="0" borderId="10" xfId="0" applyNumberFormat="1" applyFont="1" applyFill="1" applyBorder="1" applyAlignment="1" applyProtection="1">
      <alignment vertical="center"/>
    </xf>
    <xf numFmtId="179" fontId="3" fillId="0" borderId="0" xfId="0" applyFont="1" applyFill="1" applyBorder="1" applyAlignment="1">
      <alignment vertical="top" wrapText="1"/>
    </xf>
    <xf numFmtId="9" fontId="4" fillId="0" borderId="10" xfId="63" applyNumberFormat="1" applyFont="1" applyBorder="1" applyAlignment="1" applyProtection="1">
      <alignment vertical="center"/>
    </xf>
    <xf numFmtId="9" fontId="4" fillId="22" borderId="10" xfId="63" applyFont="1" applyFill="1" applyBorder="1" applyAlignment="1" applyProtection="1">
      <alignment vertical="center"/>
    </xf>
    <xf numFmtId="9" fontId="4" fillId="0" borderId="21" xfId="63" applyNumberFormat="1" applyFont="1" applyBorder="1" applyAlignment="1" applyProtection="1">
      <alignment vertical="center"/>
    </xf>
    <xf numFmtId="9" fontId="4" fillId="0" borderId="0" xfId="63" applyNumberFormat="1" applyFont="1" applyBorder="1" applyAlignment="1" applyProtection="1">
      <alignment vertical="center"/>
    </xf>
    <xf numFmtId="9" fontId="4" fillId="22" borderId="0" xfId="63" applyNumberFormat="1" applyFont="1" applyFill="1" applyBorder="1" applyAlignment="1" applyProtection="1">
      <alignment vertical="center"/>
    </xf>
    <xf numFmtId="9" fontId="4" fillId="0" borderId="0" xfId="63" applyFont="1" applyBorder="1" applyAlignment="1" applyProtection="1">
      <alignment vertical="center"/>
    </xf>
    <xf numFmtId="181" fontId="4" fillId="22" borderId="0" xfId="63" applyNumberFormat="1" applyFont="1" applyFill="1" applyBorder="1" applyAlignment="1" applyProtection="1">
      <alignment vertical="center"/>
    </xf>
    <xf numFmtId="181" fontId="4" fillId="0" borderId="0" xfId="63" applyNumberFormat="1" applyFont="1" applyFill="1" applyBorder="1" applyAlignment="1" applyProtection="1">
      <alignment vertical="center"/>
    </xf>
    <xf numFmtId="181" fontId="4" fillId="0" borderId="0" xfId="63" applyNumberFormat="1" applyFont="1" applyBorder="1" applyAlignment="1">
      <alignment vertical="center"/>
    </xf>
    <xf numFmtId="9" fontId="4" fillId="0" borderId="0" xfId="63" applyNumberFormat="1" applyFont="1" applyBorder="1" applyAlignment="1">
      <alignment vertical="center"/>
    </xf>
    <xf numFmtId="10" fontId="4" fillId="0" borderId="0" xfId="63" applyNumberFormat="1" applyFont="1" applyBorder="1" applyAlignment="1" applyProtection="1">
      <alignment vertical="center"/>
    </xf>
    <xf numFmtId="181" fontId="4" fillId="0" borderId="0" xfId="63" applyNumberFormat="1" applyFont="1" applyBorder="1" applyAlignment="1" applyProtection="1">
      <alignment vertical="center"/>
    </xf>
    <xf numFmtId="10" fontId="4" fillId="21" borderId="0" xfId="63" applyNumberFormat="1" applyFont="1" applyFill="1" applyBorder="1" applyAlignment="1">
      <alignment vertical="center"/>
    </xf>
    <xf numFmtId="10" fontId="4" fillId="21" borderId="0" xfId="63" applyNumberFormat="1" applyFont="1" applyFill="1" applyBorder="1" applyAlignment="1" applyProtection="1">
      <alignment vertical="center"/>
    </xf>
    <xf numFmtId="188" fontId="4" fillId="0" borderId="0" xfId="63" applyNumberFormat="1" applyFont="1" applyBorder="1" applyAlignment="1" applyProtection="1">
      <alignment vertical="center"/>
    </xf>
    <xf numFmtId="2" fontId="4" fillId="0" borderId="0" xfId="0" applyNumberFormat="1" applyFont="1" applyBorder="1" applyAlignment="1">
      <alignment vertical="top"/>
    </xf>
    <xf numFmtId="181" fontId="4" fillId="0" borderId="0" xfId="63" applyNumberFormat="1" applyFont="1" applyBorder="1" applyAlignment="1">
      <alignment vertical="top"/>
    </xf>
    <xf numFmtId="181" fontId="4" fillId="0" borderId="0" xfId="63" applyNumberFormat="1" applyFont="1" applyBorder="1" applyAlignment="1">
      <alignment horizontal="center" vertical="top"/>
    </xf>
    <xf numFmtId="9" fontId="4" fillId="0" borderId="0" xfId="63" applyNumberFormat="1" applyFont="1" applyBorder="1" applyAlignment="1">
      <alignment horizontal="center" vertical="top"/>
    </xf>
    <xf numFmtId="10" fontId="4" fillId="0" borderId="0" xfId="63" applyNumberFormat="1" applyFont="1" applyBorder="1" applyAlignment="1">
      <alignment horizontal="center" vertical="top"/>
    </xf>
    <xf numFmtId="179" fontId="3" fillId="0" borderId="36" xfId="0" applyFont="1" applyFill="1" applyBorder="1" applyAlignment="1">
      <alignment vertical="top" wrapText="1"/>
    </xf>
    <xf numFmtId="180" fontId="0" fillId="23" borderId="41" xfId="0" applyNumberFormat="1" applyFill="1" applyBorder="1" applyAlignment="1">
      <alignment vertical="top" wrapText="1"/>
    </xf>
    <xf numFmtId="1" fontId="4" fillId="21" borderId="10" xfId="0" applyNumberFormat="1" applyFont="1" applyFill="1" applyBorder="1" applyAlignment="1">
      <alignment vertical="top"/>
    </xf>
    <xf numFmtId="179" fontId="4" fillId="24" borderId="10" xfId="0" applyFont="1" applyFill="1" applyBorder="1" applyAlignment="1">
      <alignment vertical="top" wrapText="1"/>
    </xf>
    <xf numFmtId="0" fontId="16" fillId="24" borderId="10" xfId="42" applyFont="1" applyFill="1" applyBorder="1" applyAlignment="1">
      <alignment vertical="top" wrapText="1"/>
    </xf>
    <xf numFmtId="179" fontId="4" fillId="24" borderId="10" xfId="0" applyFont="1" applyFill="1" applyBorder="1" applyAlignment="1">
      <alignment horizontal="right" vertical="top"/>
    </xf>
    <xf numFmtId="180" fontId="3" fillId="0" borderId="0" xfId="0" applyNumberFormat="1" applyFont="1" applyBorder="1"/>
    <xf numFmtId="179" fontId="4" fillId="24" borderId="21" xfId="0" applyFont="1" applyFill="1" applyBorder="1" applyAlignment="1">
      <alignment vertical="top" wrapText="1"/>
    </xf>
    <xf numFmtId="179" fontId="4" fillId="24" borderId="22" xfId="0" applyFont="1" applyFill="1" applyBorder="1" applyAlignment="1">
      <alignment vertical="top" wrapText="1"/>
    </xf>
    <xf numFmtId="179" fontId="4" fillId="0" borderId="11" xfId="0" applyFont="1" applyBorder="1" applyAlignment="1">
      <alignment horizontal="center" vertical="top"/>
    </xf>
    <xf numFmtId="180" fontId="4" fillId="24" borderId="10" xfId="0" applyNumberFormat="1" applyFont="1" applyFill="1" applyBorder="1" applyAlignment="1">
      <alignment vertical="top"/>
    </xf>
    <xf numFmtId="179" fontId="48" fillId="24" borderId="0" xfId="0" applyFont="1" applyFill="1" applyAlignment="1">
      <alignment vertical="top" wrapText="1"/>
    </xf>
    <xf numFmtId="179" fontId="4" fillId="0" borderId="42" xfId="0" applyFont="1" applyBorder="1" applyAlignment="1">
      <alignment horizontal="center" vertical="top"/>
    </xf>
    <xf numFmtId="0" fontId="4" fillId="24" borderId="10" xfId="0" applyNumberFormat="1" applyFont="1" applyFill="1" applyBorder="1" applyAlignment="1">
      <alignment vertical="top"/>
    </xf>
    <xf numFmtId="179" fontId="4" fillId="24" borderId="10" xfId="0" applyFont="1" applyFill="1" applyBorder="1" applyAlignment="1">
      <alignment vertical="top"/>
    </xf>
    <xf numFmtId="0" fontId="4" fillId="24" borderId="10" xfId="0" applyNumberFormat="1" applyFont="1" applyFill="1" applyBorder="1" applyAlignment="1">
      <alignment vertical="top" wrapText="1"/>
    </xf>
    <xf numFmtId="179" fontId="4" fillId="24" borderId="21" xfId="0" applyFont="1" applyFill="1" applyBorder="1" applyAlignment="1">
      <alignment horizontal="right" vertical="top"/>
    </xf>
    <xf numFmtId="0" fontId="4" fillId="24" borderId="10" xfId="0" applyNumberFormat="1" applyFont="1" applyFill="1" applyBorder="1" applyAlignment="1">
      <alignment horizontal="right" vertical="top"/>
    </xf>
    <xf numFmtId="0" fontId="4" fillId="24" borderId="10" xfId="0" applyNumberFormat="1" applyFont="1" applyFill="1" applyBorder="1" applyAlignment="1">
      <alignment horizontal="right" vertical="top" wrapText="1"/>
    </xf>
    <xf numFmtId="179" fontId="0" fillId="24" borderId="10" xfId="0" applyFill="1" applyBorder="1" applyAlignment="1">
      <alignment vertical="top" wrapText="1"/>
    </xf>
    <xf numFmtId="1" fontId="0" fillId="24" borderId="10" xfId="0" applyNumberFormat="1" applyFill="1" applyBorder="1" applyAlignment="1">
      <alignment vertical="top" wrapText="1"/>
    </xf>
    <xf numFmtId="0" fontId="4" fillId="24" borderId="10" xfId="0" applyNumberFormat="1" applyFont="1" applyFill="1" applyBorder="1" applyAlignment="1">
      <alignment horizontal="right"/>
    </xf>
    <xf numFmtId="179" fontId="4" fillId="24" borderId="10" xfId="0" applyFont="1" applyFill="1" applyBorder="1" applyAlignment="1">
      <alignment horizontal="center" vertical="top"/>
    </xf>
    <xf numFmtId="180" fontId="4" fillId="24" borderId="10" xfId="0" applyNumberFormat="1" applyFont="1" applyFill="1" applyBorder="1" applyAlignment="1">
      <alignment horizontal="right" vertical="top" wrapText="1"/>
    </xf>
    <xf numFmtId="0" fontId="0" fillId="24" borderId="10" xfId="0" applyNumberFormat="1" applyFill="1" applyBorder="1"/>
    <xf numFmtId="0" fontId="4" fillId="24" borderId="10" xfId="0" applyNumberFormat="1" applyFont="1" applyFill="1" applyBorder="1"/>
    <xf numFmtId="0" fontId="0" fillId="24" borderId="10" xfId="0" applyNumberFormat="1" applyFill="1" applyBorder="1" applyAlignment="1">
      <alignment vertical="top" wrapText="1"/>
    </xf>
    <xf numFmtId="0" fontId="0" fillId="24" borderId="10" xfId="0" applyNumberFormat="1" applyFill="1" applyBorder="1" applyAlignment="1">
      <alignment vertical="top"/>
    </xf>
    <xf numFmtId="0" fontId="0" fillId="24" borderId="10" xfId="0" applyNumberFormat="1" applyFill="1" applyBorder="1" applyAlignment="1">
      <alignment wrapText="1"/>
    </xf>
    <xf numFmtId="179" fontId="4" fillId="0" borderId="10" xfId="0" applyNumberFormat="1" applyFont="1" applyFill="1" applyBorder="1" applyAlignment="1">
      <alignment vertical="top"/>
    </xf>
    <xf numFmtId="179" fontId="4" fillId="0" borderId="10" xfId="0" applyNumberFormat="1" applyFont="1" applyBorder="1" applyAlignment="1">
      <alignment vertical="top"/>
    </xf>
    <xf numFmtId="0" fontId="69" fillId="24" borderId="10" xfId="0" applyNumberFormat="1" applyFont="1" applyFill="1" applyBorder="1" applyAlignment="1">
      <alignment wrapText="1"/>
    </xf>
    <xf numFmtId="0" fontId="69" fillId="24" borderId="10" xfId="0" applyNumberFormat="1" applyFont="1" applyFill="1" applyBorder="1"/>
    <xf numFmtId="1" fontId="69" fillId="24" borderId="11" xfId="0" applyNumberFormat="1" applyFont="1" applyFill="1" applyBorder="1"/>
    <xf numFmtId="0" fontId="69" fillId="24" borderId="10" xfId="0" applyNumberFormat="1" applyFont="1" applyFill="1" applyBorder="1" applyAlignment="1">
      <alignment vertical="top"/>
    </xf>
    <xf numFmtId="1" fontId="69" fillId="24" borderId="11" xfId="0" applyNumberFormat="1" applyFont="1" applyFill="1" applyBorder="1" applyAlignment="1">
      <alignment vertical="top"/>
    </xf>
    <xf numFmtId="0" fontId="16" fillId="24" borderId="10" xfId="42" applyFont="1" applyFill="1" applyBorder="1" applyAlignment="1">
      <alignment vertical="top"/>
    </xf>
    <xf numFmtId="0" fontId="16" fillId="24" borderId="10" xfId="42" applyFont="1" applyFill="1" applyBorder="1" applyAlignment="1">
      <alignment horizontal="center" vertical="top" wrapText="1"/>
    </xf>
    <xf numFmtId="1" fontId="16" fillId="24" borderId="10" xfId="42" applyNumberFormat="1" applyFont="1" applyFill="1" applyBorder="1" applyAlignment="1">
      <alignment vertical="top"/>
    </xf>
    <xf numFmtId="0" fontId="69" fillId="24" borderId="10" xfId="0" applyNumberFormat="1" applyFont="1" applyFill="1" applyBorder="1" applyAlignment="1">
      <alignment vertical="top" wrapText="1"/>
    </xf>
    <xf numFmtId="1" fontId="69" fillId="24" borderId="10" xfId="0" applyNumberFormat="1" applyFont="1" applyFill="1" applyBorder="1" applyAlignment="1">
      <alignment vertical="top" wrapText="1"/>
    </xf>
    <xf numFmtId="0" fontId="0" fillId="0" borderId="0" xfId="0" quotePrefix="1" applyNumberFormat="1"/>
    <xf numFmtId="179" fontId="0" fillId="0" borderId="10" xfId="0" applyFill="1" applyBorder="1" applyAlignment="1">
      <alignment vertical="top"/>
    </xf>
    <xf numFmtId="179" fontId="4" fillId="25" borderId="10" xfId="0" applyFont="1" applyFill="1" applyBorder="1" applyAlignment="1">
      <alignment vertical="top"/>
    </xf>
    <xf numFmtId="179" fontId="4" fillId="25" borderId="10" xfId="0" applyFont="1" applyFill="1" applyBorder="1" applyAlignment="1">
      <alignment horizontal="right" vertical="top"/>
    </xf>
    <xf numFmtId="179" fontId="4" fillId="25" borderId="10" xfId="0" applyFont="1" applyFill="1" applyBorder="1" applyAlignment="1">
      <alignment vertical="top" wrapText="1"/>
    </xf>
    <xf numFmtId="0" fontId="4" fillId="25" borderId="10" xfId="0" applyNumberFormat="1" applyFont="1" applyFill="1" applyBorder="1" applyAlignment="1">
      <alignment vertical="top"/>
    </xf>
    <xf numFmtId="0" fontId="67" fillId="21" borderId="25" xfId="0" applyNumberFormat="1" applyFont="1" applyFill="1" applyBorder="1" applyAlignment="1">
      <alignment vertical="top" wrapText="1"/>
    </xf>
    <xf numFmtId="179" fontId="0" fillId="0" borderId="0" xfId="0" applyFill="1" applyBorder="1" applyAlignment="1">
      <alignment vertical="top"/>
    </xf>
    <xf numFmtId="0" fontId="66" fillId="0" borderId="0" xfId="42" applyFont="1" applyBorder="1" applyAlignment="1">
      <alignment horizontal="right" vertical="top"/>
    </xf>
    <xf numFmtId="0" fontId="0" fillId="25" borderId="10" xfId="0" applyNumberFormat="1" applyFill="1" applyBorder="1" applyAlignment="1">
      <alignment vertical="top"/>
    </xf>
    <xf numFmtId="0" fontId="0" fillId="25" borderId="10" xfId="0" applyNumberFormat="1" applyFill="1" applyBorder="1" applyAlignment="1">
      <alignment horizontal="right" vertical="top"/>
    </xf>
    <xf numFmtId="0" fontId="4" fillId="25" borderId="10" xfId="0" applyNumberFormat="1" applyFont="1" applyFill="1" applyBorder="1" applyAlignment="1">
      <alignment horizontal="right" vertical="top" wrapText="1"/>
    </xf>
    <xf numFmtId="0" fontId="4" fillId="25" borderId="10" xfId="0" applyNumberFormat="1" applyFont="1" applyFill="1" applyBorder="1" applyAlignment="1">
      <alignment horizontal="left" vertical="top" wrapText="1"/>
    </xf>
    <xf numFmtId="179" fontId="4" fillId="25" borderId="10" xfId="0" applyFont="1" applyFill="1" applyBorder="1" applyAlignment="1">
      <alignment horizontal="center" vertical="top"/>
    </xf>
    <xf numFmtId="0" fontId="60" fillId="25" borderId="10" xfId="0" applyNumberFormat="1" applyFont="1" applyFill="1" applyBorder="1" applyAlignment="1">
      <alignment vertical="top" wrapText="1"/>
    </xf>
    <xf numFmtId="0" fontId="67" fillId="25" borderId="10" xfId="0" applyNumberFormat="1" applyFont="1" applyFill="1" applyBorder="1" applyAlignment="1">
      <alignment vertical="top" wrapText="1"/>
    </xf>
    <xf numFmtId="179" fontId="4" fillId="25" borderId="22" xfId="0" applyFont="1" applyFill="1" applyBorder="1" applyAlignment="1">
      <alignment vertical="top" wrapText="1"/>
    </xf>
    <xf numFmtId="179" fontId="3" fillId="19" borderId="27" xfId="0" applyFont="1" applyFill="1" applyBorder="1" applyAlignment="1">
      <alignment horizontal="center" vertical="top"/>
    </xf>
    <xf numFmtId="179" fontId="3" fillId="0" borderId="27" xfId="0" applyFont="1" applyBorder="1" applyAlignment="1">
      <alignment horizontal="center" vertical="top" wrapText="1"/>
    </xf>
    <xf numFmtId="0" fontId="3" fillId="0" borderId="10" xfId="0" applyNumberFormat="1" applyFont="1" applyFill="1" applyBorder="1" applyAlignment="1">
      <alignment vertical="center"/>
    </xf>
    <xf numFmtId="179" fontId="4" fillId="0" borderId="0" xfId="0" applyFont="1" applyAlignment="1">
      <alignment vertical="center"/>
    </xf>
    <xf numFmtId="0" fontId="3" fillId="0" borderId="10" xfId="0" applyNumberFormat="1" applyFont="1" applyFill="1" applyBorder="1" applyAlignment="1">
      <alignment horizontal="right" vertical="center"/>
    </xf>
    <xf numFmtId="179" fontId="3" fillId="19" borderId="10" xfId="0" applyFont="1" applyFill="1" applyBorder="1" applyAlignment="1">
      <alignment horizontal="right" vertical="center"/>
    </xf>
    <xf numFmtId="179" fontId="4" fillId="0" borderId="10" xfId="0" applyFont="1" applyBorder="1" applyAlignment="1">
      <alignment horizontal="right" vertical="center"/>
    </xf>
    <xf numFmtId="179" fontId="4" fillId="0" borderId="10" xfId="0" applyFont="1" applyFill="1" applyBorder="1" applyAlignment="1">
      <alignment horizontal="right" vertical="center"/>
    </xf>
    <xf numFmtId="179" fontId="4" fillId="0" borderId="10" xfId="0" applyFont="1" applyFill="1" applyBorder="1" applyAlignment="1">
      <alignment vertical="center"/>
    </xf>
    <xf numFmtId="17" fontId="73" fillId="0" borderId="10" xfId="0" applyNumberFormat="1" applyFont="1" applyBorder="1" applyAlignment="1">
      <alignment vertical="top"/>
    </xf>
    <xf numFmtId="180" fontId="4" fillId="24" borderId="21" xfId="0" applyNumberFormat="1" applyFont="1" applyFill="1" applyBorder="1" applyAlignment="1">
      <alignment horizontal="right" vertical="top"/>
    </xf>
    <xf numFmtId="180" fontId="4" fillId="24" borderId="10" xfId="0" applyNumberFormat="1" applyFont="1" applyFill="1" applyBorder="1" applyAlignment="1">
      <alignment horizontal="right" vertical="top"/>
    </xf>
    <xf numFmtId="17" fontId="73" fillId="0" borderId="0" xfId="0" applyNumberFormat="1" applyFont="1" applyBorder="1" applyAlignment="1">
      <alignment vertical="top"/>
    </xf>
    <xf numFmtId="0" fontId="67" fillId="0" borderId="0" xfId="0" applyNumberFormat="1" applyFont="1" applyBorder="1" applyAlignment="1">
      <alignment vertical="top"/>
    </xf>
    <xf numFmtId="17" fontId="73" fillId="0" borderId="0" xfId="0" applyNumberFormat="1" applyFont="1" applyFill="1" applyBorder="1" applyAlignment="1">
      <alignment vertical="top"/>
    </xf>
    <xf numFmtId="0" fontId="67" fillId="0" borderId="0" xfId="0" applyNumberFormat="1" applyFont="1" applyFill="1" applyBorder="1" applyAlignment="1">
      <alignment vertical="top"/>
    </xf>
    <xf numFmtId="2" fontId="0" fillId="0" borderId="0" xfId="0" applyNumberFormat="1" applyBorder="1"/>
    <xf numFmtId="180" fontId="0" fillId="0" borderId="0" xfId="0" applyNumberFormat="1" applyFill="1" applyBorder="1" applyAlignment="1">
      <alignment vertical="top" wrapText="1"/>
    </xf>
    <xf numFmtId="1" fontId="0" fillId="0" borderId="0" xfId="0" applyNumberFormat="1" applyFill="1" applyBorder="1" applyAlignment="1">
      <alignment vertical="top"/>
    </xf>
    <xf numFmtId="0" fontId="0" fillId="0" borderId="0" xfId="0" applyNumberFormat="1" applyFill="1" applyBorder="1"/>
    <xf numFmtId="180" fontId="0" fillId="24" borderId="10" xfId="0" applyNumberFormat="1" applyFill="1" applyBorder="1" applyAlignment="1">
      <alignment vertical="top"/>
    </xf>
    <xf numFmtId="1" fontId="4" fillId="18" borderId="10" xfId="52" applyNumberFormat="1" applyFont="1" applyFill="1" applyBorder="1" applyAlignment="1">
      <alignment vertical="top"/>
    </xf>
    <xf numFmtId="0" fontId="4" fillId="0" borderId="14" xfId="0" applyNumberFormat="1" applyFont="1" applyBorder="1" applyAlignment="1">
      <alignment vertical="top" wrapText="1"/>
    </xf>
    <xf numFmtId="0" fontId="2" fillId="0" borderId="10" xfId="0" applyNumberFormat="1" applyFont="1" applyFill="1" applyBorder="1" applyAlignment="1">
      <alignment vertical="top" wrapText="1"/>
    </xf>
    <xf numFmtId="0" fontId="2" fillId="0" borderId="1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2" fontId="3" fillId="0" borderId="22" xfId="0" applyNumberFormat="1" applyFont="1" applyFill="1" applyBorder="1" applyAlignment="1">
      <alignment vertical="center"/>
    </xf>
    <xf numFmtId="2" fontId="3" fillId="0" borderId="10" xfId="0" applyNumberFormat="1" applyFont="1" applyFill="1" applyBorder="1" applyAlignment="1">
      <alignment vertical="center"/>
    </xf>
    <xf numFmtId="1" fontId="4" fillId="0" borderId="0" xfId="0" applyNumberFormat="1" applyFont="1" applyFill="1" applyBorder="1" applyAlignment="1">
      <alignment vertical="center"/>
    </xf>
    <xf numFmtId="0" fontId="2" fillId="0" borderId="11" xfId="0" applyNumberFormat="1" applyFont="1" applyFill="1" applyBorder="1" applyAlignment="1">
      <alignment horizontal="left" vertical="top" wrapText="1"/>
    </xf>
    <xf numFmtId="179" fontId="3" fillId="0" borderId="0" xfId="0" applyFont="1" applyFill="1" applyBorder="1" applyAlignment="1">
      <alignment vertical="top"/>
    </xf>
    <xf numFmtId="0" fontId="0" fillId="0" borderId="10" xfId="0" applyNumberFormat="1" applyFill="1" applyBorder="1" applyAlignment="1">
      <alignment vertical="top" wrapText="1"/>
    </xf>
    <xf numFmtId="0" fontId="4" fillId="0" borderId="10" xfId="0" applyNumberFormat="1" applyFont="1" applyBorder="1" applyAlignment="1">
      <alignment vertical="top"/>
    </xf>
    <xf numFmtId="0" fontId="4" fillId="0" borderId="10" xfId="0" applyNumberFormat="1" applyFont="1" applyFill="1" applyBorder="1" applyAlignment="1">
      <alignment vertical="top" wrapText="1"/>
    </xf>
    <xf numFmtId="179" fontId="3" fillId="0" borderId="14" xfId="0" applyNumberFormat="1" applyFont="1" applyBorder="1"/>
    <xf numFmtId="0" fontId="9" fillId="0" borderId="0" xfId="0" applyNumberFormat="1" applyFont="1" applyAlignment="1">
      <alignment horizontal="center" vertical="center"/>
    </xf>
    <xf numFmtId="0" fontId="65" fillId="0" borderId="10" xfId="0" applyNumberFormat="1" applyFont="1" applyFill="1" applyBorder="1" applyAlignment="1">
      <alignment vertical="top"/>
    </xf>
    <xf numFmtId="0" fontId="65" fillId="0" borderId="10" xfId="0" applyNumberFormat="1" applyFont="1" applyFill="1" applyBorder="1" applyAlignment="1">
      <alignment horizontal="center" vertical="top"/>
    </xf>
    <xf numFmtId="0" fontId="65" fillId="0" borderId="10" xfId="0" applyNumberFormat="1" applyFont="1" applyFill="1" applyBorder="1" applyAlignment="1">
      <alignment vertical="top" wrapText="1"/>
    </xf>
    <xf numFmtId="0" fontId="66" fillId="0" borderId="0" xfId="0" applyNumberFormat="1" applyFont="1" applyFill="1" applyBorder="1" applyAlignment="1">
      <alignment vertical="top"/>
    </xf>
    <xf numFmtId="0" fontId="74" fillId="0" borderId="10" xfId="0" applyNumberFormat="1" applyFont="1" applyFill="1" applyBorder="1" applyAlignment="1">
      <alignment horizontal="center" vertical="top"/>
    </xf>
    <xf numFmtId="179" fontId="65" fillId="0" borderId="10" xfId="0" applyNumberFormat="1" applyFont="1" applyFill="1" applyBorder="1" applyAlignment="1">
      <alignment vertical="top"/>
    </xf>
    <xf numFmtId="0" fontId="65" fillId="26" borderId="10" xfId="0" applyNumberFormat="1" applyFont="1" applyFill="1" applyBorder="1" applyAlignment="1">
      <alignment horizontal="left" vertical="top" wrapText="1"/>
    </xf>
    <xf numFmtId="2" fontId="65" fillId="27" borderId="10" xfId="0" applyNumberFormat="1" applyFont="1" applyFill="1" applyBorder="1" applyAlignment="1">
      <alignment vertical="top"/>
    </xf>
    <xf numFmtId="0" fontId="9" fillId="0" borderId="0" xfId="0" applyNumberFormat="1" applyFont="1" applyAlignment="1">
      <alignment horizontal="center" vertical="top"/>
    </xf>
    <xf numFmtId="179" fontId="70" fillId="0" borderId="0" xfId="0" applyFont="1" applyBorder="1"/>
    <xf numFmtId="179" fontId="0" fillId="0" borderId="43" xfId="0" applyBorder="1" applyAlignment="1">
      <alignment vertical="top"/>
    </xf>
    <xf numFmtId="179" fontId="0" fillId="0" borderId="38" xfId="0" applyBorder="1" applyAlignment="1">
      <alignment vertical="top" wrapText="1"/>
    </xf>
    <xf numFmtId="179" fontId="0" fillId="0" borderId="44" xfId="0" applyBorder="1" applyAlignment="1">
      <alignment vertical="top" wrapText="1"/>
    </xf>
    <xf numFmtId="179" fontId="0" fillId="0" borderId="0" xfId="0" applyBorder="1" applyAlignment="1">
      <alignment vertical="top" wrapText="1"/>
    </xf>
    <xf numFmtId="179" fontId="0" fillId="0" borderId="26" xfId="0" applyBorder="1" applyAlignment="1">
      <alignment vertical="top" wrapText="1"/>
    </xf>
    <xf numFmtId="179" fontId="4" fillId="0" borderId="27" xfId="0" applyFont="1" applyBorder="1" applyAlignment="1">
      <alignment vertical="top" wrapText="1"/>
    </xf>
    <xf numFmtId="9" fontId="0" fillId="0" borderId="10" xfId="0" applyNumberFormat="1" applyBorder="1" applyAlignment="1">
      <alignment vertical="top" wrapText="1"/>
    </xf>
    <xf numFmtId="179" fontId="0" fillId="0" borderId="27" xfId="0" applyBorder="1" applyAlignment="1">
      <alignment vertical="top" wrapText="1"/>
    </xf>
    <xf numFmtId="2" fontId="0" fillId="0" borderId="10" xfId="0" applyNumberFormat="1" applyBorder="1" applyAlignment="1">
      <alignment vertical="top" wrapText="1"/>
    </xf>
    <xf numFmtId="1" fontId="0" fillId="0" borderId="10" xfId="0" applyNumberFormat="1" applyBorder="1" applyAlignment="1">
      <alignment vertical="top" wrapText="1"/>
    </xf>
    <xf numFmtId="2" fontId="0" fillId="0" borderId="10" xfId="0" applyNumberFormat="1" applyFill="1" applyBorder="1" applyAlignment="1">
      <alignment vertical="top" wrapText="1"/>
    </xf>
    <xf numFmtId="179" fontId="0" fillId="0" borderId="45" xfId="0" applyBorder="1" applyAlignment="1">
      <alignment wrapText="1"/>
    </xf>
    <xf numFmtId="179" fontId="0" fillId="0" borderId="39" xfId="0" applyBorder="1" applyAlignment="1">
      <alignment wrapText="1"/>
    </xf>
    <xf numFmtId="1" fontId="0" fillId="0" borderId="39" xfId="0" applyNumberFormat="1" applyBorder="1" applyAlignment="1">
      <alignment wrapText="1"/>
    </xf>
    <xf numFmtId="179" fontId="3" fillId="27" borderId="46" xfId="0" applyFont="1" applyFill="1" applyBorder="1" applyAlignment="1">
      <alignment wrapText="1"/>
    </xf>
    <xf numFmtId="179" fontId="0" fillId="0" borderId="0" xfId="0" applyAlignment="1">
      <alignment wrapText="1"/>
    </xf>
    <xf numFmtId="0" fontId="3" fillId="0" borderId="0" xfId="0" applyNumberFormat="1" applyFont="1" applyAlignment="1">
      <alignment vertical="top"/>
    </xf>
    <xf numFmtId="179" fontId="0" fillId="0" borderId="47" xfId="0" applyBorder="1" applyAlignment="1">
      <alignment vertical="top" wrapText="1"/>
    </xf>
    <xf numFmtId="179" fontId="4" fillId="0" borderId="40" xfId="0" applyFont="1" applyBorder="1" applyAlignment="1">
      <alignment vertical="top" wrapText="1"/>
    </xf>
    <xf numFmtId="179" fontId="4" fillId="0" borderId="38" xfId="0" applyFont="1" applyFill="1" applyBorder="1" applyAlignment="1">
      <alignment vertical="top" wrapText="1"/>
    </xf>
    <xf numFmtId="179" fontId="4" fillId="0" borderId="44" xfId="0" applyFont="1" applyBorder="1" applyAlignment="1">
      <alignment vertical="top" wrapText="1"/>
    </xf>
    <xf numFmtId="179" fontId="0" fillId="0" borderId="0" xfId="0" applyBorder="1" applyAlignment="1">
      <alignment vertical="top"/>
    </xf>
    <xf numFmtId="2" fontId="0" fillId="0" borderId="10" xfId="0" applyNumberFormat="1" applyBorder="1" applyAlignment="1">
      <alignment vertical="top"/>
    </xf>
    <xf numFmtId="179" fontId="0" fillId="0" borderId="39" xfId="0" applyBorder="1" applyAlignment="1">
      <alignment vertical="top" wrapText="1"/>
    </xf>
    <xf numFmtId="179" fontId="0" fillId="0" borderId="39" xfId="0" applyFill="1" applyBorder="1" applyAlignment="1">
      <alignment vertical="top"/>
    </xf>
    <xf numFmtId="179" fontId="3" fillId="27" borderId="46" xfId="0" applyFont="1" applyFill="1" applyBorder="1" applyAlignment="1">
      <alignment vertical="top" wrapText="1"/>
    </xf>
    <xf numFmtId="9" fontId="0" fillId="0" borderId="0" xfId="0" applyNumberFormat="1" applyBorder="1"/>
    <xf numFmtId="179" fontId="70" fillId="0" borderId="0" xfId="0" applyFont="1" applyBorder="1" applyAlignment="1">
      <alignment horizontal="right"/>
    </xf>
    <xf numFmtId="179" fontId="4" fillId="0" borderId="0" xfId="0" applyNumberFormat="1" applyFont="1" applyAlignment="1" applyProtection="1">
      <alignment vertical="top"/>
    </xf>
    <xf numFmtId="179" fontId="4" fillId="0" borderId="15" xfId="0" applyNumberFormat="1" applyFont="1" applyBorder="1" applyAlignment="1" applyProtection="1">
      <alignment vertical="top"/>
    </xf>
    <xf numFmtId="179" fontId="6" fillId="0" borderId="0" xfId="0" applyFont="1" applyAlignment="1" applyProtection="1">
      <alignment vertical="top"/>
    </xf>
    <xf numFmtId="179" fontId="6" fillId="0" borderId="0" xfId="0" applyFont="1" applyFill="1" applyAlignment="1" applyProtection="1">
      <alignment vertical="top"/>
    </xf>
    <xf numFmtId="179" fontId="6" fillId="0" borderId="0" xfId="0" applyNumberFormat="1" applyFont="1" applyFill="1" applyAlignment="1" applyProtection="1">
      <alignment vertical="top"/>
    </xf>
    <xf numFmtId="179" fontId="6" fillId="0" borderId="0" xfId="0" applyNumberFormat="1" applyFont="1" applyAlignment="1" applyProtection="1">
      <alignment vertical="top"/>
    </xf>
    <xf numFmtId="179" fontId="0" fillId="0" borderId="13" xfId="0" applyBorder="1" applyAlignment="1">
      <alignment vertical="top"/>
    </xf>
    <xf numFmtId="179" fontId="4" fillId="0" borderId="13" xfId="0" applyNumberFormat="1" applyFont="1" applyBorder="1" applyAlignment="1" applyProtection="1">
      <alignment horizontal="center" vertical="top"/>
    </xf>
    <xf numFmtId="179" fontId="4" fillId="0" borderId="13" xfId="0" applyNumberFormat="1" applyFont="1" applyBorder="1" applyAlignment="1" applyProtection="1">
      <alignment vertical="top"/>
    </xf>
    <xf numFmtId="10" fontId="6" fillId="0" borderId="0" xfId="63" applyNumberFormat="1" applyFont="1" applyAlignment="1" applyProtection="1">
      <alignment vertical="top"/>
    </xf>
    <xf numFmtId="179" fontId="4" fillId="0" borderId="0" xfId="0" applyFont="1" applyAlignment="1">
      <alignment horizontal="left"/>
    </xf>
    <xf numFmtId="179" fontId="4" fillId="0" borderId="27" xfId="0" applyFont="1" applyBorder="1" applyAlignment="1">
      <alignment vertical="top"/>
    </xf>
    <xf numFmtId="179" fontId="0" fillId="0" borderId="0" xfId="0" applyAlignment="1">
      <alignment vertical="top" wrapText="1"/>
    </xf>
    <xf numFmtId="184" fontId="0" fillId="0" borderId="0" xfId="0" applyNumberFormat="1" applyAlignment="1">
      <alignment vertical="top"/>
    </xf>
    <xf numFmtId="180" fontId="0" fillId="0" borderId="10" xfId="0" applyNumberFormat="1" applyBorder="1" applyAlignment="1">
      <alignment horizontal="center" vertical="top"/>
    </xf>
    <xf numFmtId="179" fontId="3" fillId="0" borderId="10" xfId="0" applyFont="1" applyBorder="1" applyAlignment="1">
      <alignment vertical="top" wrapText="1"/>
    </xf>
    <xf numFmtId="179" fontId="4" fillId="22" borderId="0" xfId="0" applyFont="1" applyFill="1" applyAlignment="1">
      <alignment vertical="top" wrapText="1"/>
    </xf>
    <xf numFmtId="180" fontId="3" fillId="19" borderId="10" xfId="0" applyNumberFormat="1" applyFont="1" applyFill="1" applyBorder="1" applyAlignment="1">
      <alignment horizontal="center" vertical="top"/>
    </xf>
    <xf numFmtId="179" fontId="3" fillId="21" borderId="10" xfId="0" applyNumberFormat="1" applyFont="1" applyFill="1" applyBorder="1" applyAlignment="1">
      <alignment horizontal="left" vertical="top"/>
    </xf>
    <xf numFmtId="179" fontId="3" fillId="21" borderId="10" xfId="0" applyNumberFormat="1" applyFont="1" applyFill="1" applyBorder="1" applyAlignment="1">
      <alignment horizontal="left" vertical="top" wrapText="1"/>
    </xf>
    <xf numFmtId="179" fontId="3" fillId="21" borderId="10" xfId="0" applyFont="1" applyFill="1" applyBorder="1" applyAlignment="1">
      <alignment horizontal="left" vertical="top"/>
    </xf>
    <xf numFmtId="179" fontId="4" fillId="22" borderId="0" xfId="0" applyFont="1" applyFill="1" applyAlignment="1">
      <alignment wrapText="1"/>
    </xf>
    <xf numFmtId="0" fontId="3" fillId="21" borderId="10" xfId="0" applyNumberFormat="1" applyFont="1" applyFill="1" applyBorder="1" applyAlignment="1">
      <alignment vertical="top"/>
    </xf>
    <xf numFmtId="2" fontId="4" fillId="0" borderId="10" xfId="0" applyNumberFormat="1" applyFont="1" applyFill="1" applyBorder="1" applyAlignment="1">
      <alignment horizontal="right"/>
    </xf>
    <xf numFmtId="2" fontId="4" fillId="0" borderId="0" xfId="0" applyNumberFormat="1" applyFont="1" applyFill="1" applyAlignment="1">
      <alignment horizontal="right"/>
    </xf>
    <xf numFmtId="0" fontId="3" fillId="0" borderId="10" xfId="0" applyNumberFormat="1" applyFont="1" applyFill="1" applyBorder="1" applyAlignment="1">
      <alignment horizontal="center" vertical="top"/>
    </xf>
    <xf numFmtId="0" fontId="4" fillId="24" borderId="10" xfId="0" applyNumberFormat="1" applyFont="1" applyFill="1" applyBorder="1" applyAlignment="1">
      <alignment horizontal="left" vertical="top" wrapText="1"/>
    </xf>
    <xf numFmtId="0" fontId="4" fillId="0" borderId="11" xfId="0" applyNumberFormat="1" applyFont="1" applyFill="1" applyBorder="1" applyAlignment="1">
      <alignment horizontal="left" vertical="top" wrapText="1"/>
    </xf>
    <xf numFmtId="0" fontId="4" fillId="18" borderId="10" xfId="0" applyNumberFormat="1" applyFont="1" applyFill="1" applyBorder="1" applyAlignment="1">
      <alignment horizontal="left" vertical="top" wrapText="1"/>
    </xf>
    <xf numFmtId="2" fontId="4" fillId="21" borderId="10" xfId="0" applyNumberFormat="1" applyFont="1" applyFill="1" applyBorder="1" applyAlignment="1">
      <alignment horizontal="left" vertical="top" wrapText="1"/>
    </xf>
    <xf numFmtId="0" fontId="4" fillId="21" borderId="10" xfId="0" applyNumberFormat="1" applyFont="1" applyFill="1" applyBorder="1" applyAlignment="1">
      <alignment horizontal="left" vertical="top" wrapText="1"/>
    </xf>
    <xf numFmtId="179" fontId="0" fillId="22" borderId="10" xfId="0" applyFill="1" applyBorder="1" applyAlignment="1">
      <alignment vertical="top"/>
    </xf>
    <xf numFmtId="179" fontId="16" fillId="0" borderId="25" xfId="0" applyFont="1" applyFill="1" applyBorder="1" applyAlignment="1">
      <alignment vertical="top"/>
    </xf>
    <xf numFmtId="179" fontId="16" fillId="0" borderId="0" xfId="0" applyFont="1" applyFill="1" applyBorder="1" applyAlignment="1">
      <alignment vertical="top" wrapText="1"/>
    </xf>
    <xf numFmtId="179" fontId="49" fillId="0" borderId="0" xfId="0" applyFont="1" applyAlignment="1"/>
    <xf numFmtId="179" fontId="4" fillId="0" borderId="0" xfId="0" applyFont="1" applyAlignment="1">
      <alignment horizontal="left" vertical="top"/>
    </xf>
    <xf numFmtId="179" fontId="3" fillId="0" borderId="25" xfId="0" applyFont="1" applyFill="1" applyBorder="1"/>
    <xf numFmtId="179" fontId="3" fillId="0" borderId="0" xfId="0" applyFont="1" applyFill="1" applyBorder="1" applyAlignment="1">
      <alignment horizontal="center" vertical="top"/>
    </xf>
    <xf numFmtId="179" fontId="3" fillId="0" borderId="23" xfId="0" applyFont="1" applyFill="1" applyBorder="1" applyAlignment="1">
      <alignment horizontal="center" vertical="top"/>
    </xf>
    <xf numFmtId="179" fontId="3" fillId="0" borderId="25" xfId="0" applyFont="1" applyFill="1" applyBorder="1" applyAlignment="1">
      <alignment horizontal="center" vertical="top"/>
    </xf>
    <xf numFmtId="179" fontId="3" fillId="0" borderId="25" xfId="0" applyFont="1" applyFill="1" applyBorder="1" applyAlignment="1">
      <alignment horizontal="center" vertical="top" wrapText="1"/>
    </xf>
    <xf numFmtId="179" fontId="3" fillId="0" borderId="0" xfId="0" applyFont="1" applyFill="1" applyBorder="1" applyAlignment="1">
      <alignment horizontal="center" vertical="top" wrapText="1"/>
    </xf>
    <xf numFmtId="0" fontId="4" fillId="24" borderId="10" xfId="0" applyNumberFormat="1" applyFont="1" applyFill="1" applyBorder="1" applyAlignment="1">
      <alignment horizontal="center" vertical="top" wrapText="1"/>
    </xf>
    <xf numFmtId="2" fontId="4" fillId="24" borderId="10" xfId="0" applyNumberFormat="1" applyFont="1" applyFill="1" applyBorder="1" applyAlignment="1">
      <alignment vertical="top" wrapText="1"/>
    </xf>
    <xf numFmtId="0" fontId="4" fillId="24" borderId="10" xfId="0" quotePrefix="1" applyNumberFormat="1" applyFont="1" applyFill="1" applyBorder="1" applyAlignment="1">
      <alignment horizontal="left" vertical="top" wrapText="1"/>
    </xf>
    <xf numFmtId="179" fontId="3" fillId="24" borderId="10" xfId="0" applyFont="1" applyFill="1" applyBorder="1" applyAlignment="1">
      <alignment vertical="top" wrapText="1"/>
    </xf>
    <xf numFmtId="179" fontId="4" fillId="24" borderId="24" xfId="0" applyFont="1" applyFill="1" applyBorder="1" applyAlignment="1">
      <alignment horizontal="right" vertical="top"/>
    </xf>
    <xf numFmtId="0" fontId="4" fillId="24" borderId="10" xfId="0" applyNumberFormat="1" applyFont="1" applyFill="1" applyBorder="1" applyAlignment="1">
      <alignment horizontal="center"/>
    </xf>
    <xf numFmtId="0" fontId="4" fillId="24" borderId="10" xfId="0" applyNumberFormat="1" applyFont="1" applyFill="1" applyBorder="1" applyAlignment="1">
      <alignment horizontal="center" vertical="top"/>
    </xf>
    <xf numFmtId="180" fontId="4" fillId="24" borderId="0" xfId="0" applyNumberFormat="1" applyFont="1" applyFill="1" applyBorder="1" applyAlignment="1">
      <alignment horizontal="right" vertical="top" wrapText="1"/>
    </xf>
    <xf numFmtId="179" fontId="67" fillId="24" borderId="10" xfId="0" applyFont="1" applyFill="1" applyBorder="1" applyAlignment="1">
      <alignment vertical="top" wrapText="1"/>
    </xf>
    <xf numFmtId="0" fontId="4" fillId="24" borderId="24" xfId="0" applyNumberFormat="1" applyFont="1" applyFill="1" applyBorder="1"/>
    <xf numFmtId="206" fontId="4" fillId="0" borderId="14" xfId="0" applyNumberFormat="1" applyFont="1" applyFill="1" applyBorder="1" applyAlignment="1">
      <alignment horizontal="right" vertical="top"/>
    </xf>
    <xf numFmtId="180" fontId="4" fillId="21" borderId="10" xfId="0" applyNumberFormat="1" applyFont="1" applyFill="1" applyBorder="1" applyAlignment="1">
      <alignment vertical="top"/>
    </xf>
    <xf numFmtId="179" fontId="4" fillId="0" borderId="10" xfId="0" applyFont="1" applyFill="1" applyBorder="1" applyAlignment="1">
      <alignment horizontal="center" vertical="top" wrapText="1"/>
    </xf>
    <xf numFmtId="180" fontId="4" fillId="21" borderId="21" xfId="0" applyNumberFormat="1" applyFont="1" applyFill="1" applyBorder="1" applyAlignment="1">
      <alignment vertical="top"/>
    </xf>
    <xf numFmtId="180" fontId="4" fillId="0" borderId="10" xfId="0" applyNumberFormat="1" applyFont="1" applyFill="1" applyBorder="1" applyAlignment="1">
      <alignment vertical="center"/>
    </xf>
    <xf numFmtId="1" fontId="67" fillId="0" borderId="10" xfId="0" applyNumberFormat="1" applyFont="1" applyFill="1" applyBorder="1" applyAlignment="1">
      <alignment horizontal="right" vertical="center"/>
    </xf>
    <xf numFmtId="1" fontId="67" fillId="0" borderId="10" xfId="0" applyNumberFormat="1" applyFont="1" applyFill="1" applyBorder="1" applyAlignment="1">
      <alignment horizontal="right" vertical="top"/>
    </xf>
    <xf numFmtId="179" fontId="67" fillId="22" borderId="10" xfId="0" applyFont="1" applyFill="1" applyBorder="1" applyAlignment="1">
      <alignment horizontal="justify" vertical="center" wrapText="1"/>
    </xf>
    <xf numFmtId="179" fontId="67" fillId="22" borderId="10" xfId="0" applyFont="1" applyFill="1" applyBorder="1" applyAlignment="1">
      <alignment horizontal="center" vertical="top"/>
    </xf>
    <xf numFmtId="180" fontId="4" fillId="22" borderId="10" xfId="0" applyNumberFormat="1" applyFont="1" applyFill="1" applyBorder="1" applyAlignment="1">
      <alignment horizontal="right" vertical="top"/>
    </xf>
    <xf numFmtId="179" fontId="4" fillId="22" borderId="10" xfId="0" applyFont="1" applyFill="1" applyBorder="1" applyAlignment="1">
      <alignment horizontal="right" vertical="top"/>
    </xf>
    <xf numFmtId="179" fontId="4" fillId="22" borderId="10" xfId="0" applyFont="1" applyFill="1" applyBorder="1" applyAlignment="1">
      <alignment horizontal="center" vertical="top"/>
    </xf>
    <xf numFmtId="179" fontId="67" fillId="22" borderId="10" xfId="0" applyFont="1" applyFill="1" applyBorder="1" applyAlignment="1">
      <alignment horizontal="justify" vertical="top" wrapText="1"/>
    </xf>
    <xf numFmtId="179" fontId="3" fillId="22" borderId="10" xfId="0" applyFont="1" applyFill="1" applyBorder="1" applyAlignment="1">
      <alignment vertical="top" wrapText="1"/>
    </xf>
    <xf numFmtId="49" fontId="70" fillId="24" borderId="10" xfId="0" applyNumberFormat="1" applyFont="1" applyFill="1" applyBorder="1" applyAlignment="1">
      <alignment vertical="top" wrapText="1"/>
    </xf>
    <xf numFmtId="0" fontId="4" fillId="24" borderId="0" xfId="0" applyNumberFormat="1" applyFont="1" applyFill="1" applyBorder="1" applyAlignment="1">
      <alignment vertical="top" wrapText="1"/>
    </xf>
    <xf numFmtId="1" fontId="4" fillId="0" borderId="10" xfId="0" applyNumberFormat="1" applyFont="1" applyFill="1" applyBorder="1" applyAlignment="1">
      <alignment vertical="top" wrapText="1"/>
    </xf>
    <xf numFmtId="0" fontId="0" fillId="24" borderId="24" xfId="0" applyNumberFormat="1" applyFill="1" applyBorder="1" applyAlignment="1">
      <alignment vertical="top"/>
    </xf>
    <xf numFmtId="180" fontId="4" fillId="0" borderId="24" xfId="0" applyNumberFormat="1" applyFont="1" applyBorder="1" applyAlignment="1">
      <alignment horizontal="right" vertical="top"/>
    </xf>
    <xf numFmtId="179" fontId="4" fillId="0" borderId="10" xfId="0" quotePrefix="1" applyFont="1" applyFill="1" applyBorder="1" applyAlignment="1">
      <alignment vertical="top" wrapText="1"/>
    </xf>
    <xf numFmtId="171" fontId="4" fillId="0" borderId="10" xfId="28" applyFont="1" applyBorder="1" applyAlignment="1">
      <alignment vertical="top"/>
    </xf>
    <xf numFmtId="180" fontId="3" fillId="0" borderId="0" xfId="0" applyNumberFormat="1" applyFont="1" applyBorder="1" applyAlignment="1">
      <alignment vertical="top"/>
    </xf>
    <xf numFmtId="0" fontId="1" fillId="0" borderId="10" xfId="42" applyFont="1" applyBorder="1" applyAlignment="1">
      <alignment horizontal="center" vertical="top"/>
    </xf>
    <xf numFmtId="2" fontId="1" fillId="0" borderId="10" xfId="42" applyNumberFormat="1" applyFont="1" applyFill="1" applyBorder="1" applyAlignment="1">
      <alignment horizontal="center" vertical="top"/>
    </xf>
    <xf numFmtId="179" fontId="4" fillId="0" borderId="0" xfId="48" applyFont="1" applyBorder="1" applyAlignment="1">
      <alignment vertical="center"/>
    </xf>
    <xf numFmtId="179" fontId="4" fillId="0" borderId="0" xfId="48" applyNumberFormat="1" applyFont="1" applyBorder="1" applyAlignment="1" applyProtection="1">
      <alignment vertical="center"/>
    </xf>
    <xf numFmtId="179" fontId="3" fillId="0" borderId="0" xfId="48" applyNumberFormat="1" applyFont="1" applyBorder="1" applyAlignment="1" applyProtection="1">
      <alignment vertical="center"/>
    </xf>
    <xf numFmtId="179" fontId="4" fillId="0" borderId="0" xfId="48" applyFont="1" applyFill="1" applyBorder="1" applyAlignment="1">
      <alignment vertical="center"/>
    </xf>
    <xf numFmtId="179" fontId="4" fillId="0" borderId="0" xfId="48" applyNumberFormat="1" applyFont="1" applyFill="1" applyBorder="1" applyAlignment="1" applyProtection="1">
      <alignment horizontal="center" vertical="center"/>
    </xf>
    <xf numFmtId="179" fontId="3" fillId="0" borderId="0" xfId="48" applyFont="1" applyBorder="1" applyAlignment="1">
      <alignment vertical="center"/>
    </xf>
    <xf numFmtId="179" fontId="3" fillId="0" borderId="0" xfId="48" applyNumberFormat="1" applyFont="1" applyProtection="1"/>
    <xf numFmtId="179" fontId="3" fillId="0" borderId="0" xfId="48" applyNumberFormat="1" applyFont="1" applyFill="1" applyBorder="1" applyAlignment="1" applyProtection="1">
      <alignment vertical="center"/>
    </xf>
    <xf numFmtId="179" fontId="4" fillId="0" borderId="0" xfId="48" applyNumberFormat="1" applyFont="1" applyFill="1" applyBorder="1" applyAlignment="1" applyProtection="1">
      <alignment vertical="center"/>
    </xf>
    <xf numFmtId="179" fontId="4" fillId="0" borderId="0" xfId="48" applyFont="1" applyBorder="1" applyAlignment="1">
      <alignment vertical="top"/>
    </xf>
    <xf numFmtId="179" fontId="4" fillId="0" borderId="0" xfId="48" applyNumberFormat="1" applyFont="1" applyBorder="1" applyAlignment="1" applyProtection="1">
      <alignment vertical="top"/>
    </xf>
    <xf numFmtId="179" fontId="3" fillId="0" borderId="0" xfId="48" applyNumberFormat="1" applyFont="1" applyFill="1" applyBorder="1" applyAlignment="1" applyProtection="1">
      <alignment vertical="top"/>
    </xf>
    <xf numFmtId="179" fontId="3" fillId="0" borderId="0" xfId="48" applyNumberFormat="1" applyFont="1" applyBorder="1" applyAlignment="1" applyProtection="1">
      <alignment vertical="top"/>
    </xf>
    <xf numFmtId="179" fontId="42" fillId="0" borderId="0" xfId="48" applyNumberFormat="1" applyFont="1" applyBorder="1" applyAlignment="1" applyProtection="1">
      <alignment vertical="top"/>
      <protection locked="0"/>
    </xf>
    <xf numFmtId="179" fontId="4" fillId="0" borderId="0" xfId="48" applyNumberFormat="1" applyFont="1" applyAlignment="1" applyProtection="1">
      <alignment horizontal="right" vertical="top"/>
    </xf>
    <xf numFmtId="179" fontId="4" fillId="0" borderId="0" xfId="48" applyNumberFormat="1" applyFont="1" applyFill="1" applyAlignment="1" applyProtection="1">
      <alignment horizontal="center" vertical="top"/>
    </xf>
    <xf numFmtId="0" fontId="4" fillId="22" borderId="10" xfId="48" applyNumberFormat="1" applyFont="1" applyFill="1" applyBorder="1" applyAlignment="1">
      <alignment vertical="top" wrapText="1"/>
    </xf>
    <xf numFmtId="179" fontId="4" fillId="0" borderId="0" xfId="48" applyFont="1" applyFill="1" applyBorder="1" applyAlignment="1">
      <alignment vertical="top"/>
    </xf>
    <xf numFmtId="179" fontId="3" fillId="0" borderId="0" xfId="48" applyFont="1" applyBorder="1" applyAlignment="1">
      <alignment vertical="top"/>
    </xf>
    <xf numFmtId="179" fontId="4" fillId="0" borderId="0" xfId="48" applyNumberFormat="1" applyFont="1" applyAlignment="1" applyProtection="1">
      <alignment horizontal="fill"/>
    </xf>
    <xf numFmtId="179" fontId="5" fillId="0" borderId="0" xfId="48" applyFont="1" applyFill="1" applyBorder="1" applyAlignment="1">
      <alignment vertical="center"/>
    </xf>
    <xf numFmtId="179" fontId="42" fillId="0" borderId="0" xfId="48" applyNumberFormat="1" applyFont="1" applyBorder="1" applyAlignment="1" applyProtection="1">
      <alignment vertical="center"/>
      <protection locked="0"/>
    </xf>
    <xf numFmtId="179" fontId="4" fillId="0" borderId="0" xfId="48" applyNumberFormat="1" applyFont="1" applyProtection="1"/>
    <xf numFmtId="179" fontId="4" fillId="0" borderId="0" xfId="48" applyBorder="1" applyAlignment="1">
      <alignment vertical="center"/>
    </xf>
    <xf numFmtId="179" fontId="4" fillId="0" borderId="10" xfId="48" applyNumberFormat="1" applyFont="1" applyBorder="1" applyAlignment="1" applyProtection="1">
      <alignment horizontal="right"/>
    </xf>
    <xf numFmtId="179" fontId="4" fillId="0" borderId="10" xfId="48" applyNumberFormat="1" applyFont="1" applyBorder="1" applyProtection="1"/>
    <xf numFmtId="185" fontId="4" fillId="0" borderId="0" xfId="48" applyNumberFormat="1" applyFont="1" applyBorder="1" applyAlignment="1">
      <alignment vertical="center"/>
    </xf>
    <xf numFmtId="184" fontId="4" fillId="0" borderId="0" xfId="48" applyNumberFormat="1" applyFont="1" applyBorder="1" applyAlignment="1" applyProtection="1">
      <alignment vertical="center"/>
    </xf>
    <xf numFmtId="179" fontId="4" fillId="0" borderId="10" xfId="48" applyFont="1" applyBorder="1"/>
    <xf numFmtId="179" fontId="4" fillId="0" borderId="33" xfId="48" applyFont="1" applyBorder="1" applyAlignment="1">
      <alignment vertical="center"/>
    </xf>
    <xf numFmtId="179" fontId="4" fillId="0" borderId="22" xfId="48" applyNumberFormat="1" applyFont="1" applyBorder="1" applyAlignment="1" applyProtection="1">
      <alignment vertical="center"/>
    </xf>
    <xf numFmtId="179" fontId="4" fillId="0" borderId="22" xfId="48" applyNumberFormat="1" applyFont="1" applyFill="1" applyBorder="1" applyAlignment="1" applyProtection="1">
      <alignment vertical="center"/>
    </xf>
    <xf numFmtId="179" fontId="4" fillId="0" borderId="22" xfId="48" applyBorder="1" applyAlignment="1">
      <alignment vertical="center"/>
    </xf>
    <xf numFmtId="179" fontId="4" fillId="0" borderId="22" xfId="48" applyFont="1" applyBorder="1" applyAlignment="1">
      <alignment vertical="center"/>
    </xf>
    <xf numFmtId="179" fontId="4" fillId="0" borderId="20" xfId="48" applyFont="1" applyBorder="1" applyAlignment="1">
      <alignment horizontal="center" vertical="center"/>
    </xf>
    <xf numFmtId="179" fontId="4" fillId="0" borderId="20" xfId="48" applyNumberFormat="1" applyFont="1" applyBorder="1" applyAlignment="1" applyProtection="1">
      <alignment horizontal="center" vertical="center"/>
    </xf>
    <xf numFmtId="179" fontId="4" fillId="0" borderId="0" xfId="48" applyNumberFormat="1" applyFont="1" applyBorder="1" applyAlignment="1" applyProtection="1">
      <alignment horizontal="center" vertical="center"/>
    </xf>
    <xf numFmtId="0" fontId="4" fillId="22" borderId="10" xfId="48" applyNumberFormat="1" applyFont="1" applyFill="1" applyBorder="1" applyAlignment="1">
      <alignment horizontal="left" vertical="center" wrapText="1"/>
    </xf>
    <xf numFmtId="179" fontId="4" fillId="22" borderId="14" xfId="48" applyFont="1" applyFill="1" applyBorder="1" applyAlignment="1">
      <alignment horizontal="center" vertical="center"/>
    </xf>
    <xf numFmtId="179" fontId="4" fillId="22" borderId="10" xfId="48" applyNumberFormat="1" applyFont="1" applyFill="1" applyBorder="1" applyAlignment="1" applyProtection="1">
      <alignment horizontal="center" vertical="center"/>
    </xf>
    <xf numFmtId="179" fontId="4" fillId="0" borderId="10" xfId="48" applyNumberFormat="1" applyFont="1" applyBorder="1" applyAlignment="1" applyProtection="1">
      <alignment horizontal="center" vertical="center"/>
    </xf>
    <xf numFmtId="179" fontId="4" fillId="0" borderId="10" xfId="48" applyNumberFormat="1" applyFont="1" applyFill="1" applyBorder="1" applyAlignment="1" applyProtection="1">
      <alignment horizontal="center" vertical="center"/>
    </xf>
    <xf numFmtId="179" fontId="4" fillId="0" borderId="10" xfId="48" quotePrefix="1" applyNumberFormat="1" applyFont="1" applyFill="1" applyBorder="1" applyAlignment="1" applyProtection="1">
      <alignment horizontal="center" vertical="center"/>
    </xf>
    <xf numFmtId="179" fontId="4" fillId="0" borderId="10" xfId="48" applyBorder="1" applyAlignment="1">
      <alignment horizontal="center" vertical="center"/>
    </xf>
    <xf numFmtId="179" fontId="4" fillId="0" borderId="10" xfId="48" applyFont="1" applyBorder="1" applyAlignment="1">
      <alignment horizontal="center" vertical="center"/>
    </xf>
    <xf numFmtId="179" fontId="3" fillId="0" borderId="10" xfId="48" applyFont="1" applyBorder="1" applyAlignment="1">
      <alignment horizontal="center" vertical="center"/>
    </xf>
    <xf numFmtId="10" fontId="4" fillId="0" borderId="20" xfId="48" applyNumberFormat="1" applyFont="1" applyBorder="1" applyAlignment="1">
      <alignment horizontal="center" vertical="center"/>
    </xf>
    <xf numFmtId="4" fontId="4" fillId="22" borderId="10" xfId="48" applyNumberFormat="1" applyFont="1" applyFill="1" applyBorder="1" applyAlignment="1">
      <alignment horizontal="left"/>
    </xf>
    <xf numFmtId="179" fontId="3" fillId="0" borderId="20" xfId="48" applyFont="1" applyBorder="1" applyAlignment="1">
      <alignment vertical="center"/>
    </xf>
    <xf numFmtId="179" fontId="4" fillId="0" borderId="20" xfId="48" applyNumberFormat="1" applyFont="1" applyBorder="1" applyAlignment="1" applyProtection="1">
      <alignment vertical="center"/>
    </xf>
    <xf numFmtId="190" fontId="3" fillId="0" borderId="20" xfId="48" applyNumberFormat="1" applyFont="1" applyBorder="1" applyAlignment="1">
      <alignment horizontal="right" vertical="center"/>
    </xf>
    <xf numFmtId="2" fontId="3" fillId="0" borderId="20" xfId="48" applyNumberFormat="1" applyFont="1" applyBorder="1" applyAlignment="1">
      <alignment horizontal="left" vertical="top" wrapText="1"/>
    </xf>
    <xf numFmtId="179" fontId="4" fillId="0" borderId="20" xfId="48" applyFont="1" applyBorder="1" applyAlignment="1">
      <alignment vertical="center"/>
    </xf>
    <xf numFmtId="185" fontId="4" fillId="0" borderId="20" xfId="48" applyNumberFormat="1" applyFont="1" applyBorder="1" applyAlignment="1">
      <alignment vertical="center"/>
    </xf>
    <xf numFmtId="181" fontId="4" fillId="0" borderId="20" xfId="48" applyNumberFormat="1" applyFont="1" applyBorder="1" applyAlignment="1">
      <alignment vertical="center"/>
    </xf>
    <xf numFmtId="9" fontId="4" fillId="0" borderId="20" xfId="48" applyNumberFormat="1" applyFont="1" applyBorder="1" applyAlignment="1">
      <alignment vertical="center"/>
    </xf>
    <xf numFmtId="4" fontId="4" fillId="0" borderId="10" xfId="48" applyNumberFormat="1" applyFont="1" applyBorder="1" applyAlignment="1">
      <alignment horizontal="left"/>
    </xf>
    <xf numFmtId="179" fontId="4" fillId="0" borderId="14" xfId="48" applyFont="1" applyBorder="1" applyAlignment="1">
      <alignment vertical="center"/>
    </xf>
    <xf numFmtId="179" fontId="4" fillId="0" borderId="10" xfId="48" applyNumberFormat="1" applyFont="1" applyBorder="1" applyAlignment="1" applyProtection="1">
      <alignment vertical="center"/>
    </xf>
    <xf numFmtId="181" fontId="4" fillId="0" borderId="10" xfId="48" applyNumberFormat="1" applyFont="1" applyFill="1" applyBorder="1" applyAlignment="1" applyProtection="1">
      <alignment vertical="top"/>
    </xf>
    <xf numFmtId="179" fontId="4" fillId="0" borderId="10" xfId="48" applyNumberFormat="1" applyFont="1" applyFill="1" applyBorder="1" applyAlignment="1" applyProtection="1">
      <alignment horizontal="center" vertical="top"/>
    </xf>
    <xf numFmtId="179" fontId="4" fillId="0" borderId="10" xfId="48" applyNumberFormat="1" applyFont="1" applyFill="1" applyBorder="1" applyAlignment="1" applyProtection="1">
      <alignment vertical="center"/>
    </xf>
    <xf numFmtId="179" fontId="4" fillId="0" borderId="10" xfId="48" applyBorder="1" applyAlignment="1">
      <alignment vertical="center"/>
    </xf>
    <xf numFmtId="179" fontId="4" fillId="0" borderId="10" xfId="48" applyFont="1" applyBorder="1" applyAlignment="1">
      <alignment vertical="center"/>
    </xf>
    <xf numFmtId="179" fontId="3" fillId="0" borderId="10" xfId="48" applyFont="1" applyBorder="1" applyAlignment="1">
      <alignment vertical="center"/>
    </xf>
    <xf numFmtId="179" fontId="3" fillId="0" borderId="20" xfId="48" quotePrefix="1" applyFont="1" applyBorder="1" applyAlignment="1">
      <alignment vertical="center"/>
    </xf>
    <xf numFmtId="191" fontId="3" fillId="0" borderId="20" xfId="48" applyNumberFormat="1" applyFont="1" applyBorder="1" applyAlignment="1">
      <alignment vertical="center"/>
    </xf>
    <xf numFmtId="182" fontId="4" fillId="0" borderId="10" xfId="48" applyNumberFormat="1" applyFont="1" applyBorder="1" applyAlignment="1">
      <alignment vertical="center"/>
    </xf>
    <xf numFmtId="179" fontId="3" fillId="0" borderId="13" xfId="48" applyFont="1" applyBorder="1" applyAlignment="1">
      <alignment vertical="center"/>
    </xf>
    <xf numFmtId="179" fontId="3" fillId="0" borderId="13" xfId="48" applyFont="1" applyBorder="1" applyAlignment="1">
      <alignment horizontal="center" vertical="center"/>
    </xf>
    <xf numFmtId="179" fontId="3" fillId="0" borderId="14" xfId="48" applyFont="1" applyBorder="1" applyAlignment="1">
      <alignment horizontal="center" vertical="center"/>
    </xf>
    <xf numFmtId="179" fontId="3" fillId="0" borderId="22" xfId="48" applyFont="1" applyBorder="1" applyAlignment="1">
      <alignment vertical="center"/>
    </xf>
    <xf numFmtId="179" fontId="4" fillId="0" borderId="41" xfId="48" applyNumberFormat="1" applyFont="1" applyBorder="1" applyAlignment="1" applyProtection="1">
      <alignment vertical="center"/>
    </xf>
    <xf numFmtId="179" fontId="3" fillId="0" borderId="0" xfId="48" applyFont="1" applyBorder="1" applyAlignment="1">
      <alignment horizontal="center" vertical="center"/>
    </xf>
    <xf numFmtId="179" fontId="14" fillId="0" borderId="0" xfId="48" applyFont="1" applyBorder="1" applyAlignment="1">
      <alignment vertical="center" wrapText="1"/>
    </xf>
    <xf numFmtId="179" fontId="3" fillId="0" borderId="25" xfId="48" applyFont="1" applyBorder="1" applyAlignment="1">
      <alignment vertical="center"/>
    </xf>
    <xf numFmtId="179" fontId="3" fillId="0" borderId="34" xfId="48" applyFont="1" applyBorder="1" applyAlignment="1">
      <alignment vertical="center"/>
    </xf>
    <xf numFmtId="179" fontId="4" fillId="0" borderId="11" xfId="48" applyNumberFormat="1" applyFont="1" applyBorder="1" applyAlignment="1" applyProtection="1">
      <alignment vertical="center"/>
    </xf>
    <xf numFmtId="179" fontId="3" fillId="0" borderId="13" xfId="48" applyFont="1" applyBorder="1" applyAlignment="1">
      <alignment vertical="top" wrapText="1"/>
    </xf>
    <xf numFmtId="179" fontId="3" fillId="0" borderId="11" xfId="48" applyFont="1" applyBorder="1" applyAlignment="1">
      <alignment vertical="center"/>
    </xf>
    <xf numFmtId="179" fontId="3" fillId="0" borderId="14" xfId="48" applyFont="1" applyBorder="1" applyAlignment="1">
      <alignment vertical="center"/>
    </xf>
    <xf numFmtId="9" fontId="4" fillId="0" borderId="10" xfId="48" applyNumberFormat="1" applyFont="1" applyBorder="1" applyAlignment="1" applyProtection="1">
      <alignment vertical="center"/>
    </xf>
    <xf numFmtId="4" fontId="4" fillId="0" borderId="10" xfId="48" applyNumberFormat="1" applyFont="1" applyFill="1" applyBorder="1" applyAlignment="1">
      <alignment horizontal="left"/>
    </xf>
    <xf numFmtId="179" fontId="4" fillId="0" borderId="13" xfId="48" quotePrefix="1" applyFont="1" applyBorder="1" applyAlignment="1">
      <alignment vertical="center"/>
    </xf>
    <xf numFmtId="180" fontId="8" fillId="0" borderId="0" xfId="48" applyNumberFormat="1" applyFont="1" applyFill="1" applyBorder="1" applyAlignment="1" applyProtection="1">
      <alignment vertical="center"/>
    </xf>
    <xf numFmtId="179" fontId="3" fillId="0" borderId="0" xfId="48" applyFont="1" applyFill="1" applyBorder="1" applyAlignment="1">
      <alignment vertical="top" wrapText="1"/>
    </xf>
    <xf numFmtId="190" fontId="9" fillId="0" borderId="0" xfId="48" applyNumberFormat="1" applyFont="1" applyFill="1" applyBorder="1" applyAlignment="1">
      <alignment vertical="center"/>
    </xf>
    <xf numFmtId="179" fontId="43" fillId="0" borderId="0" xfId="48" applyNumberFormat="1" applyFont="1" applyFill="1" applyBorder="1" applyAlignment="1" applyProtection="1">
      <alignment vertical="center"/>
    </xf>
    <xf numFmtId="179" fontId="43" fillId="0" borderId="0" xfId="48" applyFont="1" applyFill="1" applyBorder="1" applyAlignment="1">
      <alignment vertical="center"/>
    </xf>
    <xf numFmtId="179" fontId="43" fillId="0" borderId="25" xfId="48" applyNumberFormat="1" applyFont="1" applyFill="1" applyBorder="1" applyAlignment="1" applyProtection="1">
      <alignment vertical="center"/>
    </xf>
    <xf numFmtId="179" fontId="43" fillId="0" borderId="34" xfId="48" applyNumberFormat="1" applyFont="1" applyFill="1" applyBorder="1" applyAlignment="1" applyProtection="1">
      <alignment vertical="center"/>
    </xf>
    <xf numFmtId="179" fontId="4" fillId="0" borderId="42" xfId="48" applyNumberFormat="1" applyFont="1" applyFill="1" applyBorder="1" applyAlignment="1" applyProtection="1">
      <alignment vertical="center"/>
    </xf>
    <xf numFmtId="179" fontId="4" fillId="0" borderId="21" xfId="48" applyFont="1" applyFill="1" applyBorder="1" applyAlignment="1">
      <alignment vertical="center"/>
    </xf>
    <xf numFmtId="179" fontId="4" fillId="0" borderId="21" xfId="48" applyNumberFormat="1" applyFont="1" applyFill="1" applyBorder="1" applyAlignment="1" applyProtection="1">
      <alignment vertical="center"/>
    </xf>
    <xf numFmtId="179" fontId="4" fillId="0" borderId="24" xfId="48" applyNumberFormat="1" applyFont="1" applyFill="1" applyBorder="1" applyAlignment="1" applyProtection="1">
      <alignment vertical="center"/>
    </xf>
    <xf numFmtId="179" fontId="4" fillId="0" borderId="42" xfId="48" applyFont="1" applyFill="1" applyBorder="1" applyAlignment="1">
      <alignment vertical="center"/>
    </xf>
    <xf numFmtId="180" fontId="4" fillId="0" borderId="13" xfId="48" applyNumberFormat="1" applyFont="1" applyFill="1" applyBorder="1" applyAlignment="1" applyProtection="1">
      <alignment vertical="top"/>
    </xf>
    <xf numFmtId="179" fontId="4" fillId="0" borderId="13" xfId="48" applyFont="1" applyFill="1" applyBorder="1" applyAlignment="1">
      <alignment vertical="top" wrapText="1"/>
    </xf>
    <xf numFmtId="190" fontId="9" fillId="0" borderId="13" xfId="48" applyNumberFormat="1" applyFont="1" applyFill="1" applyBorder="1" applyAlignment="1">
      <alignment vertical="top"/>
    </xf>
    <xf numFmtId="179" fontId="43" fillId="0" borderId="13" xfId="48" applyNumberFormat="1" applyFont="1" applyFill="1" applyBorder="1" applyAlignment="1" applyProtection="1">
      <alignment vertical="top"/>
    </xf>
    <xf numFmtId="179" fontId="43" fillId="0" borderId="13" xfId="48" applyFont="1" applyFill="1" applyBorder="1" applyAlignment="1">
      <alignment vertical="top"/>
    </xf>
    <xf numFmtId="182" fontId="43" fillId="0" borderId="13" xfId="48" applyNumberFormat="1" applyFont="1" applyFill="1" applyBorder="1" applyAlignment="1" applyProtection="1">
      <alignment vertical="top"/>
    </xf>
    <xf numFmtId="179" fontId="43" fillId="0" borderId="11" xfId="48" applyNumberFormat="1" applyFont="1" applyFill="1" applyBorder="1" applyAlignment="1" applyProtection="1">
      <alignment vertical="top"/>
    </xf>
    <xf numFmtId="179" fontId="43" fillId="0" borderId="14" xfId="48" applyNumberFormat="1" applyFont="1" applyFill="1" applyBorder="1" applyAlignment="1" applyProtection="1">
      <alignment vertical="top"/>
    </xf>
    <xf numFmtId="179" fontId="4" fillId="0" borderId="14" xfId="48" applyNumberFormat="1" applyFont="1" applyFill="1" applyBorder="1" applyAlignment="1" applyProtection="1">
      <alignment vertical="top"/>
    </xf>
    <xf numFmtId="179" fontId="4" fillId="0" borderId="10" xfId="48" applyFont="1" applyFill="1" applyBorder="1" applyAlignment="1">
      <alignment vertical="top"/>
    </xf>
    <xf numFmtId="179" fontId="4" fillId="0" borderId="10" xfId="48" applyNumberFormat="1" applyFont="1" applyFill="1" applyBorder="1" applyAlignment="1" applyProtection="1">
      <alignment vertical="top"/>
    </xf>
    <xf numFmtId="179" fontId="4" fillId="0" borderId="22" xfId="48" applyNumberFormat="1" applyFont="1" applyFill="1" applyBorder="1" applyAlignment="1" applyProtection="1">
      <alignment vertical="top"/>
    </xf>
    <xf numFmtId="179" fontId="4" fillId="0" borderId="22" xfId="48" applyFont="1" applyFill="1" applyBorder="1" applyAlignment="1">
      <alignment vertical="top"/>
    </xf>
    <xf numFmtId="179" fontId="43" fillId="22" borderId="13" xfId="48" applyNumberFormat="1" applyFont="1" applyFill="1" applyBorder="1" applyAlignment="1" applyProtection="1">
      <alignment vertical="top"/>
    </xf>
    <xf numFmtId="179" fontId="4" fillId="21" borderId="22" xfId="48" applyNumberFormat="1" applyFont="1" applyFill="1" applyBorder="1" applyAlignment="1" applyProtection="1">
      <alignment vertical="top"/>
    </xf>
    <xf numFmtId="179" fontId="4" fillId="0" borderId="0" xfId="48" applyNumberFormat="1" applyFont="1" applyFill="1" applyBorder="1" applyAlignment="1" applyProtection="1">
      <alignment vertical="top" wrapText="1"/>
    </xf>
    <xf numFmtId="179" fontId="43" fillId="0" borderId="34" xfId="48" applyNumberFormat="1" applyFont="1" applyFill="1" applyBorder="1" applyAlignment="1" applyProtection="1">
      <alignment vertical="top"/>
    </xf>
    <xf numFmtId="180" fontId="4" fillId="0" borderId="13" xfId="48" applyNumberFormat="1" applyFont="1" applyFill="1" applyBorder="1" applyAlignment="1" applyProtection="1">
      <alignment horizontal="center" vertical="top"/>
    </xf>
    <xf numFmtId="179" fontId="3" fillId="0" borderId="13" xfId="48" applyFont="1" applyFill="1" applyBorder="1" applyAlignment="1">
      <alignment vertical="top" wrapText="1"/>
    </xf>
    <xf numFmtId="179" fontId="44" fillId="0" borderId="11" xfId="48" applyNumberFormat="1" applyFont="1" applyFill="1" applyBorder="1" applyAlignment="1" applyProtection="1">
      <alignment vertical="top"/>
    </xf>
    <xf numFmtId="179" fontId="44" fillId="0" borderId="13" xfId="48" applyNumberFormat="1" applyFont="1" applyFill="1" applyBorder="1" applyAlignment="1" applyProtection="1">
      <alignment vertical="top"/>
    </xf>
    <xf numFmtId="179" fontId="44" fillId="0" borderId="14" xfId="48" applyNumberFormat="1" applyFont="1" applyFill="1" applyBorder="1" applyAlignment="1" applyProtection="1">
      <alignment vertical="top"/>
    </xf>
    <xf numFmtId="179" fontId="4" fillId="0" borderId="33" xfId="48" applyNumberFormat="1" applyFont="1" applyFill="1" applyBorder="1" applyAlignment="1" applyProtection="1">
      <alignment vertical="top"/>
    </xf>
    <xf numFmtId="180" fontId="4" fillId="0" borderId="0" xfId="48" applyNumberFormat="1" applyFont="1" applyFill="1" applyBorder="1" applyAlignment="1" applyProtection="1">
      <alignment horizontal="center" vertical="center"/>
    </xf>
    <xf numFmtId="179" fontId="4" fillId="0" borderId="33" xfId="48" applyNumberFormat="1" applyFont="1" applyBorder="1" applyAlignment="1" applyProtection="1">
      <alignment vertical="center"/>
    </xf>
    <xf numFmtId="180" fontId="4" fillId="0" borderId="13" xfId="48" applyNumberFormat="1" applyFont="1" applyFill="1" applyBorder="1" applyAlignment="1" applyProtection="1">
      <alignment horizontal="center" vertical="center"/>
    </xf>
    <xf numFmtId="179" fontId="3" fillId="0" borderId="13" xfId="48" applyNumberFormat="1" applyFont="1" applyFill="1" applyBorder="1" applyAlignment="1" applyProtection="1">
      <alignment vertical="center"/>
    </xf>
    <xf numFmtId="179" fontId="44" fillId="0" borderId="13" xfId="48" applyNumberFormat="1" applyFont="1" applyFill="1" applyBorder="1" applyAlignment="1" applyProtection="1">
      <alignment vertical="center"/>
    </xf>
    <xf numFmtId="179" fontId="44" fillId="0" borderId="11" xfId="48" applyNumberFormat="1" applyFont="1" applyFill="1" applyBorder="1" applyAlignment="1" applyProtection="1">
      <alignment vertical="center"/>
    </xf>
    <xf numFmtId="179" fontId="44" fillId="0" borderId="14" xfId="48" applyNumberFormat="1" applyFont="1" applyFill="1" applyBorder="1" applyAlignment="1" applyProtection="1">
      <alignment vertical="center"/>
    </xf>
    <xf numFmtId="179" fontId="4" fillId="0" borderId="14" xfId="48" applyNumberFormat="1" applyFont="1" applyBorder="1" applyAlignment="1" applyProtection="1">
      <alignment vertical="center"/>
    </xf>
    <xf numFmtId="179" fontId="8" fillId="0" borderId="10" xfId="48" applyNumberFormat="1" applyFont="1" applyBorder="1" applyAlignment="1" applyProtection="1">
      <alignment vertical="center"/>
    </xf>
    <xf numFmtId="179" fontId="43" fillId="21" borderId="0" xfId="48" applyNumberFormat="1" applyFont="1" applyFill="1" applyBorder="1" applyAlignment="1" applyProtection="1">
      <alignment vertical="center"/>
    </xf>
    <xf numFmtId="179" fontId="43" fillId="19" borderId="0" xfId="48" applyNumberFormat="1" applyFont="1" applyFill="1" applyBorder="1" applyAlignment="1" applyProtection="1">
      <alignment vertical="center"/>
    </xf>
    <xf numFmtId="179" fontId="43" fillId="19" borderId="0" xfId="48" applyNumberFormat="1" applyFont="1" applyFill="1" applyBorder="1" applyAlignment="1" applyProtection="1">
      <alignment vertical="top"/>
    </xf>
    <xf numFmtId="179" fontId="5" fillId="0" borderId="10" xfId="48" applyFont="1" applyBorder="1" applyAlignment="1">
      <alignment vertical="center"/>
    </xf>
    <xf numFmtId="179" fontId="43" fillId="0" borderId="13" xfId="48" applyNumberFormat="1" applyFont="1" applyFill="1" applyBorder="1" applyAlignment="1" applyProtection="1">
      <alignment vertical="center"/>
    </xf>
    <xf numFmtId="179" fontId="43" fillId="0" borderId="11" xfId="48" applyNumberFormat="1" applyFont="1" applyFill="1" applyBorder="1" applyAlignment="1" applyProtection="1">
      <alignment vertical="center"/>
    </xf>
    <xf numFmtId="179" fontId="4" fillId="0" borderId="42" xfId="48" applyNumberFormat="1" applyFont="1" applyBorder="1" applyAlignment="1" applyProtection="1">
      <alignment vertical="center"/>
    </xf>
    <xf numFmtId="179" fontId="4" fillId="0" borderId="21" xfId="48" applyNumberFormat="1" applyFont="1" applyBorder="1" applyAlignment="1" applyProtection="1">
      <alignment vertical="center"/>
    </xf>
    <xf numFmtId="179" fontId="4" fillId="0" borderId="21" xfId="48" applyFont="1" applyBorder="1" applyAlignment="1">
      <alignment vertical="center"/>
    </xf>
    <xf numFmtId="180" fontId="4" fillId="0" borderId="0" xfId="48" applyNumberFormat="1" applyFont="1" applyFill="1" applyBorder="1" applyAlignment="1" applyProtection="1">
      <alignment vertical="center"/>
    </xf>
    <xf numFmtId="179" fontId="4" fillId="0" borderId="0" xfId="48" quotePrefix="1" applyNumberFormat="1" applyFont="1" applyBorder="1" applyAlignment="1" applyProtection="1">
      <alignment vertical="center"/>
    </xf>
    <xf numFmtId="10" fontId="4" fillId="0" borderId="0" xfId="48" applyNumberFormat="1" applyFont="1" applyBorder="1" applyAlignment="1" applyProtection="1">
      <alignment vertical="center"/>
    </xf>
    <xf numFmtId="179" fontId="4" fillId="0" borderId="0" xfId="48" applyNumberFormat="1" applyBorder="1" applyAlignment="1" applyProtection="1">
      <alignment vertical="center"/>
    </xf>
    <xf numFmtId="179" fontId="4" fillId="0" borderId="0" xfId="48" quotePrefix="1" applyFont="1" applyBorder="1" applyAlignment="1">
      <alignment vertical="center"/>
    </xf>
    <xf numFmtId="181" fontId="4" fillId="0" borderId="0" xfId="48" applyNumberFormat="1" applyFont="1" applyBorder="1" applyAlignment="1">
      <alignment vertical="center"/>
    </xf>
    <xf numFmtId="9" fontId="4" fillId="0" borderId="0" xfId="48" applyNumberFormat="1" applyFont="1" applyBorder="1" applyAlignment="1">
      <alignment vertical="center"/>
    </xf>
    <xf numFmtId="179" fontId="3" fillId="0" borderId="0" xfId="48" applyFont="1" applyFill="1" applyBorder="1" applyAlignment="1">
      <alignment vertical="center"/>
    </xf>
    <xf numFmtId="179" fontId="4" fillId="0" borderId="0" xfId="48" applyNumberFormat="1" applyFont="1" applyBorder="1" applyAlignment="1">
      <alignment vertical="center"/>
    </xf>
    <xf numFmtId="180" fontId="4" fillId="0" borderId="0" xfId="48" applyNumberFormat="1" applyFont="1" applyBorder="1" applyAlignment="1" applyProtection="1">
      <alignment vertical="center"/>
    </xf>
    <xf numFmtId="179" fontId="4" fillId="0" borderId="0" xfId="48" applyFont="1" applyBorder="1" applyAlignment="1">
      <alignment vertical="center" wrapText="1"/>
    </xf>
    <xf numFmtId="181" fontId="4" fillId="0" borderId="0" xfId="48" applyNumberFormat="1" applyFont="1" applyBorder="1" applyAlignment="1" applyProtection="1">
      <alignment vertical="center"/>
    </xf>
    <xf numFmtId="179" fontId="4" fillId="21" borderId="0" xfId="48" applyNumberFormat="1" applyFont="1" applyFill="1" applyBorder="1" applyAlignment="1" applyProtection="1">
      <alignment vertical="center"/>
    </xf>
    <xf numFmtId="180" fontId="4" fillId="0" borderId="0" xfId="48" applyNumberFormat="1" applyFont="1" applyBorder="1" applyAlignment="1">
      <alignment vertical="center"/>
    </xf>
    <xf numFmtId="179" fontId="4" fillId="0" borderId="0" xfId="48" applyFont="1" applyBorder="1" applyAlignment="1" applyProtection="1">
      <alignment vertical="center"/>
    </xf>
    <xf numFmtId="2" fontId="4" fillId="0" borderId="0" xfId="48" applyNumberFormat="1" applyFont="1" applyBorder="1" applyAlignment="1">
      <alignment vertical="center"/>
    </xf>
    <xf numFmtId="179" fontId="8" fillId="0" borderId="0" xfId="48" applyNumberFormat="1" applyFont="1" applyBorder="1" applyAlignment="1" applyProtection="1">
      <alignment vertical="center"/>
    </xf>
    <xf numFmtId="179" fontId="8" fillId="0" borderId="0" xfId="48" applyFont="1" applyBorder="1" applyAlignment="1">
      <alignment vertical="center"/>
    </xf>
    <xf numFmtId="190" fontId="3" fillId="0" borderId="0" xfId="48" applyNumberFormat="1" applyFont="1" applyBorder="1" applyAlignment="1">
      <alignment horizontal="right" vertical="top"/>
    </xf>
    <xf numFmtId="2" fontId="3" fillId="0" borderId="0" xfId="48" applyNumberFormat="1" applyFont="1" applyBorder="1" applyAlignment="1">
      <alignment horizontal="left" vertical="top" wrapText="1"/>
    </xf>
    <xf numFmtId="179" fontId="4" fillId="0" borderId="0" xfId="48" applyFont="1" applyBorder="1" applyAlignment="1">
      <alignment horizontal="center" vertical="top"/>
    </xf>
    <xf numFmtId="2" fontId="4" fillId="0" borderId="0" xfId="48" applyNumberFormat="1" applyFont="1" applyBorder="1" applyAlignment="1">
      <alignment vertical="top"/>
    </xf>
    <xf numFmtId="192" fontId="3" fillId="0" borderId="0" xfId="48" applyNumberFormat="1" applyFont="1" applyBorder="1" applyAlignment="1">
      <alignment vertical="top"/>
    </xf>
    <xf numFmtId="191" fontId="3" fillId="0" borderId="0" xfId="48" applyNumberFormat="1" applyFont="1" applyBorder="1" applyAlignment="1">
      <alignment vertical="top"/>
    </xf>
    <xf numFmtId="179" fontId="3" fillId="0" borderId="23" xfId="48" applyFont="1" applyBorder="1" applyAlignment="1">
      <alignment horizontal="center" vertical="center"/>
    </xf>
    <xf numFmtId="179" fontId="3" fillId="0" borderId="34" xfId="48" applyFont="1" applyBorder="1" applyAlignment="1">
      <alignment horizontal="center" vertical="center"/>
    </xf>
    <xf numFmtId="179" fontId="3" fillId="0" borderId="22" xfId="48" applyFont="1" applyBorder="1" applyAlignment="1">
      <alignment horizontal="center" vertical="center"/>
    </xf>
    <xf numFmtId="183" fontId="4" fillId="0" borderId="0" xfId="48" applyNumberFormat="1" applyFont="1" applyBorder="1" applyAlignment="1" applyProtection="1">
      <alignment vertical="center"/>
    </xf>
    <xf numFmtId="179" fontId="3" fillId="0" borderId="22" xfId="48" applyFont="1" applyBorder="1" applyAlignment="1">
      <alignment horizontal="center" vertical="center" wrapText="1"/>
    </xf>
    <xf numFmtId="179" fontId="23" fillId="0" borderId="10" xfId="48" applyFont="1" applyBorder="1" applyAlignment="1">
      <alignment horizontal="center" vertical="center"/>
    </xf>
    <xf numFmtId="179" fontId="8" fillId="0" borderId="10" xfId="48" applyFont="1" applyBorder="1" applyAlignment="1">
      <alignment vertical="top" wrapText="1"/>
    </xf>
    <xf numFmtId="179" fontId="23" fillId="0" borderId="13" xfId="48" applyNumberFormat="1" applyFont="1" applyBorder="1" applyAlignment="1">
      <alignment vertical="top"/>
    </xf>
    <xf numFmtId="179" fontId="23" fillId="0" borderId="13" xfId="48" applyNumberFormat="1" applyFont="1" applyFill="1" applyBorder="1" applyAlignment="1">
      <alignment vertical="top"/>
    </xf>
    <xf numFmtId="182" fontId="23" fillId="0" borderId="13" xfId="48" applyNumberFormat="1" applyFont="1" applyBorder="1" applyAlignment="1">
      <alignment vertical="top"/>
    </xf>
    <xf numFmtId="179" fontId="23" fillId="0" borderId="14" xfId="48" applyNumberFormat="1" applyFont="1" applyBorder="1" applyAlignment="1">
      <alignment vertical="top"/>
    </xf>
    <xf numFmtId="183" fontId="4" fillId="0" borderId="0" xfId="48" applyNumberFormat="1" applyFont="1" applyBorder="1" applyAlignment="1" applyProtection="1">
      <alignment vertical="top"/>
    </xf>
    <xf numFmtId="180" fontId="4" fillId="0" borderId="0" xfId="48" applyNumberFormat="1" applyFont="1" applyBorder="1" applyAlignment="1" applyProtection="1">
      <alignment vertical="top"/>
    </xf>
    <xf numFmtId="179" fontId="23" fillId="0" borderId="11" xfId="48" applyNumberFormat="1" applyFont="1" applyBorder="1" applyAlignment="1">
      <alignment vertical="top"/>
    </xf>
    <xf numFmtId="180" fontId="8" fillId="0" borderId="10" xfId="48" applyNumberFormat="1" applyFont="1" applyBorder="1" applyAlignment="1" applyProtection="1">
      <alignment vertical="center"/>
    </xf>
    <xf numFmtId="179" fontId="9" fillId="0" borderId="10" xfId="48" applyFont="1" applyBorder="1" applyAlignment="1">
      <alignment vertical="top" wrapText="1"/>
    </xf>
    <xf numFmtId="179" fontId="15" fillId="0" borderId="13" xfId="48" applyNumberFormat="1" applyFont="1" applyBorder="1" applyAlignment="1">
      <alignment vertical="top"/>
    </xf>
    <xf numFmtId="179" fontId="8" fillId="0" borderId="10" xfId="48" applyFont="1" applyBorder="1" applyAlignment="1">
      <alignment vertical="center"/>
    </xf>
    <xf numFmtId="179" fontId="23" fillId="0" borderId="0" xfId="48" applyNumberFormat="1" applyFont="1" applyBorder="1" applyAlignment="1" applyProtection="1">
      <alignment vertical="center"/>
    </xf>
    <xf numFmtId="179" fontId="23" fillId="0" borderId="34" xfId="48" applyNumberFormat="1" applyFont="1" applyBorder="1" applyAlignment="1" applyProtection="1">
      <alignment vertical="center"/>
    </xf>
    <xf numFmtId="179" fontId="9" fillId="0" borderId="10" xfId="48" applyNumberFormat="1" applyFont="1" applyBorder="1" applyAlignment="1" applyProtection="1">
      <alignment vertical="center"/>
    </xf>
    <xf numFmtId="179" fontId="23" fillId="0" borderId="13" xfId="48" applyNumberFormat="1" applyFont="1" applyBorder="1" applyAlignment="1" applyProtection="1">
      <alignment vertical="center"/>
    </xf>
    <xf numFmtId="179" fontId="15" fillId="0" borderId="13" xfId="48" applyNumberFormat="1" applyFont="1" applyBorder="1" applyAlignment="1" applyProtection="1">
      <alignment vertical="center"/>
    </xf>
    <xf numFmtId="179" fontId="23" fillId="0" borderId="14" xfId="48" applyNumberFormat="1" applyFont="1" applyBorder="1" applyAlignment="1" applyProtection="1">
      <alignment vertical="center"/>
    </xf>
    <xf numFmtId="179" fontId="3" fillId="0" borderId="46" xfId="48" applyFont="1" applyBorder="1" applyAlignment="1">
      <alignment vertical="center" wrapText="1"/>
    </xf>
    <xf numFmtId="180" fontId="3" fillId="0" borderId="0" xfId="48" applyNumberFormat="1" applyFont="1" applyBorder="1" applyAlignment="1" applyProtection="1">
      <alignment vertical="center"/>
    </xf>
    <xf numFmtId="179" fontId="3" fillId="0" borderId="0" xfId="48" applyFont="1" applyBorder="1" applyAlignment="1">
      <alignment horizontal="right" vertical="center"/>
    </xf>
    <xf numFmtId="179" fontId="3" fillId="0" borderId="47" xfId="48" applyFont="1" applyBorder="1" applyAlignment="1">
      <alignment vertical="center"/>
    </xf>
    <xf numFmtId="179" fontId="3" fillId="0" borderId="44" xfId="48" applyFont="1" applyBorder="1" applyAlignment="1">
      <alignment horizontal="center" vertical="center"/>
    </xf>
    <xf numFmtId="179" fontId="3" fillId="0" borderId="48" xfId="48" applyFont="1" applyBorder="1" applyAlignment="1">
      <alignment horizontal="center"/>
    </xf>
    <xf numFmtId="179" fontId="3" fillId="0" borderId="38" xfId="48" applyFont="1" applyBorder="1" applyAlignment="1">
      <alignment horizontal="center"/>
    </xf>
    <xf numFmtId="179" fontId="3" fillId="0" borderId="44" xfId="48" applyFont="1" applyBorder="1" applyAlignment="1">
      <alignment vertical="center"/>
    </xf>
    <xf numFmtId="179" fontId="3" fillId="0" borderId="45" xfId="48" applyFont="1" applyBorder="1" applyAlignment="1">
      <alignment vertical="center"/>
    </xf>
    <xf numFmtId="179" fontId="3" fillId="0" borderId="46" xfId="48" applyFont="1" applyBorder="1" applyAlignment="1">
      <alignment vertical="center"/>
    </xf>
    <xf numFmtId="179" fontId="4" fillId="0" borderId="49" xfId="48" applyFont="1" applyBorder="1" applyAlignment="1">
      <alignment vertical="center"/>
    </xf>
    <xf numFmtId="179" fontId="4" fillId="0" borderId="39" xfId="48" applyFont="1" applyBorder="1" applyAlignment="1">
      <alignment vertical="center"/>
    </xf>
    <xf numFmtId="179" fontId="4" fillId="0" borderId="46" xfId="48" applyFont="1" applyBorder="1" applyAlignment="1">
      <alignment vertical="center"/>
    </xf>
    <xf numFmtId="180" fontId="4" fillId="0" borderId="50" xfId="48" applyNumberFormat="1" applyFont="1" applyBorder="1" applyAlignment="1">
      <alignment vertical="center"/>
    </xf>
    <xf numFmtId="179" fontId="4" fillId="0" borderId="51" xfId="48" applyFont="1" applyBorder="1" applyAlignment="1">
      <alignment vertical="center"/>
    </xf>
    <xf numFmtId="180" fontId="4" fillId="0" borderId="26" xfId="48" applyNumberFormat="1" applyFont="1" applyBorder="1" applyAlignment="1">
      <alignment vertical="center"/>
    </xf>
    <xf numFmtId="179" fontId="4" fillId="0" borderId="27" xfId="48" applyFont="1" applyBorder="1" applyAlignment="1">
      <alignment vertical="center"/>
    </xf>
    <xf numFmtId="180" fontId="3" fillId="0" borderId="26" xfId="48" applyNumberFormat="1" applyFont="1" applyBorder="1" applyAlignment="1">
      <alignment vertical="center"/>
    </xf>
    <xf numFmtId="179" fontId="3" fillId="0" borderId="27" xfId="48" applyFont="1" applyBorder="1" applyAlignment="1">
      <alignment vertical="center"/>
    </xf>
    <xf numFmtId="180" fontId="4" fillId="0" borderId="45" xfId="48" applyNumberFormat="1" applyFont="1" applyBorder="1" applyAlignment="1">
      <alignment vertical="center"/>
    </xf>
    <xf numFmtId="179" fontId="4" fillId="0" borderId="42" xfId="48" applyFont="1" applyBorder="1" applyAlignment="1">
      <alignment vertical="center"/>
    </xf>
    <xf numFmtId="0" fontId="3" fillId="0" borderId="11" xfId="0" applyNumberFormat="1" applyFont="1" applyBorder="1" applyAlignment="1">
      <alignment vertical="top"/>
    </xf>
    <xf numFmtId="0" fontId="4" fillId="0" borderId="14" xfId="0" applyNumberFormat="1" applyFont="1" applyBorder="1" applyAlignment="1">
      <alignment horizontal="center" vertical="top"/>
    </xf>
    <xf numFmtId="180" fontId="0" fillId="0" borderId="0" xfId="0" applyNumberFormat="1" applyBorder="1" applyAlignment="1">
      <alignment vertical="top"/>
    </xf>
    <xf numFmtId="0" fontId="4" fillId="0" borderId="11" xfId="0" applyNumberFormat="1" applyFont="1" applyFill="1" applyBorder="1" applyAlignment="1">
      <alignment vertical="top" wrapText="1"/>
    </xf>
    <xf numFmtId="0" fontId="4" fillId="0" borderId="13" xfId="0" applyNumberFormat="1" applyFont="1" applyFill="1" applyBorder="1" applyAlignment="1">
      <alignment vertical="top" wrapText="1"/>
    </xf>
    <xf numFmtId="0" fontId="4" fillId="0" borderId="14" xfId="0" applyNumberFormat="1" applyFont="1" applyFill="1" applyBorder="1" applyAlignment="1">
      <alignment vertical="top" wrapText="1"/>
    </xf>
    <xf numFmtId="0" fontId="4" fillId="21" borderId="14" xfId="0" applyNumberFormat="1" applyFont="1" applyFill="1" applyBorder="1" applyAlignment="1">
      <alignment vertical="top" wrapText="1"/>
    </xf>
    <xf numFmtId="0" fontId="4" fillId="0" borderId="14" xfId="0" applyNumberFormat="1" applyFont="1" applyBorder="1" applyAlignment="1">
      <alignment vertical="top"/>
    </xf>
    <xf numFmtId="0" fontId="4" fillId="0" borderId="11" xfId="0" applyNumberFormat="1" applyFont="1" applyFill="1" applyBorder="1" applyAlignment="1">
      <alignment vertical="top"/>
    </xf>
    <xf numFmtId="0" fontId="4" fillId="0" borderId="11" xfId="0" applyNumberFormat="1" applyFont="1" applyBorder="1" applyAlignment="1">
      <alignment vertical="top" wrapText="1"/>
    </xf>
    <xf numFmtId="0" fontId="4" fillId="0" borderId="11" xfId="0" applyNumberFormat="1" applyFont="1" applyBorder="1" applyAlignment="1">
      <alignment vertical="top"/>
    </xf>
    <xf numFmtId="1" fontId="4" fillId="0" borderId="0" xfId="0" applyNumberFormat="1" applyFont="1" applyFill="1" applyBorder="1" applyAlignment="1">
      <alignment horizontal="right" vertical="top" wrapText="1"/>
    </xf>
    <xf numFmtId="0" fontId="3" fillId="0" borderId="11" xfId="0" applyNumberFormat="1" applyFont="1" applyBorder="1" applyAlignment="1">
      <alignment vertical="top" wrapText="1"/>
    </xf>
    <xf numFmtId="0" fontId="0" fillId="0" borderId="20" xfId="0" applyNumberFormat="1" applyBorder="1" applyAlignment="1">
      <alignment vertical="top"/>
    </xf>
    <xf numFmtId="0" fontId="4" fillId="0" borderId="0" xfId="0" applyNumberFormat="1" applyFont="1" applyAlignment="1">
      <alignment vertical="top" wrapText="1"/>
    </xf>
    <xf numFmtId="179" fontId="4" fillId="0" borderId="0" xfId="0" applyNumberFormat="1" applyFont="1" applyBorder="1" applyAlignment="1" applyProtection="1">
      <alignment horizontal="center" vertical="top"/>
    </xf>
    <xf numFmtId="179" fontId="4" fillId="0" borderId="0" xfId="0" applyNumberFormat="1" applyFont="1" applyFill="1" applyBorder="1" applyAlignment="1" applyProtection="1">
      <alignment vertical="top"/>
    </xf>
    <xf numFmtId="10" fontId="4" fillId="0" borderId="0" xfId="63" applyNumberFormat="1" applyFont="1" applyFill="1" applyBorder="1" applyAlignment="1" applyProtection="1">
      <alignment vertical="top"/>
    </xf>
    <xf numFmtId="179" fontId="3" fillId="0" borderId="0" xfId="0" applyFont="1" applyAlignment="1">
      <alignment horizontal="right" vertical="top"/>
    </xf>
    <xf numFmtId="180" fontId="4" fillId="0" borderId="0" xfId="0" applyNumberFormat="1" applyFont="1" applyAlignment="1">
      <alignment horizontal="right" vertical="top"/>
    </xf>
    <xf numFmtId="179" fontId="4" fillId="0" borderId="0" xfId="0" applyNumberFormat="1" applyFont="1" applyBorder="1" applyAlignment="1" applyProtection="1">
      <alignment horizontal="fill" vertical="top"/>
    </xf>
    <xf numFmtId="179" fontId="4" fillId="0" borderId="0" xfId="0" applyNumberFormat="1" applyFont="1" applyAlignment="1" applyProtection="1">
      <alignment horizontal="fill" vertical="top"/>
    </xf>
    <xf numFmtId="179" fontId="4" fillId="0" borderId="0" xfId="0" applyNumberFormat="1" applyFont="1" applyAlignment="1" applyProtection="1">
      <alignment horizontal="center" vertical="top"/>
    </xf>
    <xf numFmtId="10" fontId="4" fillId="0" borderId="0" xfId="63" applyNumberFormat="1" applyFont="1" applyFill="1" applyAlignment="1">
      <alignment vertical="top"/>
    </xf>
    <xf numFmtId="180" fontId="4" fillId="0" borderId="0" xfId="0" applyNumberFormat="1" applyFont="1" applyBorder="1" applyAlignment="1">
      <alignment vertical="top"/>
    </xf>
    <xf numFmtId="179" fontId="4" fillId="0" borderId="0" xfId="0" applyFont="1" applyFill="1" applyBorder="1" applyAlignment="1">
      <alignment horizontal="center" vertical="top"/>
    </xf>
    <xf numFmtId="14" fontId="4" fillId="21" borderId="0" xfId="0" applyNumberFormat="1" applyFont="1" applyFill="1" applyBorder="1" applyAlignment="1">
      <alignment horizontal="left" vertical="top"/>
    </xf>
    <xf numFmtId="179" fontId="3" fillId="0" borderId="35" xfId="0" applyFont="1" applyBorder="1" applyAlignment="1">
      <alignment horizontal="left" vertical="top" wrapText="1"/>
    </xf>
    <xf numFmtId="179" fontId="4" fillId="22" borderId="14" xfId="0" applyFont="1" applyFill="1" applyBorder="1" applyAlignment="1">
      <alignment vertical="top" wrapText="1"/>
    </xf>
    <xf numFmtId="179" fontId="75" fillId="0" borderId="10" xfId="0" applyFont="1" applyFill="1" applyBorder="1" applyAlignment="1">
      <alignment horizontal="right" vertical="top"/>
    </xf>
    <xf numFmtId="2" fontId="4" fillId="24" borderId="10" xfId="0" applyNumberFormat="1" applyFont="1" applyFill="1" applyBorder="1" applyAlignment="1">
      <alignment horizontal="right" vertical="top"/>
    </xf>
    <xf numFmtId="179" fontId="75" fillId="0" borderId="10" xfId="0" applyFont="1" applyBorder="1" applyAlignment="1">
      <alignment vertical="top"/>
    </xf>
    <xf numFmtId="1" fontId="4" fillId="0" borderId="10" xfId="0" applyNumberFormat="1" applyFont="1" applyBorder="1" applyAlignment="1">
      <alignment vertical="top"/>
    </xf>
    <xf numFmtId="1" fontId="0" fillId="0" borderId="10" xfId="0" applyNumberFormat="1" applyBorder="1"/>
    <xf numFmtId="181" fontId="4" fillId="0" borderId="10" xfId="48" applyNumberFormat="1" applyFont="1" applyBorder="1" applyAlignment="1" applyProtection="1">
      <alignment vertical="center"/>
    </xf>
    <xf numFmtId="179" fontId="9" fillId="28" borderId="10" xfId="0" applyFont="1" applyFill="1" applyBorder="1" applyAlignment="1" applyProtection="1">
      <alignment horizontal="left" vertical="top"/>
    </xf>
    <xf numFmtId="179" fontId="4" fillId="0" borderId="0" xfId="0" applyFont="1" applyAlignment="1">
      <alignment horizontal="center" vertical="top"/>
    </xf>
    <xf numFmtId="179" fontId="3" fillId="0" borderId="14" xfId="0" applyFont="1" applyBorder="1" applyAlignment="1">
      <alignment horizontal="right" vertical="top"/>
    </xf>
    <xf numFmtId="179" fontId="9" fillId="29" borderId="52" xfId="0" applyFont="1" applyFill="1" applyBorder="1" applyAlignment="1">
      <alignment vertical="top" wrapText="1"/>
    </xf>
    <xf numFmtId="179" fontId="9" fillId="29" borderId="53" xfId="0" applyFont="1" applyFill="1" applyBorder="1" applyAlignment="1">
      <alignment horizontal="center" vertical="top" wrapText="1"/>
    </xf>
    <xf numFmtId="179" fontId="4" fillId="0" borderId="14" xfId="0" applyFont="1" applyBorder="1" applyAlignment="1">
      <alignment horizontal="right" vertical="top"/>
    </xf>
    <xf numFmtId="179" fontId="9" fillId="30" borderId="32" xfId="0" applyFont="1" applyFill="1" applyBorder="1" applyAlignment="1">
      <alignment horizontal="center" vertical="center" wrapText="1"/>
    </xf>
    <xf numFmtId="179" fontId="9" fillId="30" borderId="54" xfId="0" applyFont="1" applyFill="1" applyBorder="1" applyAlignment="1">
      <alignment horizontal="center" vertical="center" wrapText="1"/>
    </xf>
    <xf numFmtId="179" fontId="9" fillId="30" borderId="42" xfId="0" applyFont="1" applyFill="1" applyBorder="1" applyAlignment="1">
      <alignment horizontal="center" vertical="center" wrapText="1"/>
    </xf>
    <xf numFmtId="179" fontId="9" fillId="29" borderId="30" xfId="0" applyFont="1" applyFill="1" applyBorder="1" applyAlignment="1">
      <alignment horizontal="center" vertical="top" wrapText="1"/>
    </xf>
    <xf numFmtId="179" fontId="8" fillId="0" borderId="37" xfId="0" applyFont="1" applyFill="1" applyBorder="1" applyAlignment="1">
      <alignment horizontal="center" vertical="top" wrapText="1"/>
    </xf>
    <xf numFmtId="179" fontId="8" fillId="0" borderId="28" xfId="0" applyFont="1" applyFill="1" applyBorder="1" applyAlignment="1">
      <alignment horizontal="center" vertical="top"/>
    </xf>
    <xf numFmtId="179" fontId="8" fillId="0" borderId="29" xfId="0" applyFont="1" applyFill="1" applyBorder="1" applyAlignment="1">
      <alignment horizontal="center" vertical="top"/>
    </xf>
    <xf numFmtId="179" fontId="9" fillId="30" borderId="37" xfId="0" applyFont="1" applyFill="1" applyBorder="1" applyAlignment="1">
      <alignment horizontal="center" vertical="top" wrapText="1"/>
    </xf>
    <xf numFmtId="179" fontId="9" fillId="30" borderId="55" xfId="0" applyFont="1" applyFill="1" applyBorder="1" applyAlignment="1">
      <alignment horizontal="center" vertical="top" wrapText="1"/>
    </xf>
    <xf numFmtId="179" fontId="9" fillId="30" borderId="56" xfId="0" applyFont="1" applyFill="1" applyBorder="1" applyAlignment="1">
      <alignment horizontal="center" vertical="top" wrapText="1"/>
    </xf>
    <xf numFmtId="179" fontId="9" fillId="29" borderId="37" xfId="0" applyFont="1" applyFill="1" applyBorder="1" applyAlignment="1">
      <alignment horizontal="center" vertical="top" wrapText="1"/>
    </xf>
    <xf numFmtId="179" fontId="9" fillId="29" borderId="55" xfId="0" applyFont="1" applyFill="1" applyBorder="1" applyAlignment="1">
      <alignment horizontal="center" vertical="top" wrapText="1"/>
    </xf>
    <xf numFmtId="1" fontId="8" fillId="0" borderId="22" xfId="0" applyNumberFormat="1" applyFont="1" applyBorder="1" applyAlignment="1">
      <alignment horizontal="center" vertical="top"/>
    </xf>
    <xf numFmtId="179" fontId="8" fillId="0" borderId="22" xfId="0" applyFont="1" applyBorder="1" applyAlignment="1" applyProtection="1">
      <alignment horizontal="left" vertical="top"/>
    </xf>
    <xf numFmtId="179" fontId="8" fillId="0" borderId="41" xfId="0" applyFont="1" applyBorder="1" applyAlignment="1" applyProtection="1">
      <alignment horizontal="center" vertical="top"/>
    </xf>
    <xf numFmtId="1" fontId="8" fillId="0" borderId="50" xfId="0" applyNumberFormat="1" applyFont="1" applyFill="1" applyBorder="1" applyAlignment="1" applyProtection="1">
      <alignment horizontal="left" vertical="top" wrapText="1"/>
    </xf>
    <xf numFmtId="1" fontId="8" fillId="0" borderId="51" xfId="0" applyNumberFormat="1" applyFont="1" applyFill="1" applyBorder="1" applyAlignment="1" applyProtection="1">
      <alignment horizontal="left" vertical="top" wrapText="1"/>
    </xf>
    <xf numFmtId="1" fontId="8" fillId="0" borderId="33" xfId="0" applyNumberFormat="1" applyFont="1" applyFill="1" applyBorder="1" applyAlignment="1" applyProtection="1">
      <alignment horizontal="left" vertical="top" wrapText="1"/>
    </xf>
    <xf numFmtId="1" fontId="8" fillId="0" borderId="10" xfId="0" applyNumberFormat="1" applyFont="1" applyBorder="1" applyAlignment="1">
      <alignment horizontal="center" vertical="top"/>
    </xf>
    <xf numFmtId="179" fontId="8" fillId="0" borderId="10" xfId="0" applyFont="1" applyBorder="1" applyAlignment="1" applyProtection="1">
      <alignment horizontal="left" vertical="top" wrapText="1"/>
    </xf>
    <xf numFmtId="179" fontId="8" fillId="0" borderId="11" xfId="0" applyFont="1" applyBorder="1" applyAlignment="1" applyProtection="1">
      <alignment horizontal="center" vertical="top"/>
    </xf>
    <xf numFmtId="180" fontId="8" fillId="0" borderId="26" xfId="0" applyNumberFormat="1" applyFont="1" applyBorder="1" applyAlignment="1">
      <alignment horizontal="right" vertical="top"/>
    </xf>
    <xf numFmtId="180" fontId="8" fillId="0" borderId="27" xfId="0" applyNumberFormat="1" applyFont="1" applyBorder="1" applyAlignment="1">
      <alignment horizontal="right" vertical="top"/>
    </xf>
    <xf numFmtId="180" fontId="8" fillId="0" borderId="14" xfId="0" applyNumberFormat="1" applyFont="1" applyBorder="1" applyAlignment="1">
      <alignment horizontal="right" vertical="top"/>
    </xf>
    <xf numFmtId="1" fontId="8" fillId="0" borderId="26" xfId="0" applyNumberFormat="1" applyFont="1" applyFill="1" applyBorder="1" applyAlignment="1" applyProtection="1">
      <alignment horizontal="right" vertical="top"/>
    </xf>
    <xf numFmtId="1" fontId="8" fillId="0" borderId="27" xfId="0" applyNumberFormat="1" applyFont="1" applyFill="1" applyBorder="1" applyAlignment="1" applyProtection="1">
      <alignment horizontal="right" vertical="top"/>
    </xf>
    <xf numFmtId="1" fontId="8" fillId="0" borderId="14" xfId="0" applyNumberFormat="1" applyFont="1" applyFill="1" applyBorder="1" applyAlignment="1" applyProtection="1">
      <alignment horizontal="right" vertical="top"/>
    </xf>
    <xf numFmtId="1" fontId="8" fillId="0" borderId="26" xfId="0" applyNumberFormat="1" applyFont="1" applyBorder="1" applyAlignment="1" applyProtection="1">
      <alignment horizontal="right" vertical="top" wrapText="1"/>
    </xf>
    <xf numFmtId="1" fontId="8" fillId="0" borderId="27" xfId="0" applyNumberFormat="1" applyFont="1" applyBorder="1" applyAlignment="1" applyProtection="1">
      <alignment horizontal="right" vertical="top" wrapText="1"/>
    </xf>
    <xf numFmtId="1" fontId="8" fillId="0" borderId="14" xfId="0" applyNumberFormat="1" applyFont="1" applyBorder="1" applyAlignment="1" applyProtection="1">
      <alignment horizontal="right" vertical="top" wrapText="1"/>
    </xf>
    <xf numFmtId="179" fontId="8" fillId="0" borderId="10" xfId="0" applyFont="1" applyBorder="1" applyAlignment="1" applyProtection="1">
      <alignment horizontal="left" vertical="top"/>
    </xf>
    <xf numFmtId="2" fontId="8" fillId="0" borderId="26" xfId="0" applyNumberFormat="1" applyFont="1" applyFill="1" applyBorder="1" applyAlignment="1" applyProtection="1">
      <alignment horizontal="right" vertical="top"/>
    </xf>
    <xf numFmtId="2" fontId="8" fillId="0" borderId="27" xfId="0" applyNumberFormat="1" applyFont="1" applyFill="1" applyBorder="1" applyAlignment="1" applyProtection="1">
      <alignment horizontal="right" vertical="top"/>
    </xf>
    <xf numFmtId="2" fontId="8" fillId="0" borderId="14" xfId="0" applyNumberFormat="1" applyFont="1" applyFill="1" applyBorder="1" applyAlignment="1" applyProtection="1">
      <alignment horizontal="right" vertical="top"/>
    </xf>
    <xf numFmtId="179" fontId="0" fillId="0" borderId="0" xfId="0" applyNumberFormat="1" applyAlignment="1">
      <alignment vertical="top"/>
    </xf>
    <xf numFmtId="10" fontId="8" fillId="0" borderId="26" xfId="63" applyNumberFormat="1" applyFont="1" applyFill="1" applyBorder="1" applyAlignment="1" applyProtection="1">
      <alignment horizontal="right" vertical="top"/>
    </xf>
    <xf numFmtId="10" fontId="8" fillId="0" borderId="27" xfId="63" applyNumberFormat="1" applyFont="1" applyFill="1" applyBorder="1" applyAlignment="1" applyProtection="1">
      <alignment horizontal="right" vertical="top"/>
    </xf>
    <xf numFmtId="10" fontId="8" fillId="0" borderId="14" xfId="63" applyNumberFormat="1" applyFont="1" applyFill="1" applyBorder="1" applyAlignment="1" applyProtection="1">
      <alignment horizontal="right" vertical="top"/>
    </xf>
    <xf numFmtId="179" fontId="4" fillId="0" borderId="11" xfId="0" applyFont="1" applyBorder="1" applyAlignment="1">
      <alignment horizontal="left" vertical="top" wrapText="1"/>
    </xf>
    <xf numFmtId="179" fontId="4" fillId="0" borderId="26" xfId="0" applyFont="1" applyBorder="1" applyAlignment="1">
      <alignment horizontal="left" vertical="top"/>
    </xf>
    <xf numFmtId="179" fontId="4" fillId="0" borderId="27" xfId="0" applyFont="1" applyBorder="1" applyAlignment="1">
      <alignment horizontal="center" vertical="top"/>
    </xf>
    <xf numFmtId="179" fontId="4" fillId="0" borderId="26" xfId="0" applyFont="1" applyBorder="1" applyAlignment="1">
      <alignment vertical="top"/>
    </xf>
    <xf numFmtId="1" fontId="8" fillId="0" borderId="13" xfId="0" applyNumberFormat="1" applyFont="1" applyBorder="1" applyAlignment="1">
      <alignment horizontal="center" vertical="top"/>
    </xf>
    <xf numFmtId="10" fontId="9" fillId="30" borderId="14" xfId="0" applyNumberFormat="1" applyFont="1" applyFill="1" applyBorder="1" applyAlignment="1">
      <alignment horizontal="right" vertical="top"/>
    </xf>
    <xf numFmtId="10" fontId="9" fillId="30" borderId="27" xfId="0" applyNumberFormat="1" applyFont="1" applyFill="1" applyBorder="1" applyAlignment="1">
      <alignment horizontal="right" vertical="top"/>
    </xf>
    <xf numFmtId="10" fontId="9" fillId="29" borderId="26" xfId="0" applyNumberFormat="1" applyFont="1" applyFill="1" applyBorder="1" applyAlignment="1">
      <alignment horizontal="right" vertical="top"/>
    </xf>
    <xf numFmtId="10" fontId="9" fillId="29" borderId="27" xfId="0" applyNumberFormat="1" applyFont="1" applyFill="1" applyBorder="1" applyAlignment="1">
      <alignment horizontal="right" vertical="top"/>
    </xf>
    <xf numFmtId="1" fontId="8" fillId="0" borderId="57" xfId="0" applyNumberFormat="1" applyFont="1" applyBorder="1" applyAlignment="1">
      <alignment horizontal="right" vertical="top"/>
    </xf>
    <xf numFmtId="1" fontId="8" fillId="0" borderId="57" xfId="0" applyNumberFormat="1" applyFont="1" applyBorder="1" applyAlignment="1">
      <alignment horizontal="right" vertical="center"/>
    </xf>
    <xf numFmtId="179" fontId="4" fillId="21" borderId="10" xfId="0" applyFont="1" applyFill="1" applyBorder="1"/>
    <xf numFmtId="179" fontId="3" fillId="21" borderId="10" xfId="0" applyFont="1" applyFill="1" applyBorder="1" applyAlignment="1">
      <alignment horizontal="right" vertical="top"/>
    </xf>
    <xf numFmtId="10" fontId="9" fillId="21" borderId="14" xfId="0" applyNumberFormat="1" applyFont="1" applyFill="1" applyBorder="1" applyAlignment="1">
      <alignment horizontal="right" vertical="top"/>
    </xf>
    <xf numFmtId="10" fontId="9" fillId="21" borderId="27" xfId="0" applyNumberFormat="1" applyFont="1" applyFill="1" applyBorder="1" applyAlignment="1">
      <alignment horizontal="right" vertical="top"/>
    </xf>
    <xf numFmtId="10" fontId="9" fillId="21" borderId="26" xfId="0" applyNumberFormat="1" applyFont="1" applyFill="1" applyBorder="1" applyAlignment="1">
      <alignment horizontal="right" vertical="top"/>
    </xf>
    <xf numFmtId="10" fontId="3" fillId="21" borderId="27" xfId="0" applyNumberFormat="1" applyFont="1" applyFill="1" applyBorder="1" applyAlignment="1">
      <alignment horizontal="right" vertical="top"/>
    </xf>
    <xf numFmtId="1" fontId="8" fillId="0" borderId="58" xfId="0" applyNumberFormat="1" applyFont="1" applyBorder="1" applyAlignment="1">
      <alignment horizontal="right" vertical="top"/>
    </xf>
    <xf numFmtId="1" fontId="8" fillId="0" borderId="0" xfId="0" applyNumberFormat="1" applyFont="1" applyBorder="1" applyAlignment="1">
      <alignment horizontal="right" vertical="top"/>
    </xf>
    <xf numFmtId="1" fontId="8" fillId="0" borderId="0" xfId="0" applyNumberFormat="1" applyFont="1" applyBorder="1" applyAlignment="1">
      <alignment horizontal="center" vertical="top"/>
    </xf>
    <xf numFmtId="179" fontId="8" fillId="0" borderId="0" xfId="0" applyFont="1" applyBorder="1" applyAlignment="1" applyProtection="1">
      <alignment horizontal="left" vertical="top"/>
    </xf>
    <xf numFmtId="179" fontId="8" fillId="0" borderId="0" xfId="0" applyFont="1" applyBorder="1" applyAlignment="1" applyProtection="1">
      <alignment horizontal="center" vertical="top"/>
    </xf>
    <xf numFmtId="2" fontId="8" fillId="0" borderId="0" xfId="0" applyNumberFormat="1" applyFont="1" applyBorder="1" applyAlignment="1" applyProtection="1">
      <alignment horizontal="right" vertical="top"/>
    </xf>
    <xf numFmtId="179" fontId="53" fillId="0" borderId="0" xfId="0" applyFont="1" applyAlignment="1">
      <alignment horizontal="left" vertical="top"/>
    </xf>
    <xf numFmtId="179" fontId="9" fillId="0" borderId="0" xfId="0" applyFont="1" applyFill="1" applyBorder="1" applyAlignment="1">
      <alignment vertical="top"/>
    </xf>
    <xf numFmtId="179" fontId="8" fillId="0" borderId="0" xfId="0" applyFont="1" applyFill="1" applyBorder="1" applyAlignment="1" applyProtection="1">
      <alignment horizontal="center" vertical="top"/>
    </xf>
    <xf numFmtId="10" fontId="8" fillId="0" borderId="0" xfId="63" applyNumberFormat="1" applyFont="1" applyFill="1" applyBorder="1" applyAlignment="1" applyProtection="1">
      <alignment horizontal="right" vertical="top"/>
    </xf>
    <xf numFmtId="2" fontId="8" fillId="0" borderId="0" xfId="63" applyNumberFormat="1" applyFont="1" applyFill="1" applyBorder="1" applyAlignment="1" applyProtection="1">
      <alignment horizontal="right" vertical="top"/>
    </xf>
    <xf numFmtId="209" fontId="8" fillId="0" borderId="0" xfId="28" applyNumberFormat="1" applyFont="1" applyFill="1" applyBorder="1" applyAlignment="1">
      <alignment vertical="top"/>
    </xf>
    <xf numFmtId="179" fontId="8" fillId="0" borderId="0" xfId="0" applyFont="1" applyFill="1" applyBorder="1" applyAlignment="1">
      <alignment vertical="top"/>
    </xf>
    <xf numFmtId="209" fontId="4" fillId="0" borderId="0" xfId="28" applyNumberFormat="1" applyFont="1" applyFill="1" applyBorder="1" applyAlignment="1">
      <alignment vertical="top"/>
    </xf>
    <xf numFmtId="179" fontId="5" fillId="0" borderId="0" xfId="0" applyFont="1" applyAlignment="1">
      <alignment vertical="top"/>
    </xf>
    <xf numFmtId="179" fontId="0" fillId="0" borderId="0" xfId="0" applyFill="1" applyAlignment="1">
      <alignment horizontal="left"/>
    </xf>
    <xf numFmtId="179" fontId="3" fillId="0" borderId="11" xfId="0" applyFont="1" applyFill="1" applyBorder="1" applyAlignment="1">
      <alignment vertical="top"/>
    </xf>
    <xf numFmtId="179" fontId="3" fillId="27" borderId="30" xfId="0" applyFont="1" applyFill="1" applyBorder="1" applyAlignment="1">
      <alignment vertical="top" wrapText="1"/>
    </xf>
    <xf numFmtId="179" fontId="3" fillId="27" borderId="36" xfId="0" applyFont="1" applyFill="1" applyBorder="1" applyAlignment="1">
      <alignment vertical="top" wrapText="1"/>
    </xf>
    <xf numFmtId="179" fontId="3" fillId="27" borderId="31" xfId="0" applyFont="1" applyFill="1" applyBorder="1" applyAlignment="1">
      <alignment vertical="top" wrapText="1"/>
    </xf>
    <xf numFmtId="179" fontId="3" fillId="27" borderId="47" xfId="0" applyFont="1" applyFill="1" applyBorder="1" applyAlignment="1">
      <alignment vertical="top" wrapText="1"/>
    </xf>
    <xf numFmtId="179" fontId="3" fillId="27" borderId="38" xfId="0" applyFont="1" applyFill="1" applyBorder="1" applyAlignment="1">
      <alignment vertical="top" wrapText="1"/>
    </xf>
    <xf numFmtId="179" fontId="3" fillId="27" borderId="44" xfId="0" applyFont="1" applyFill="1" applyBorder="1" applyAlignment="1">
      <alignment vertical="top" wrapText="1"/>
    </xf>
    <xf numFmtId="179" fontId="61" fillId="0" borderId="10" xfId="0" applyFont="1" applyFill="1" applyBorder="1" applyAlignment="1">
      <alignment horizontal="center" vertical="top"/>
    </xf>
    <xf numFmtId="179" fontId="0" fillId="0" borderId="0" xfId="0" applyFill="1" applyAlignment="1">
      <alignment vertical="top"/>
    </xf>
    <xf numFmtId="10" fontId="0" fillId="0" borderId="13" xfId="63" applyNumberFormat="1" applyFont="1" applyFill="1" applyBorder="1" applyAlignment="1">
      <alignment vertical="top"/>
    </xf>
    <xf numFmtId="10" fontId="0" fillId="0" borderId="27" xfId="63" applyNumberFormat="1" applyFont="1" applyFill="1" applyBorder="1" applyAlignment="1">
      <alignment vertical="top"/>
    </xf>
    <xf numFmtId="1" fontId="0" fillId="0" borderId="10" xfId="0" applyNumberFormat="1" applyFill="1" applyBorder="1" applyAlignment="1">
      <alignment horizontal="center"/>
    </xf>
    <xf numFmtId="1" fontId="0" fillId="0" borderId="10" xfId="0" applyNumberFormat="1" applyBorder="1" applyAlignment="1">
      <alignment horizontal="center"/>
    </xf>
    <xf numFmtId="1" fontId="61" fillId="0" borderId="10" xfId="0" applyNumberFormat="1" applyFont="1" applyFill="1" applyBorder="1" applyAlignment="1">
      <alignment horizontal="center"/>
    </xf>
    <xf numFmtId="179" fontId="0" fillId="0" borderId="11" xfId="0" applyFill="1" applyBorder="1" applyAlignment="1">
      <alignment vertical="top"/>
    </xf>
    <xf numFmtId="10" fontId="0" fillId="0" borderId="59" xfId="63" applyNumberFormat="1" applyFont="1" applyFill="1" applyBorder="1" applyAlignment="1">
      <alignment vertical="top"/>
    </xf>
    <xf numFmtId="10" fontId="0" fillId="0" borderId="13" xfId="28" applyNumberFormat="1" applyFont="1" applyFill="1" applyBorder="1" applyAlignment="1">
      <alignment vertical="top"/>
    </xf>
    <xf numFmtId="179" fontId="0" fillId="0" borderId="11" xfId="0" applyFill="1" applyBorder="1" applyAlignment="1">
      <alignment vertical="top" wrapText="1"/>
    </xf>
    <xf numFmtId="1" fontId="0" fillId="0" borderId="10" xfId="0" applyNumberFormat="1" applyFont="1" applyBorder="1" applyAlignment="1">
      <alignment horizontal="center"/>
    </xf>
    <xf numFmtId="1" fontId="0" fillId="0" borderId="10" xfId="0" applyNumberFormat="1" applyFont="1" applyFill="1" applyBorder="1" applyAlignment="1">
      <alignment horizontal="center"/>
    </xf>
    <xf numFmtId="10" fontId="0" fillId="0" borderId="60" xfId="63" applyNumberFormat="1" applyFont="1" applyFill="1" applyBorder="1" applyAlignment="1">
      <alignment vertical="top"/>
    </xf>
    <xf numFmtId="10" fontId="0" fillId="0" borderId="20" xfId="28" applyNumberFormat="1" applyFont="1" applyFill="1" applyBorder="1" applyAlignment="1">
      <alignment vertical="top"/>
    </xf>
    <xf numFmtId="179" fontId="0" fillId="0" borderId="61" xfId="0" applyBorder="1"/>
    <xf numFmtId="1" fontId="0" fillId="0" borderId="10" xfId="0" applyNumberFormat="1" applyFill="1" applyBorder="1" applyAlignment="1">
      <alignment horizontal="center" vertical="top"/>
    </xf>
    <xf numFmtId="1" fontId="0" fillId="0" borderId="10" xfId="0" applyNumberFormat="1" applyBorder="1" applyAlignment="1">
      <alignment horizontal="center" vertical="top"/>
    </xf>
    <xf numFmtId="1" fontId="61" fillId="0" borderId="10" xfId="0" applyNumberFormat="1" applyFont="1" applyFill="1" applyBorder="1" applyAlignment="1">
      <alignment horizontal="center" vertical="top"/>
    </xf>
    <xf numFmtId="179" fontId="3" fillId="31" borderId="35" xfId="0" applyFont="1" applyFill="1" applyBorder="1" applyAlignment="1">
      <alignment horizontal="center" vertical="top"/>
    </xf>
    <xf numFmtId="179" fontId="3" fillId="31" borderId="62" xfId="0" applyFont="1" applyFill="1" applyBorder="1" applyAlignment="1">
      <alignment vertical="top"/>
    </xf>
    <xf numFmtId="171" fontId="3" fillId="31" borderId="63" xfId="28" applyFont="1" applyFill="1" applyBorder="1" applyAlignment="1">
      <alignment vertical="top"/>
    </xf>
    <xf numFmtId="179" fontId="3" fillId="31" borderId="45" xfId="0" applyFont="1" applyFill="1" applyBorder="1" applyAlignment="1">
      <alignment vertical="top"/>
    </xf>
    <xf numFmtId="171" fontId="3" fillId="31" borderId="39" xfId="28" applyFont="1" applyFill="1" applyBorder="1" applyAlignment="1">
      <alignment vertical="top"/>
    </xf>
    <xf numFmtId="179" fontId="0" fillId="0" borderId="64" xfId="0" applyBorder="1"/>
    <xf numFmtId="179" fontId="0" fillId="0" borderId="65" xfId="0" applyBorder="1"/>
    <xf numFmtId="179" fontId="76" fillId="0" borderId="11" xfId="0" applyFont="1" applyBorder="1" applyAlignment="1">
      <alignment horizontal="left" vertical="top" wrapText="1"/>
    </xf>
    <xf numFmtId="179" fontId="3" fillId="27" borderId="66" xfId="0" applyFont="1" applyFill="1" applyBorder="1" applyAlignment="1">
      <alignment vertical="top" wrapText="1"/>
    </xf>
    <xf numFmtId="179" fontId="3" fillId="0" borderId="15" xfId="0" applyFont="1" applyFill="1" applyBorder="1" applyAlignment="1">
      <alignment vertical="top" wrapText="1"/>
    </xf>
    <xf numFmtId="209" fontId="0" fillId="0" borderId="32" xfId="28" applyNumberFormat="1" applyFont="1" applyFill="1" applyBorder="1" applyAlignment="1">
      <alignment vertical="top"/>
    </xf>
    <xf numFmtId="209" fontId="0" fillId="0" borderId="20" xfId="28" applyNumberFormat="1" applyFont="1" applyFill="1" applyBorder="1" applyAlignment="1">
      <alignment vertical="top"/>
    </xf>
    <xf numFmtId="209" fontId="0" fillId="0" borderId="54" xfId="28" applyNumberFormat="1" applyFont="1" applyFill="1" applyBorder="1" applyAlignment="1">
      <alignment vertical="top"/>
    </xf>
    <xf numFmtId="179" fontId="73" fillId="0" borderId="11" xfId="0" applyFont="1" applyBorder="1" applyAlignment="1">
      <alignment horizontal="center" vertical="top" wrapText="1"/>
    </xf>
    <xf numFmtId="179" fontId="4" fillId="0" borderId="45" xfId="0" applyFont="1" applyBorder="1" applyAlignment="1">
      <alignment vertical="top"/>
    </xf>
    <xf numFmtId="179" fontId="0" fillId="0" borderId="67" xfId="0" applyBorder="1"/>
    <xf numFmtId="179" fontId="4" fillId="0" borderId="46" xfId="0" applyNumberFormat="1" applyFont="1" applyBorder="1" applyAlignment="1">
      <alignment horizontal="left" vertical="top" wrapText="1"/>
    </xf>
    <xf numFmtId="0" fontId="4" fillId="0" borderId="20" xfId="0" applyNumberFormat="1" applyFont="1" applyBorder="1" applyAlignment="1">
      <alignment horizontal="left" vertical="top" wrapText="1"/>
    </xf>
    <xf numFmtId="179" fontId="73" fillId="0" borderId="0" xfId="0" applyFont="1" applyBorder="1" applyAlignment="1">
      <alignment vertical="top" wrapText="1"/>
    </xf>
    <xf numFmtId="0" fontId="54" fillId="0" borderId="0" xfId="42" applyFont="1" applyAlignment="1">
      <alignment horizontal="center"/>
    </xf>
    <xf numFmtId="0" fontId="2" fillId="0" borderId="0" xfId="42" applyAlignment="1">
      <alignment horizontal="center"/>
    </xf>
    <xf numFmtId="0" fontId="77" fillId="0" borderId="0" xfId="42" applyFont="1" applyAlignment="1">
      <alignment horizontal="center"/>
    </xf>
    <xf numFmtId="0" fontId="50" fillId="0" borderId="10" xfId="42" applyFont="1" applyBorder="1" applyAlignment="1">
      <alignment vertical="top"/>
    </xf>
    <xf numFmtId="0" fontId="50" fillId="0" borderId="10" xfId="42" applyFont="1" applyBorder="1" applyAlignment="1">
      <alignment horizontal="center" vertical="top"/>
    </xf>
    <xf numFmtId="0" fontId="50" fillId="0" borderId="10" xfId="47" applyFont="1" applyFill="1" applyBorder="1" applyAlignment="1" applyProtection="1">
      <alignment horizontal="center" vertical="top" wrapText="1"/>
    </xf>
    <xf numFmtId="0" fontId="50" fillId="0" borderId="10" xfId="47" applyFont="1" applyFill="1" applyBorder="1" applyAlignment="1" applyProtection="1"/>
    <xf numFmtId="0" fontId="50" fillId="0" borderId="10" xfId="47" applyFont="1" applyFill="1" applyBorder="1" applyProtection="1">
      <alignment horizontal="center"/>
    </xf>
    <xf numFmtId="0" fontId="51" fillId="0" borderId="10" xfId="47" applyFont="1" applyFill="1" applyBorder="1" applyProtection="1">
      <alignment horizontal="center"/>
    </xf>
    <xf numFmtId="0" fontId="51" fillId="27" borderId="10" xfId="47" applyFont="1" applyFill="1" applyBorder="1" applyProtection="1">
      <alignment horizontal="center"/>
    </xf>
    <xf numFmtId="10" fontId="0" fillId="0" borderId="60" xfId="63" applyNumberFormat="1" applyFont="1" applyFill="1" applyBorder="1"/>
    <xf numFmtId="2" fontId="8" fillId="0" borderId="26" xfId="0" applyNumberFormat="1" applyFont="1" applyBorder="1" applyAlignment="1" applyProtection="1">
      <alignment horizontal="right" vertical="top" wrapText="1"/>
    </xf>
    <xf numFmtId="197" fontId="0" fillId="21" borderId="10" xfId="0" applyNumberFormat="1" applyFill="1" applyBorder="1" applyAlignment="1">
      <alignment vertical="top"/>
    </xf>
    <xf numFmtId="179" fontId="6" fillId="0" borderId="0" xfId="0" applyFont="1" applyAlignment="1" applyProtection="1">
      <alignment vertical="top" wrapText="1"/>
    </xf>
    <xf numFmtId="179" fontId="6" fillId="0" borderId="0" xfId="0" applyFont="1" applyAlignment="1" applyProtection="1">
      <alignment horizontal="left" vertical="top"/>
    </xf>
    <xf numFmtId="179" fontId="6" fillId="0" borderId="15" xfId="0" applyFont="1" applyBorder="1" applyAlignment="1" applyProtection="1">
      <alignment vertical="top" wrapText="1"/>
    </xf>
    <xf numFmtId="1" fontId="0" fillId="0" borderId="23" xfId="0" applyNumberFormat="1" applyFill="1" applyBorder="1" applyAlignment="1">
      <alignment vertical="top"/>
    </xf>
    <xf numFmtId="0" fontId="65" fillId="0" borderId="10" xfId="0" applyNumberFormat="1" applyFont="1" applyFill="1" applyBorder="1" applyAlignment="1">
      <alignment horizontal="center" vertical="top" wrapText="1"/>
    </xf>
    <xf numFmtId="0" fontId="65" fillId="22" borderId="10" xfId="0" applyNumberFormat="1" applyFont="1" applyFill="1" applyBorder="1" applyAlignment="1">
      <alignment vertical="top" wrapText="1"/>
    </xf>
    <xf numFmtId="179" fontId="65" fillId="22" borderId="10" xfId="0" applyNumberFormat="1" applyFont="1" applyFill="1" applyBorder="1" applyAlignment="1">
      <alignment vertical="top"/>
    </xf>
    <xf numFmtId="0" fontId="65" fillId="32" borderId="10" xfId="0" applyNumberFormat="1" applyFont="1" applyFill="1" applyBorder="1" applyAlignment="1">
      <alignment horizontal="left" vertical="top" wrapText="1"/>
    </xf>
    <xf numFmtId="181" fontId="0" fillId="0" borderId="10" xfId="0" applyNumberFormat="1" applyBorder="1" applyAlignment="1">
      <alignment vertical="top" wrapText="1"/>
    </xf>
    <xf numFmtId="179" fontId="0" fillId="0" borderId="45" xfId="0" applyBorder="1" applyAlignment="1">
      <alignment vertical="top"/>
    </xf>
    <xf numFmtId="2" fontId="4" fillId="0" borderId="11" xfId="0" applyNumberFormat="1" applyFont="1" applyFill="1" applyBorder="1" applyAlignment="1">
      <alignment vertical="top" wrapText="1"/>
    </xf>
    <xf numFmtId="2" fontId="4" fillId="0" borderId="13" xfId="0" applyNumberFormat="1" applyFont="1" applyFill="1" applyBorder="1" applyAlignment="1">
      <alignment vertical="top" wrapText="1"/>
    </xf>
    <xf numFmtId="2" fontId="4" fillId="0" borderId="14" xfId="0" applyNumberFormat="1" applyFont="1" applyFill="1" applyBorder="1" applyAlignment="1">
      <alignment vertical="top" wrapText="1"/>
    </xf>
    <xf numFmtId="179" fontId="0" fillId="22" borderId="0" xfId="0" applyFill="1" applyAlignment="1">
      <alignment vertical="top"/>
    </xf>
    <xf numFmtId="180" fontId="0" fillId="0" borderId="0" xfId="0" applyNumberFormat="1" applyAlignment="1">
      <alignment vertical="top"/>
    </xf>
    <xf numFmtId="10" fontId="55" fillId="0" borderId="68" xfId="63" applyNumberFormat="1" applyFont="1" applyFill="1" applyBorder="1" applyAlignment="1">
      <alignment vertical="top"/>
    </xf>
    <xf numFmtId="10" fontId="55" fillId="0" borderId="59" xfId="63" applyNumberFormat="1" applyFont="1" applyFill="1" applyBorder="1" applyAlignment="1">
      <alignment vertical="top"/>
    </xf>
    <xf numFmtId="10" fontId="55" fillId="0" borderId="59" xfId="28" applyNumberFormat="1" applyFont="1" applyFill="1" applyBorder="1" applyAlignment="1">
      <alignment vertical="top"/>
    </xf>
    <xf numFmtId="10" fontId="55" fillId="0" borderId="60" xfId="63" applyNumberFormat="1" applyFont="1" applyFill="1" applyBorder="1" applyAlignment="1">
      <alignment vertical="top"/>
    </xf>
    <xf numFmtId="179" fontId="0" fillId="0" borderId="61" xfId="0" applyFill="1" applyBorder="1" applyAlignment="1">
      <alignment vertical="top"/>
    </xf>
    <xf numFmtId="10" fontId="55" fillId="0" borderId="10" xfId="63" applyNumberFormat="1" applyFont="1" applyFill="1" applyBorder="1" applyAlignment="1">
      <alignment vertical="top"/>
    </xf>
    <xf numFmtId="10" fontId="55" fillId="0" borderId="69" xfId="63" applyNumberFormat="1" applyFont="1" applyFill="1" applyBorder="1" applyAlignment="1">
      <alignment vertical="top"/>
    </xf>
    <xf numFmtId="10" fontId="55" fillId="0" borderId="59" xfId="63" applyNumberFormat="1" applyFont="1" applyFill="1" applyBorder="1"/>
    <xf numFmtId="10" fontId="55" fillId="0" borderId="59" xfId="28" applyNumberFormat="1" applyFont="1" applyFill="1" applyBorder="1"/>
    <xf numFmtId="179" fontId="0" fillId="0" borderId="10" xfId="0" applyFont="1" applyBorder="1" applyAlignment="1">
      <alignment horizontal="center"/>
    </xf>
    <xf numFmtId="179" fontId="0" fillId="19" borderId="10" xfId="0" applyFill="1" applyBorder="1" applyAlignment="1">
      <alignment horizontal="center"/>
    </xf>
    <xf numFmtId="0" fontId="2" fillId="33" borderId="10" xfId="42" applyFont="1" applyFill="1" applyBorder="1" applyAlignment="1">
      <alignment horizontal="left"/>
    </xf>
    <xf numFmtId="1" fontId="0" fillId="19" borderId="10" xfId="0" applyNumberFormat="1" applyFill="1" applyBorder="1" applyAlignment="1">
      <alignment horizontal="center"/>
    </xf>
    <xf numFmtId="0" fontId="2" fillId="33" borderId="10" xfId="42" applyFont="1" applyFill="1" applyBorder="1" applyAlignment="1">
      <alignment horizontal="left" vertical="center"/>
    </xf>
    <xf numFmtId="1" fontId="78" fillId="0" borderId="10" xfId="0" applyNumberFormat="1" applyFont="1" applyFill="1" applyBorder="1" applyAlignment="1">
      <alignment horizontal="right"/>
    </xf>
    <xf numFmtId="1" fontId="0" fillId="0" borderId="22" xfId="0" applyNumberFormat="1" applyBorder="1" applyAlignment="1">
      <alignment horizontal="center"/>
    </xf>
    <xf numFmtId="1" fontId="78" fillId="0" borderId="22" xfId="0" applyNumberFormat="1" applyFont="1" applyFill="1" applyBorder="1" applyAlignment="1">
      <alignment horizontal="right"/>
    </xf>
    <xf numFmtId="1" fontId="0" fillId="0" borderId="0" xfId="0" applyNumberFormat="1" applyAlignment="1">
      <alignment horizontal="center"/>
    </xf>
    <xf numFmtId="1" fontId="0" fillId="22" borderId="10" xfId="0" applyNumberFormat="1" applyFill="1" applyBorder="1" applyAlignment="1">
      <alignment horizontal="center"/>
    </xf>
    <xf numFmtId="179" fontId="0" fillId="22" borderId="10" xfId="0" applyFill="1" applyBorder="1" applyAlignment="1">
      <alignment horizontal="center"/>
    </xf>
    <xf numFmtId="1" fontId="4" fillId="0" borderId="10" xfId="48" applyNumberFormat="1" applyFill="1" applyBorder="1" applyAlignment="1">
      <alignment horizontal="center"/>
    </xf>
    <xf numFmtId="1" fontId="79" fillId="0" borderId="10" xfId="48" applyNumberFormat="1" applyFont="1" applyFill="1" applyBorder="1" applyAlignment="1">
      <alignment horizontal="center"/>
    </xf>
    <xf numFmtId="1" fontId="78" fillId="0" borderId="10" xfId="48" applyNumberFormat="1" applyFont="1" applyFill="1" applyBorder="1" applyAlignment="1">
      <alignment horizontal="center"/>
    </xf>
    <xf numFmtId="0" fontId="2" fillId="0" borderId="10" xfId="42" applyFont="1" applyFill="1" applyBorder="1" applyAlignment="1">
      <alignment horizontal="left"/>
    </xf>
    <xf numFmtId="1" fontId="78" fillId="0" borderId="10" xfId="48" applyNumberFormat="1" applyFont="1" applyFill="1" applyBorder="1" applyAlignment="1">
      <alignment horizontal="right"/>
    </xf>
    <xf numFmtId="179" fontId="0" fillId="19" borderId="10" xfId="0" applyFont="1" applyFill="1" applyBorder="1" applyAlignment="1">
      <alignment horizontal="center"/>
    </xf>
    <xf numFmtId="1" fontId="0" fillId="0" borderId="10" xfId="0" applyNumberFormat="1" applyFill="1" applyBorder="1" applyAlignment="1">
      <alignment horizontal="center" vertical="center"/>
    </xf>
    <xf numFmtId="1" fontId="0" fillId="22" borderId="10" xfId="0" applyNumberFormat="1" applyFont="1" applyFill="1" applyBorder="1" applyAlignment="1">
      <alignment horizontal="center"/>
    </xf>
    <xf numFmtId="1" fontId="0" fillId="19" borderId="10" xfId="0" applyNumberFormat="1" applyFont="1" applyFill="1" applyBorder="1" applyAlignment="1">
      <alignment horizontal="center"/>
    </xf>
    <xf numFmtId="0" fontId="2" fillId="33" borderId="0" xfId="42" applyFont="1" applyFill="1" applyBorder="1" applyAlignment="1">
      <alignment horizontal="left"/>
    </xf>
    <xf numFmtId="1" fontId="4" fillId="0" borderId="0" xfId="48" applyNumberFormat="1" applyFill="1" applyBorder="1" applyAlignment="1">
      <alignment horizontal="right"/>
    </xf>
    <xf numFmtId="1" fontId="0" fillId="0" borderId="0" xfId="0" applyNumberFormat="1" applyFill="1" applyBorder="1" applyAlignment="1">
      <alignment horizontal="right"/>
    </xf>
    <xf numFmtId="179" fontId="0" fillId="19" borderId="0" xfId="0" applyFill="1" applyBorder="1" applyAlignment="1">
      <alignment horizontal="center"/>
    </xf>
    <xf numFmtId="179" fontId="0" fillId="0" borderId="10" xfId="0" applyFont="1" applyBorder="1"/>
    <xf numFmtId="179" fontId="61" fillId="0" borderId="10" xfId="0" applyFont="1" applyBorder="1" applyAlignment="1">
      <alignment horizontal="center"/>
    </xf>
    <xf numFmtId="1" fontId="0" fillId="0" borderId="10" xfId="0" applyNumberFormat="1" applyFont="1" applyFill="1" applyBorder="1" applyAlignment="1">
      <alignment horizontal="center" vertical="center"/>
    </xf>
    <xf numFmtId="1" fontId="2" fillId="0" borderId="10" xfId="48" applyNumberFormat="1" applyFont="1" applyFill="1" applyBorder="1" applyAlignment="1">
      <alignment horizontal="center"/>
    </xf>
    <xf numFmtId="179" fontId="0" fillId="0" borderId="10" xfId="0" applyFont="1" applyBorder="1" applyAlignment="1">
      <alignment horizontal="center" vertical="center"/>
    </xf>
    <xf numFmtId="179" fontId="0" fillId="0" borderId="10" xfId="0" applyBorder="1" applyAlignment="1">
      <alignment horizontal="center"/>
    </xf>
    <xf numFmtId="179" fontId="0" fillId="0" borderId="10" xfId="0" applyFont="1" applyBorder="1" applyAlignment="1">
      <alignment horizontal="center" vertical="top"/>
    </xf>
    <xf numFmtId="179" fontId="0" fillId="19" borderId="10" xfId="0" applyFill="1" applyBorder="1" applyAlignment="1">
      <alignment horizontal="center" vertical="top"/>
    </xf>
    <xf numFmtId="1" fontId="0" fillId="0" borderId="10" xfId="0" applyNumberFormat="1" applyFont="1" applyFill="1" applyBorder="1" applyAlignment="1">
      <alignment horizontal="center" vertical="top"/>
    </xf>
    <xf numFmtId="180" fontId="0" fillId="0" borderId="10" xfId="0" applyNumberFormat="1" applyFont="1" applyBorder="1" applyAlignment="1">
      <alignment horizontal="center"/>
    </xf>
    <xf numFmtId="180" fontId="0" fillId="0" borderId="10" xfId="0" applyNumberFormat="1" applyFont="1" applyFill="1" applyBorder="1" applyAlignment="1">
      <alignment horizontal="center"/>
    </xf>
    <xf numFmtId="180" fontId="0" fillId="0" borderId="10" xfId="0" applyNumberFormat="1" applyFont="1" applyBorder="1" applyAlignment="1">
      <alignment horizontal="center" vertical="center"/>
    </xf>
    <xf numFmtId="1" fontId="4" fillId="0" borderId="10" xfId="48" applyNumberFormat="1" applyFill="1" applyBorder="1" applyAlignment="1">
      <alignment horizontal="center" vertical="top"/>
    </xf>
    <xf numFmtId="1" fontId="67" fillId="0" borderId="10" xfId="48" applyNumberFormat="1" applyFont="1" applyFill="1" applyBorder="1" applyAlignment="1">
      <alignment horizontal="center" vertical="top"/>
    </xf>
    <xf numFmtId="1" fontId="67" fillId="0" borderId="10" xfId="48" applyNumberFormat="1" applyFont="1" applyFill="1" applyBorder="1" applyAlignment="1">
      <alignment horizontal="center"/>
    </xf>
    <xf numFmtId="1" fontId="0" fillId="0" borderId="10" xfId="0" applyNumberFormat="1" applyFont="1" applyBorder="1" applyAlignment="1">
      <alignment horizontal="center" vertical="top"/>
    </xf>
    <xf numFmtId="209" fontId="55" fillId="0" borderId="69" xfId="28" applyNumberFormat="1" applyFont="1" applyFill="1" applyBorder="1" applyAlignment="1">
      <alignment vertical="top"/>
    </xf>
    <xf numFmtId="210" fontId="55" fillId="0" borderId="69" xfId="28" applyNumberFormat="1" applyFont="1" applyFill="1" applyBorder="1" applyAlignment="1">
      <alignment vertical="top"/>
    </xf>
    <xf numFmtId="209" fontId="55" fillId="0" borderId="26" xfId="28" applyNumberFormat="1" applyFont="1" applyFill="1" applyBorder="1" applyAlignment="1">
      <alignment vertical="top"/>
    </xf>
    <xf numFmtId="2" fontId="8" fillId="0" borderId="27" xfId="0" applyNumberFormat="1" applyFont="1" applyBorder="1" applyAlignment="1" applyProtection="1">
      <alignment horizontal="right" vertical="top" wrapText="1"/>
    </xf>
    <xf numFmtId="2" fontId="8" fillId="0" borderId="14" xfId="0" applyNumberFormat="1" applyFont="1" applyBorder="1" applyAlignment="1" applyProtection="1">
      <alignment horizontal="right" vertical="top" wrapText="1"/>
    </xf>
    <xf numFmtId="2" fontId="8" fillId="0" borderId="26" xfId="0" applyNumberFormat="1" applyFont="1" applyFill="1" applyBorder="1" applyAlignment="1" applyProtection="1">
      <alignment horizontal="right" vertical="top" wrapText="1"/>
    </xf>
    <xf numFmtId="2" fontId="8" fillId="0" borderId="27" xfId="0" applyNumberFormat="1" applyFont="1" applyFill="1" applyBorder="1" applyAlignment="1" applyProtection="1">
      <alignment horizontal="right" vertical="top" wrapText="1"/>
    </xf>
    <xf numFmtId="9" fontId="0" fillId="0" borderId="0" xfId="63" applyFont="1" applyAlignment="1">
      <alignment vertical="top"/>
    </xf>
    <xf numFmtId="10" fontId="0" fillId="0" borderId="0" xfId="63" applyNumberFormat="1" applyFont="1" applyAlignment="1">
      <alignment vertical="top"/>
    </xf>
    <xf numFmtId="10" fontId="0" fillId="0" borderId="0" xfId="63" applyNumberFormat="1" applyFont="1" applyAlignment="1">
      <alignment vertical="top" wrapText="1"/>
    </xf>
    <xf numFmtId="0" fontId="4" fillId="0" borderId="0" xfId="0" applyNumberFormat="1" applyFont="1" applyBorder="1" applyAlignment="1">
      <alignment vertical="top"/>
    </xf>
    <xf numFmtId="1" fontId="0" fillId="0" borderId="0" xfId="0" applyNumberFormat="1" applyBorder="1" applyAlignment="1">
      <alignment vertical="top"/>
    </xf>
    <xf numFmtId="0" fontId="3" fillId="0" borderId="0" xfId="0" applyNumberFormat="1" applyFont="1" applyFill="1" applyBorder="1" applyAlignment="1">
      <alignment vertical="top"/>
    </xf>
    <xf numFmtId="180" fontId="0" fillId="0" borderId="0" xfId="0" applyNumberFormat="1" applyFill="1" applyBorder="1" applyAlignment="1">
      <alignment vertical="top"/>
    </xf>
    <xf numFmtId="180" fontId="0" fillId="0" borderId="0" xfId="0" applyNumberFormat="1" applyFill="1" applyBorder="1"/>
    <xf numFmtId="0" fontId="0" fillId="0" borderId="0" xfId="0" applyNumberFormat="1" applyFill="1" applyBorder="1" applyAlignment="1">
      <alignment vertical="top" wrapText="1"/>
    </xf>
    <xf numFmtId="179" fontId="4" fillId="0" borderId="0" xfId="0" applyFont="1" applyFill="1" applyBorder="1" applyAlignment="1">
      <alignment horizontal="center" vertical="top" wrapText="1"/>
    </xf>
    <xf numFmtId="180" fontId="0" fillId="0" borderId="0" xfId="0" applyNumberFormat="1" applyFill="1" applyBorder="1" applyAlignment="1">
      <alignment horizontal="center" vertical="top" wrapText="1"/>
    </xf>
    <xf numFmtId="0" fontId="0" fillId="0" borderId="0" xfId="0" applyNumberFormat="1" applyFill="1" applyBorder="1" applyAlignment="1">
      <alignment horizontal="center" vertical="top"/>
    </xf>
    <xf numFmtId="179" fontId="2" fillId="0" borderId="0" xfId="44" applyNumberFormat="1" applyFont="1" applyBorder="1" applyAlignment="1">
      <alignment horizontal="center" vertical="center"/>
    </xf>
    <xf numFmtId="179" fontId="2" fillId="0" borderId="0" xfId="44" applyNumberFormat="1" applyFont="1" applyFill="1" applyBorder="1" applyAlignment="1">
      <alignment horizontal="center" vertical="center"/>
    </xf>
    <xf numFmtId="179" fontId="4" fillId="0" borderId="0" xfId="60" applyNumberFormat="1" applyAlignment="1">
      <alignment vertical="center"/>
    </xf>
    <xf numFmtId="0" fontId="60" fillId="0" borderId="0" xfId="44" applyAlignment="1">
      <alignment vertical="center"/>
    </xf>
    <xf numFmtId="179" fontId="60" fillId="0" borderId="0" xfId="44" applyNumberFormat="1" applyBorder="1" applyAlignment="1">
      <alignment vertical="center"/>
    </xf>
    <xf numFmtId="179" fontId="57" fillId="0" borderId="0" xfId="44" applyNumberFormat="1" applyFont="1" applyBorder="1" applyAlignment="1">
      <alignment horizontal="left" vertical="center"/>
    </xf>
    <xf numFmtId="179" fontId="2" fillId="0" borderId="0" xfId="44" applyNumberFormat="1" applyFont="1" applyBorder="1" applyAlignment="1">
      <alignment horizontal="right" vertical="center"/>
    </xf>
    <xf numFmtId="0" fontId="60" fillId="0" borderId="0" xfId="44" applyBorder="1" applyAlignment="1">
      <alignment vertical="center"/>
    </xf>
    <xf numFmtId="179" fontId="60" fillId="0" borderId="0" xfId="44" applyNumberFormat="1" applyAlignment="1" applyProtection="1">
      <alignment vertical="center"/>
    </xf>
    <xf numFmtId="180" fontId="60" fillId="0" borderId="0" xfId="44" applyNumberFormat="1" applyBorder="1" applyAlignment="1">
      <alignment horizontal="center" vertical="center"/>
    </xf>
    <xf numFmtId="179" fontId="2" fillId="0" borderId="0" xfId="44" applyNumberFormat="1" applyFont="1" applyBorder="1" applyAlignment="1">
      <alignment horizontal="left" vertical="center"/>
    </xf>
    <xf numFmtId="179" fontId="57" fillId="0" borderId="0" xfId="44" applyNumberFormat="1" applyFont="1" applyBorder="1" applyAlignment="1">
      <alignment horizontal="right" vertical="center"/>
    </xf>
    <xf numFmtId="179" fontId="61" fillId="0" borderId="0" xfId="44" applyNumberFormat="1" applyFont="1" applyBorder="1" applyAlignment="1">
      <alignment vertical="center"/>
    </xf>
    <xf numFmtId="179" fontId="57" fillId="0" borderId="0" xfId="44" applyNumberFormat="1" applyFont="1" applyBorder="1" applyAlignment="1">
      <alignment vertical="center"/>
    </xf>
    <xf numFmtId="179" fontId="2" fillId="0" borderId="0" xfId="44" applyNumberFormat="1" applyFont="1" applyBorder="1" applyAlignment="1">
      <alignment vertical="center"/>
    </xf>
    <xf numFmtId="9" fontId="4" fillId="0" borderId="10" xfId="0" applyNumberFormat="1" applyFont="1" applyFill="1" applyBorder="1" applyAlignment="1" applyProtection="1">
      <alignment vertical="center"/>
    </xf>
    <xf numFmtId="179" fontId="4" fillId="0" borderId="10" xfId="0" applyNumberFormat="1" applyFont="1" applyFill="1" applyBorder="1" applyAlignment="1" applyProtection="1">
      <alignment vertical="center" wrapText="1"/>
    </xf>
    <xf numFmtId="9" fontId="4" fillId="0" borderId="10" xfId="0" applyNumberFormat="1" applyFont="1" applyBorder="1" applyAlignment="1" applyProtection="1">
      <alignment vertical="center"/>
    </xf>
    <xf numFmtId="179" fontId="9" fillId="0" borderId="70" xfId="60" applyNumberFormat="1" applyFont="1" applyBorder="1" applyAlignment="1">
      <alignment horizontal="center" vertical="center" wrapText="1"/>
    </xf>
    <xf numFmtId="213" fontId="9" fillId="0" borderId="71" xfId="44" applyNumberFormat="1" applyFont="1" applyFill="1" applyBorder="1" applyAlignment="1">
      <alignment horizontal="center" vertical="center"/>
    </xf>
    <xf numFmtId="179" fontId="9" fillId="0" borderId="72" xfId="60" applyNumberFormat="1" applyFont="1" applyFill="1" applyBorder="1" applyAlignment="1">
      <alignment horizontal="center" vertical="center"/>
    </xf>
    <xf numFmtId="213" fontId="9" fillId="0" borderId="73" xfId="44" applyNumberFormat="1" applyFont="1" applyFill="1" applyBorder="1" applyAlignment="1">
      <alignment horizontal="center" vertical="center"/>
    </xf>
    <xf numFmtId="179" fontId="9" fillId="0" borderId="52" xfId="60" applyNumberFormat="1" applyFont="1" applyBorder="1" applyAlignment="1">
      <alignment horizontal="center" vertical="center" wrapText="1"/>
    </xf>
    <xf numFmtId="213" fontId="9" fillId="0" borderId="30" xfId="44" applyNumberFormat="1" applyFont="1" applyFill="1" applyBorder="1" applyAlignment="1">
      <alignment horizontal="center" vertical="center" wrapText="1"/>
    </xf>
    <xf numFmtId="3" fontId="8" fillId="0" borderId="69" xfId="44" applyNumberFormat="1" applyFont="1" applyBorder="1" applyAlignment="1">
      <alignment horizontal="center" vertical="center"/>
    </xf>
    <xf numFmtId="213" fontId="8" fillId="0" borderId="15" xfId="44" applyNumberFormat="1" applyFont="1" applyBorder="1" applyAlignment="1">
      <alignment horizontal="left" vertical="center" wrapText="1"/>
    </xf>
    <xf numFmtId="204" fontId="8" fillId="0" borderId="50" xfId="44" applyNumberFormat="1" applyFont="1" applyFill="1" applyBorder="1" applyAlignment="1">
      <alignment vertical="center"/>
    </xf>
    <xf numFmtId="204" fontId="8" fillId="0" borderId="22" xfId="60" applyNumberFormat="1" applyFont="1" applyFill="1" applyBorder="1" applyAlignment="1">
      <alignment vertical="center" wrapText="1"/>
    </xf>
    <xf numFmtId="204" fontId="8" fillId="0" borderId="47" xfId="60" applyNumberFormat="1" applyFont="1" applyBorder="1" applyAlignment="1">
      <alignment vertical="center" wrapText="1"/>
    </xf>
    <xf numFmtId="204" fontId="8" fillId="0" borderId="68" xfId="60" applyNumberFormat="1" applyFont="1" applyBorder="1" applyAlignment="1">
      <alignment vertical="center" wrapText="1"/>
    </xf>
    <xf numFmtId="204" fontId="8" fillId="0" borderId="22" xfId="60" applyNumberFormat="1" applyFont="1" applyBorder="1" applyAlignment="1">
      <alignment vertical="center"/>
    </xf>
    <xf numFmtId="204" fontId="8" fillId="0" borderId="10" xfId="60" applyNumberFormat="1" applyFont="1" applyBorder="1" applyAlignment="1">
      <alignment vertical="center"/>
    </xf>
    <xf numFmtId="204" fontId="8" fillId="0" borderId="11" xfId="60" applyNumberFormat="1" applyFont="1" applyBorder="1" applyAlignment="1">
      <alignment vertical="center"/>
    </xf>
    <xf numFmtId="3" fontId="8" fillId="0" borderId="59" xfId="44" applyNumberFormat="1" applyFont="1" applyBorder="1" applyAlignment="1">
      <alignment horizontal="center" vertical="center"/>
    </xf>
    <xf numFmtId="213" fontId="8" fillId="0" borderId="13" xfId="44" applyNumberFormat="1" applyFont="1" applyBorder="1" applyAlignment="1">
      <alignment horizontal="left" vertical="center" wrapText="1"/>
    </xf>
    <xf numFmtId="3" fontId="8" fillId="0" borderId="60" xfId="44" applyNumberFormat="1" applyFont="1" applyBorder="1" applyAlignment="1">
      <alignment horizontal="center" vertical="center"/>
    </xf>
    <xf numFmtId="213" fontId="8" fillId="0" borderId="20" xfId="44" applyNumberFormat="1" applyFont="1" applyBorder="1" applyAlignment="1">
      <alignment horizontal="left" vertical="center" wrapText="1"/>
    </xf>
    <xf numFmtId="204" fontId="8" fillId="0" borderId="64" xfId="44" applyNumberFormat="1" applyFont="1" applyFill="1" applyBorder="1" applyAlignment="1">
      <alignment vertical="center"/>
    </xf>
    <xf numFmtId="204" fontId="8" fillId="0" borderId="23" xfId="60" applyNumberFormat="1" applyFont="1" applyFill="1" applyBorder="1" applyAlignment="1">
      <alignment vertical="center" wrapText="1"/>
    </xf>
    <xf numFmtId="204" fontId="8" fillId="0" borderId="21" xfId="60" applyNumberFormat="1" applyFont="1" applyBorder="1" applyAlignment="1">
      <alignment vertical="center"/>
    </xf>
    <xf numFmtId="204" fontId="8" fillId="0" borderId="24" xfId="60" applyNumberFormat="1" applyFont="1" applyBorder="1" applyAlignment="1">
      <alignment vertical="center"/>
    </xf>
    <xf numFmtId="179" fontId="9" fillId="0" borderId="10" xfId="60" applyNumberFormat="1" applyFont="1" applyBorder="1" applyAlignment="1">
      <alignment vertical="center"/>
    </xf>
    <xf numFmtId="213" fontId="8" fillId="0" borderId="13" xfId="44" applyNumberFormat="1" applyFont="1" applyBorder="1" applyAlignment="1">
      <alignment vertical="center"/>
    </xf>
    <xf numFmtId="204" fontId="8" fillId="0" borderId="59" xfId="60" applyNumberFormat="1" applyFont="1" applyFill="1" applyBorder="1" applyAlignment="1">
      <alignment vertical="center"/>
    </xf>
    <xf numFmtId="204" fontId="8" fillId="0" borderId="59" xfId="60" applyNumberFormat="1" applyFont="1" applyBorder="1" applyAlignment="1">
      <alignment vertical="center"/>
    </xf>
    <xf numFmtId="0" fontId="73" fillId="0" borderId="10" xfId="44" applyFont="1" applyBorder="1" applyAlignment="1">
      <alignment vertical="center"/>
    </xf>
    <xf numFmtId="179" fontId="8" fillId="0" borderId="10" xfId="44" applyNumberFormat="1" applyFont="1" applyBorder="1" applyAlignment="1">
      <alignment vertical="center"/>
    </xf>
    <xf numFmtId="3" fontId="73" fillId="0" borderId="59" xfId="44" applyNumberFormat="1" applyFont="1" applyBorder="1" applyAlignment="1">
      <alignment horizontal="center" vertical="center"/>
    </xf>
    <xf numFmtId="213" fontId="8" fillId="0" borderId="13" xfId="44" applyNumberFormat="1" applyFont="1" applyBorder="1" applyAlignment="1">
      <alignment vertical="center" wrapText="1"/>
    </xf>
    <xf numFmtId="3" fontId="73" fillId="0" borderId="60" xfId="44" applyNumberFormat="1" applyFont="1" applyBorder="1" applyAlignment="1">
      <alignment horizontal="center" vertical="center"/>
    </xf>
    <xf numFmtId="213" fontId="8" fillId="0" borderId="20" xfId="44" applyNumberFormat="1" applyFont="1" applyFill="1" applyBorder="1" applyAlignment="1">
      <alignment vertical="center" wrapText="1"/>
    </xf>
    <xf numFmtId="204" fontId="8" fillId="0" borderId="60" xfId="60" applyNumberFormat="1" applyFont="1" applyBorder="1" applyAlignment="1">
      <alignment vertical="center"/>
    </xf>
    <xf numFmtId="179" fontId="9" fillId="0" borderId="21" xfId="60" applyNumberFormat="1" applyFont="1" applyBorder="1" applyAlignment="1">
      <alignment vertical="center"/>
    </xf>
    <xf numFmtId="0" fontId="73" fillId="0" borderId="21" xfId="44" applyFont="1" applyBorder="1" applyAlignment="1">
      <alignment vertical="center"/>
    </xf>
    <xf numFmtId="179" fontId="8" fillId="0" borderId="21" xfId="44" applyNumberFormat="1" applyFont="1" applyBorder="1" applyAlignment="1">
      <alignment vertical="center"/>
    </xf>
    <xf numFmtId="213" fontId="9" fillId="0" borderId="31" xfId="44" applyNumberFormat="1" applyFont="1" applyBorder="1" applyAlignment="1">
      <alignment horizontal="center" vertical="center" wrapText="1"/>
    </xf>
    <xf numFmtId="179" fontId="9" fillId="0" borderId="28" xfId="60" applyNumberFormat="1" applyFont="1" applyBorder="1" applyAlignment="1">
      <alignment vertical="center"/>
    </xf>
    <xf numFmtId="179" fontId="9" fillId="0" borderId="22" xfId="60" applyNumberFormat="1" applyFont="1" applyBorder="1" applyAlignment="1">
      <alignment vertical="center"/>
    </xf>
    <xf numFmtId="179" fontId="9" fillId="0" borderId="39" xfId="60" applyNumberFormat="1" applyFont="1" applyBorder="1" applyAlignment="1">
      <alignment vertical="center"/>
    </xf>
    <xf numFmtId="204" fontId="8" fillId="0" borderId="59" xfId="60" applyNumberFormat="1" applyFont="1" applyFill="1" applyBorder="1" applyAlignment="1">
      <alignment horizontal="center" vertical="center"/>
    </xf>
    <xf numFmtId="10" fontId="9" fillId="0" borderId="61" xfId="63" applyNumberFormat="1" applyFont="1" applyFill="1" applyBorder="1" applyAlignment="1">
      <alignment vertical="center"/>
    </xf>
    <xf numFmtId="179" fontId="4" fillId="20" borderId="10" xfId="0" applyNumberFormat="1" applyFont="1" applyFill="1" applyBorder="1" applyAlignment="1" applyProtection="1">
      <alignment vertical="center"/>
    </xf>
    <xf numFmtId="204" fontId="8" fillId="0" borderId="10" xfId="60" applyNumberFormat="1" applyFont="1" applyBorder="1" applyAlignment="1">
      <alignment vertical="center" wrapText="1"/>
    </xf>
    <xf numFmtId="204" fontId="8" fillId="0" borderId="59" xfId="60" applyNumberFormat="1" applyFont="1" applyBorder="1" applyAlignment="1">
      <alignment vertical="center" wrapText="1"/>
    </xf>
    <xf numFmtId="204" fontId="8" fillId="0" borderId="74" xfId="60" applyNumberFormat="1" applyFont="1" applyBorder="1" applyAlignment="1">
      <alignment vertical="center" wrapText="1"/>
    </xf>
    <xf numFmtId="204" fontId="8" fillId="0" borderId="57" xfId="60" applyNumberFormat="1" applyFont="1" applyBorder="1" applyAlignment="1">
      <alignment vertical="center" wrapText="1"/>
    </xf>
    <xf numFmtId="204" fontId="8" fillId="0" borderId="58" xfId="60" applyNumberFormat="1" applyFont="1" applyBorder="1" applyAlignment="1">
      <alignment vertical="center" wrapText="1"/>
    </xf>
    <xf numFmtId="204" fontId="8" fillId="0" borderId="41" xfId="60" applyNumberFormat="1" applyFont="1" applyFill="1" applyBorder="1" applyAlignment="1">
      <alignment vertical="center" wrapText="1"/>
    </xf>
    <xf numFmtId="204" fontId="8" fillId="0" borderId="11" xfId="60" applyNumberFormat="1" applyFont="1" applyFill="1" applyBorder="1" applyAlignment="1">
      <alignment vertical="center" wrapText="1"/>
    </xf>
    <xf numFmtId="204" fontId="8" fillId="0" borderId="24" xfId="60" applyNumberFormat="1" applyFont="1" applyFill="1" applyBorder="1" applyAlignment="1">
      <alignment vertical="center" wrapText="1"/>
    </xf>
    <xf numFmtId="213" fontId="9" fillId="0" borderId="64" xfId="44" applyNumberFormat="1" applyFont="1" applyFill="1" applyBorder="1" applyAlignment="1">
      <alignment horizontal="center" vertical="center"/>
    </xf>
    <xf numFmtId="179" fontId="9" fillId="0" borderId="23" xfId="60" applyNumberFormat="1" applyFont="1" applyFill="1" applyBorder="1" applyAlignment="1">
      <alignment horizontal="center" vertical="center"/>
    </xf>
    <xf numFmtId="204" fontId="8" fillId="0" borderId="38" xfId="60" applyNumberFormat="1" applyFont="1" applyBorder="1" applyAlignment="1">
      <alignment vertical="center" wrapText="1"/>
    </xf>
    <xf numFmtId="204" fontId="8" fillId="0" borderId="26" xfId="60" applyNumberFormat="1" applyFont="1" applyBorder="1" applyAlignment="1">
      <alignment vertical="center" wrapText="1"/>
    </xf>
    <xf numFmtId="204" fontId="8" fillId="0" borderId="45" xfId="60" applyNumberFormat="1" applyFont="1" applyBorder="1" applyAlignment="1">
      <alignment vertical="center" wrapText="1"/>
    </xf>
    <xf numFmtId="204" fontId="8" fillId="0" borderId="75" xfId="60" applyNumberFormat="1" applyFont="1" applyBorder="1" applyAlignment="1">
      <alignment vertical="center" wrapText="1"/>
    </xf>
    <xf numFmtId="204" fontId="8" fillId="0" borderId="11" xfId="60" applyNumberFormat="1" applyFont="1" applyBorder="1" applyAlignment="1">
      <alignment vertical="center" wrapText="1"/>
    </xf>
    <xf numFmtId="204" fontId="8" fillId="20" borderId="10" xfId="60" applyNumberFormat="1" applyFont="1" applyFill="1" applyBorder="1" applyAlignment="1">
      <alignment vertical="center" wrapText="1"/>
    </xf>
    <xf numFmtId="204" fontId="8" fillId="20" borderId="26" xfId="60" applyNumberFormat="1" applyFont="1" applyFill="1" applyBorder="1" applyAlignment="1">
      <alignment vertical="center" wrapText="1"/>
    </xf>
    <xf numFmtId="204" fontId="8" fillId="20" borderId="45" xfId="60" applyNumberFormat="1" applyFont="1" applyFill="1" applyBorder="1" applyAlignment="1">
      <alignment vertical="center" wrapText="1"/>
    </xf>
    <xf numFmtId="213" fontId="9" fillId="0" borderId="25" xfId="44" applyNumberFormat="1" applyFont="1" applyFill="1" applyBorder="1" applyAlignment="1">
      <alignment horizontal="center" vertical="center"/>
    </xf>
    <xf numFmtId="204" fontId="8" fillId="20" borderId="50" xfId="60" applyNumberFormat="1" applyFont="1" applyFill="1" applyBorder="1" applyAlignment="1">
      <alignment vertical="center" wrapText="1"/>
    </xf>
    <xf numFmtId="204" fontId="8" fillId="20" borderId="22" xfId="60" applyNumberFormat="1" applyFont="1" applyFill="1" applyBorder="1" applyAlignment="1">
      <alignment vertical="center" wrapText="1"/>
    </xf>
    <xf numFmtId="179" fontId="9" fillId="20" borderId="37" xfId="60" applyNumberFormat="1" applyFont="1" applyFill="1" applyBorder="1" applyAlignment="1">
      <alignment horizontal="center" vertical="center" wrapText="1"/>
    </xf>
    <xf numFmtId="179" fontId="9" fillId="20" borderId="28" xfId="60" applyNumberFormat="1" applyFont="1" applyFill="1" applyBorder="1" applyAlignment="1">
      <alignment horizontal="center" vertical="center" wrapText="1"/>
    </xf>
    <xf numFmtId="204" fontId="8" fillId="20" borderId="41" xfId="60" applyNumberFormat="1" applyFont="1" applyFill="1" applyBorder="1" applyAlignment="1">
      <alignment vertical="center" wrapText="1"/>
    </xf>
    <xf numFmtId="204" fontId="8" fillId="20" borderId="11" xfId="60" applyNumberFormat="1" applyFont="1" applyFill="1" applyBorder="1" applyAlignment="1">
      <alignment vertical="center" wrapText="1"/>
    </xf>
    <xf numFmtId="204" fontId="8" fillId="0" borderId="14" xfId="60" applyNumberFormat="1" applyFont="1" applyBorder="1" applyAlignment="1">
      <alignment vertical="center"/>
    </xf>
    <xf numFmtId="179" fontId="8" fillId="0" borderId="26" xfId="60" applyNumberFormat="1" applyFont="1" applyBorder="1" applyAlignment="1">
      <alignment vertical="center"/>
    </xf>
    <xf numFmtId="204" fontId="8" fillId="0" borderId="27" xfId="60" applyNumberFormat="1" applyFont="1" applyBorder="1" applyAlignment="1">
      <alignment vertical="center"/>
    </xf>
    <xf numFmtId="204" fontId="8" fillId="0" borderId="46" xfId="60" applyNumberFormat="1" applyFont="1" applyBorder="1" applyAlignment="1">
      <alignment vertical="center"/>
    </xf>
    <xf numFmtId="204" fontId="8" fillId="0" borderId="76" xfId="60" applyNumberFormat="1" applyFont="1" applyBorder="1" applyAlignment="1">
      <alignment vertical="center"/>
    </xf>
    <xf numFmtId="204" fontId="8" fillId="0" borderId="42" xfId="60" applyNumberFormat="1" applyFont="1" applyBorder="1" applyAlignment="1">
      <alignment vertical="center"/>
    </xf>
    <xf numFmtId="204" fontId="8" fillId="0" borderId="26" xfId="60" applyNumberFormat="1" applyFont="1" applyBorder="1" applyAlignment="1">
      <alignment vertical="center"/>
    </xf>
    <xf numFmtId="179" fontId="9" fillId="20" borderId="29" xfId="60" applyNumberFormat="1" applyFont="1" applyFill="1" applyBorder="1" applyAlignment="1">
      <alignment horizontal="center" vertical="center" wrapText="1"/>
    </xf>
    <xf numFmtId="179" fontId="8" fillId="0" borderId="50" xfId="60" applyNumberFormat="1" applyFont="1" applyBorder="1" applyAlignment="1">
      <alignment vertical="center"/>
    </xf>
    <xf numFmtId="204" fontId="8" fillId="0" borderId="41" xfId="60" applyNumberFormat="1" applyFont="1" applyBorder="1" applyAlignment="1">
      <alignment vertical="center"/>
    </xf>
    <xf numFmtId="213" fontId="9" fillId="0" borderId="37" xfId="44" applyNumberFormat="1" applyFont="1" applyFill="1" applyBorder="1" applyAlignment="1">
      <alignment horizontal="center" vertical="center" wrapText="1"/>
    </xf>
    <xf numFmtId="179" fontId="9" fillId="0" borderId="29" xfId="60" applyNumberFormat="1" applyFont="1" applyBorder="1" applyAlignment="1">
      <alignment horizontal="center" vertical="center" wrapText="1"/>
    </xf>
    <xf numFmtId="204" fontId="8" fillId="0" borderId="50" xfId="60" applyNumberFormat="1" applyFont="1" applyBorder="1" applyAlignment="1">
      <alignment vertical="center"/>
    </xf>
    <xf numFmtId="204" fontId="8" fillId="0" borderId="51" xfId="60" applyNumberFormat="1" applyFont="1" applyBorder="1" applyAlignment="1">
      <alignment vertical="center"/>
    </xf>
    <xf numFmtId="213" fontId="9" fillId="0" borderId="29" xfId="44" applyNumberFormat="1" applyFont="1" applyFill="1" applyBorder="1" applyAlignment="1">
      <alignment horizontal="center" vertical="center" wrapText="1"/>
    </xf>
    <xf numFmtId="179" fontId="4" fillId="0" borderId="0" xfId="60" applyNumberFormat="1" applyFill="1" applyAlignment="1">
      <alignment vertical="center"/>
    </xf>
    <xf numFmtId="0" fontId="60" fillId="0" borderId="0" xfId="44" applyFill="1" applyAlignment="1">
      <alignment vertical="center"/>
    </xf>
    <xf numFmtId="179" fontId="59" fillId="0" borderId="0" xfId="60" applyNumberFormat="1" applyFont="1" applyAlignment="1">
      <alignment horizontal="right" vertical="center"/>
    </xf>
    <xf numFmtId="0" fontId="60" fillId="20" borderId="0" xfId="44" applyFill="1" applyAlignment="1">
      <alignment vertical="center"/>
    </xf>
    <xf numFmtId="179" fontId="59" fillId="20" borderId="0" xfId="60" applyNumberFormat="1" applyFont="1" applyFill="1" applyAlignment="1">
      <alignment horizontal="right" vertical="center"/>
    </xf>
    <xf numFmtId="179" fontId="4" fillId="0" borderId="0" xfId="60" applyNumberFormat="1" applyBorder="1" applyAlignment="1">
      <alignment vertical="center"/>
    </xf>
    <xf numFmtId="0" fontId="80" fillId="0" borderId="0" xfId="44" applyFont="1" applyFill="1" applyAlignment="1">
      <alignment horizontal="right" vertical="center"/>
    </xf>
    <xf numFmtId="0" fontId="80" fillId="20" borderId="0" xfId="44" applyFont="1" applyFill="1" applyAlignment="1">
      <alignment horizontal="right" vertical="center"/>
    </xf>
    <xf numFmtId="179" fontId="5" fillId="0" borderId="0" xfId="60" applyNumberFormat="1" applyFont="1" applyAlignment="1">
      <alignment vertical="center"/>
    </xf>
    <xf numFmtId="179" fontId="52" fillId="0" borderId="0" xfId="60" applyNumberFormat="1" applyFont="1" applyFill="1" applyAlignment="1">
      <alignment horizontal="right" vertical="center"/>
    </xf>
    <xf numFmtId="179" fontId="52" fillId="20" borderId="0" xfId="60" applyNumberFormat="1" applyFont="1" applyFill="1" applyAlignment="1">
      <alignment horizontal="right" vertical="center"/>
    </xf>
    <xf numFmtId="179" fontId="4" fillId="0" borderId="0" xfId="60" applyNumberFormat="1" applyFont="1" applyAlignment="1">
      <alignment vertical="center"/>
    </xf>
    <xf numFmtId="179" fontId="8" fillId="0" borderId="0" xfId="60" applyNumberFormat="1" applyFont="1" applyAlignment="1">
      <alignment vertical="center"/>
    </xf>
    <xf numFmtId="0" fontId="73" fillId="0" borderId="0" xfId="44" applyFont="1" applyFill="1" applyAlignment="1">
      <alignment vertical="center"/>
    </xf>
    <xf numFmtId="179" fontId="8" fillId="0" borderId="0" xfId="60" applyNumberFormat="1" applyFont="1" applyFill="1" applyAlignment="1">
      <alignment vertical="center"/>
    </xf>
    <xf numFmtId="179" fontId="8" fillId="0" borderId="0" xfId="60" applyNumberFormat="1" applyFont="1" applyFill="1" applyAlignment="1">
      <alignment horizontal="right" vertical="center"/>
    </xf>
    <xf numFmtId="0" fontId="73" fillId="20" borderId="0" xfId="44" applyFont="1" applyFill="1" applyAlignment="1">
      <alignment vertical="center"/>
    </xf>
    <xf numFmtId="179" fontId="9" fillId="20" borderId="0" xfId="60" applyNumberFormat="1" applyFont="1" applyFill="1" applyAlignment="1">
      <alignment vertical="center"/>
    </xf>
    <xf numFmtId="0" fontId="73" fillId="0" borderId="0" xfId="44" applyFont="1" applyAlignment="1">
      <alignment vertical="center"/>
    </xf>
    <xf numFmtId="179" fontId="8" fillId="0" borderId="0" xfId="60" applyNumberFormat="1" applyFont="1" applyBorder="1" applyAlignment="1">
      <alignment vertical="center"/>
    </xf>
    <xf numFmtId="0" fontId="73" fillId="0" borderId="0" xfId="44" applyFont="1" applyBorder="1" applyAlignment="1">
      <alignment vertical="center"/>
    </xf>
    <xf numFmtId="179" fontId="9" fillId="0" borderId="0" xfId="60" applyNumberFormat="1" applyFont="1" applyFill="1" applyAlignment="1">
      <alignment horizontal="right" vertical="center"/>
    </xf>
    <xf numFmtId="179" fontId="9" fillId="0" borderId="35" xfId="60" applyNumberFormat="1" applyFont="1" applyFill="1" applyBorder="1" applyAlignment="1">
      <alignment horizontal="right" vertical="center"/>
    </xf>
    <xf numFmtId="179" fontId="9" fillId="0" borderId="31" xfId="60" applyNumberFormat="1" applyFont="1" applyFill="1" applyBorder="1" applyAlignment="1">
      <alignment horizontal="left" vertical="center"/>
    </xf>
    <xf numFmtId="0" fontId="73" fillId="0" borderId="36" xfId="44" applyFont="1" applyFill="1" applyBorder="1" applyAlignment="1">
      <alignment vertical="center"/>
    </xf>
    <xf numFmtId="0" fontId="73" fillId="0" borderId="35" xfId="44" applyFont="1" applyBorder="1" applyAlignment="1">
      <alignment vertical="center"/>
    </xf>
    <xf numFmtId="179" fontId="9" fillId="0" borderId="31" xfId="60" applyNumberFormat="1" applyFont="1" applyBorder="1" applyAlignment="1">
      <alignment horizontal="right" vertical="center"/>
    </xf>
    <xf numFmtId="179" fontId="9" fillId="0" borderId="31" xfId="60" applyNumberFormat="1" applyFont="1" applyBorder="1" applyAlignment="1">
      <alignment horizontal="left" vertical="center"/>
    </xf>
    <xf numFmtId="0" fontId="73" fillId="20" borderId="31" xfId="44" applyFont="1" applyFill="1" applyBorder="1" applyAlignment="1">
      <alignment vertical="center"/>
    </xf>
    <xf numFmtId="0" fontId="73" fillId="20" borderId="36" xfId="44" applyFont="1" applyFill="1" applyBorder="1" applyAlignment="1">
      <alignment vertical="center"/>
    </xf>
    <xf numFmtId="179" fontId="8" fillId="0" borderId="31" xfId="60" applyNumberFormat="1" applyFont="1" applyBorder="1" applyAlignment="1">
      <alignment vertical="center"/>
    </xf>
    <xf numFmtId="0" fontId="73" fillId="0" borderId="31" xfId="44" applyFont="1" applyBorder="1" applyAlignment="1">
      <alignment vertical="center"/>
    </xf>
    <xf numFmtId="0" fontId="73" fillId="0" borderId="31" xfId="44" applyFont="1" applyFill="1" applyBorder="1" applyAlignment="1">
      <alignment vertical="center"/>
    </xf>
    <xf numFmtId="0" fontId="73" fillId="0" borderId="36" xfId="44" applyFont="1" applyBorder="1" applyAlignment="1">
      <alignment vertical="center"/>
    </xf>
    <xf numFmtId="10" fontId="4" fillId="0" borderId="0" xfId="66" applyNumberFormat="1" applyFont="1" applyBorder="1" applyAlignment="1">
      <alignment vertical="center"/>
    </xf>
    <xf numFmtId="179" fontId="3" fillId="0" borderId="0" xfId="44" applyNumberFormat="1" applyFont="1" applyFill="1" applyBorder="1" applyAlignment="1">
      <alignment vertical="center"/>
    </xf>
    <xf numFmtId="180" fontId="60" fillId="0" borderId="0" xfId="44" applyNumberFormat="1" applyBorder="1" applyAlignment="1" applyProtection="1">
      <alignment vertical="center"/>
    </xf>
    <xf numFmtId="179" fontId="60" fillId="0" borderId="0" xfId="44" applyNumberFormat="1" applyBorder="1" applyAlignment="1" applyProtection="1">
      <alignment vertical="center"/>
    </xf>
    <xf numFmtId="179" fontId="4" fillId="0" borderId="0" xfId="60" applyNumberFormat="1" applyBorder="1" applyAlignment="1">
      <alignment horizontal="center" vertical="center"/>
    </xf>
    <xf numFmtId="179" fontId="3" fillId="0" borderId="0" xfId="44" applyNumberFormat="1" applyFont="1" applyBorder="1" applyAlignment="1">
      <alignment horizontal="left" vertical="center"/>
    </xf>
    <xf numFmtId="179" fontId="4" fillId="0" borderId="0" xfId="60" applyNumberFormat="1" applyFont="1" applyBorder="1" applyAlignment="1">
      <alignment horizontal="center" vertical="center"/>
    </xf>
    <xf numFmtId="179" fontId="4" fillId="0" borderId="0" xfId="60" applyNumberFormat="1" applyFill="1" applyBorder="1" applyAlignment="1">
      <alignment horizontal="center" vertical="center"/>
    </xf>
    <xf numFmtId="187" fontId="4" fillId="0" borderId="0" xfId="60" applyNumberFormat="1" applyBorder="1" applyAlignment="1">
      <alignment horizontal="center" vertical="center"/>
    </xf>
    <xf numFmtId="179" fontId="57" fillId="0" borderId="0" xfId="44" applyNumberFormat="1" applyFont="1" applyBorder="1" applyAlignment="1" applyProtection="1">
      <alignment horizontal="right" vertical="center"/>
    </xf>
    <xf numFmtId="179" fontId="4" fillId="0" borderId="0" xfId="60" applyNumberFormat="1" applyFont="1" applyBorder="1" applyAlignment="1">
      <alignment vertical="center" wrapText="1"/>
    </xf>
    <xf numFmtId="2" fontId="4" fillId="0" borderId="0" xfId="60" applyNumberFormat="1" applyBorder="1" applyAlignment="1">
      <alignment vertical="center"/>
    </xf>
    <xf numFmtId="179" fontId="5" fillId="0" borderId="0" xfId="44" applyNumberFormat="1" applyFont="1" applyBorder="1" applyAlignment="1" applyProtection="1">
      <alignment vertical="center"/>
    </xf>
    <xf numFmtId="1" fontId="60" fillId="0" borderId="0" xfId="44" applyNumberFormat="1" applyBorder="1" applyAlignment="1">
      <alignment vertical="center"/>
    </xf>
    <xf numFmtId="1" fontId="60" fillId="0" borderId="0" xfId="44" applyNumberFormat="1" applyBorder="1" applyAlignment="1">
      <alignment horizontal="center" vertical="center"/>
    </xf>
    <xf numFmtId="179" fontId="3" fillId="0" borderId="0" xfId="44" applyNumberFormat="1" applyFont="1" applyBorder="1" applyAlignment="1">
      <alignment horizontal="center" vertical="center"/>
    </xf>
    <xf numFmtId="179" fontId="60" fillId="0" borderId="0" xfId="44" applyNumberFormat="1" applyBorder="1" applyAlignment="1">
      <alignment horizontal="center" vertical="center"/>
    </xf>
    <xf numFmtId="179" fontId="60" fillId="0" borderId="0" xfId="44" applyNumberFormat="1" applyBorder="1" applyAlignment="1">
      <alignment horizontal="right" vertical="center"/>
    </xf>
    <xf numFmtId="179" fontId="60" fillId="0" borderId="0" xfId="44" applyNumberFormat="1" applyBorder="1" applyAlignment="1">
      <alignment horizontal="left" vertical="center"/>
    </xf>
    <xf numFmtId="179" fontId="60" fillId="0" borderId="0" xfId="44" applyNumberFormat="1" applyAlignment="1">
      <alignment vertical="center"/>
    </xf>
    <xf numFmtId="179" fontId="4" fillId="0" borderId="0" xfId="60" applyNumberFormat="1" applyBorder="1" applyAlignment="1">
      <alignment vertical="center" wrapText="1"/>
    </xf>
    <xf numFmtId="179" fontId="60" fillId="0" borderId="0" xfId="44" applyNumberFormat="1" applyBorder="1" applyAlignment="1">
      <alignment horizontal="left" vertical="center" wrapText="1"/>
    </xf>
    <xf numFmtId="179" fontId="57" fillId="0" borderId="0" xfId="44" applyNumberFormat="1" applyFont="1" applyBorder="1" applyAlignment="1">
      <alignment horizontal="center" vertical="center"/>
    </xf>
    <xf numFmtId="179" fontId="58" fillId="0" borderId="0" xfId="44" applyNumberFormat="1" applyFont="1" applyBorder="1" applyAlignment="1">
      <alignment vertical="center"/>
    </xf>
    <xf numFmtId="1" fontId="2" fillId="0" borderId="0" xfId="44" applyNumberFormat="1" applyFont="1" applyBorder="1" applyAlignment="1">
      <alignment horizontal="center" vertical="center"/>
    </xf>
    <xf numFmtId="179" fontId="16" fillId="0" borderId="0" xfId="44" applyNumberFormat="1" applyFont="1" applyBorder="1" applyAlignment="1">
      <alignment vertical="center" wrapText="1"/>
    </xf>
    <xf numFmtId="179" fontId="16" fillId="0" borderId="0" xfId="44" applyNumberFormat="1" applyFont="1" applyBorder="1" applyAlignment="1">
      <alignment horizontal="center" vertical="center" wrapText="1"/>
    </xf>
    <xf numFmtId="180" fontId="16" fillId="0" borderId="0" xfId="44" applyNumberFormat="1" applyFont="1" applyBorder="1" applyAlignment="1">
      <alignment horizontal="center" vertical="center" wrapText="1"/>
    </xf>
    <xf numFmtId="180" fontId="16" fillId="0" borderId="0" xfId="44" applyNumberFormat="1" applyFont="1" applyBorder="1" applyAlignment="1">
      <alignment vertical="center" wrapText="1"/>
    </xf>
    <xf numFmtId="0" fontId="60" fillId="0" borderId="0" xfId="44" applyBorder="1" applyAlignment="1">
      <alignment horizontal="center" vertical="center"/>
    </xf>
    <xf numFmtId="204" fontId="73" fillId="0" borderId="39" xfId="44" applyNumberFormat="1" applyFont="1" applyFill="1" applyBorder="1" applyAlignment="1">
      <alignment vertical="center"/>
    </xf>
    <xf numFmtId="179" fontId="8" fillId="0" borderId="76" xfId="60" applyNumberFormat="1" applyFont="1" applyFill="1" applyBorder="1" applyAlignment="1">
      <alignment vertical="center"/>
    </xf>
    <xf numFmtId="204" fontId="73" fillId="20" borderId="39" xfId="44" applyNumberFormat="1" applyFont="1" applyFill="1" applyBorder="1" applyAlignment="1">
      <alignment vertical="center"/>
    </xf>
    <xf numFmtId="179" fontId="8" fillId="20" borderId="76" xfId="60" applyNumberFormat="1" applyFont="1" applyFill="1" applyBorder="1" applyAlignment="1">
      <alignment vertical="center"/>
    </xf>
    <xf numFmtId="0" fontId="73" fillId="0" borderId="45" xfId="44" applyFont="1" applyBorder="1" applyAlignment="1">
      <alignment vertical="center"/>
    </xf>
    <xf numFmtId="204" fontId="73" fillId="0" borderId="45" xfId="44" applyNumberFormat="1" applyFont="1" applyBorder="1" applyAlignment="1">
      <alignment vertical="center"/>
    </xf>
    <xf numFmtId="204" fontId="73" fillId="0" borderId="39" xfId="44" applyNumberFormat="1" applyFont="1" applyBorder="1" applyAlignment="1">
      <alignment vertical="center"/>
    </xf>
    <xf numFmtId="204" fontId="73" fillId="0" borderId="58" xfId="44" applyNumberFormat="1" applyFont="1" applyFill="1" applyBorder="1" applyAlignment="1">
      <alignment vertical="center"/>
    </xf>
    <xf numFmtId="179" fontId="8" fillId="0" borderId="61" xfId="60" applyNumberFormat="1" applyFont="1" applyFill="1" applyBorder="1" applyAlignment="1">
      <alignment vertical="center"/>
    </xf>
    <xf numFmtId="3" fontId="9" fillId="0" borderId="68" xfId="44" applyNumberFormat="1" applyFont="1" applyBorder="1" applyAlignment="1">
      <alignment horizontal="center" vertical="center"/>
    </xf>
    <xf numFmtId="3" fontId="9" fillId="0" borderId="59" xfId="44" applyNumberFormat="1" applyFont="1" applyBorder="1" applyAlignment="1">
      <alignment horizontal="center" vertical="center"/>
    </xf>
    <xf numFmtId="213" fontId="9" fillId="0" borderId="13" xfId="44" applyNumberFormat="1" applyFont="1" applyBorder="1" applyAlignment="1">
      <alignment vertical="center"/>
    </xf>
    <xf numFmtId="204" fontId="9" fillId="0" borderId="26" xfId="44" applyNumberFormat="1" applyFont="1" applyFill="1" applyBorder="1" applyAlignment="1">
      <alignment vertical="center"/>
    </xf>
    <xf numFmtId="204" fontId="9" fillId="0" borderId="10" xfId="60" applyNumberFormat="1" applyFont="1" applyFill="1" applyBorder="1" applyAlignment="1">
      <alignment vertical="center"/>
    </xf>
    <xf numFmtId="204" fontId="9" fillId="0" borderId="27" xfId="60" applyNumberFormat="1" applyFont="1" applyFill="1" applyBorder="1" applyAlignment="1">
      <alignment vertical="center"/>
    </xf>
    <xf numFmtId="2" fontId="9" fillId="0" borderId="68" xfId="60" applyNumberFormat="1" applyFont="1" applyBorder="1" applyAlignment="1">
      <alignment vertical="center"/>
    </xf>
    <xf numFmtId="0" fontId="73" fillId="0" borderId="77" xfId="44" applyFont="1" applyFill="1" applyBorder="1" applyAlignment="1">
      <alignment vertical="center"/>
    </xf>
    <xf numFmtId="2" fontId="9" fillId="20" borderId="68" xfId="60" applyNumberFormat="1" applyFont="1" applyFill="1" applyBorder="1" applyAlignment="1">
      <alignment vertical="center"/>
    </xf>
    <xf numFmtId="0" fontId="73" fillId="20" borderId="77" xfId="44" applyFont="1" applyFill="1" applyBorder="1" applyAlignment="1">
      <alignment vertical="center"/>
    </xf>
    <xf numFmtId="179" fontId="8" fillId="20" borderId="0" xfId="60" applyNumberFormat="1" applyFont="1" applyFill="1" applyAlignment="1">
      <alignment vertical="center"/>
    </xf>
    <xf numFmtId="2" fontId="9" fillId="0" borderId="10" xfId="60" applyNumberFormat="1" applyFont="1" applyBorder="1" applyAlignment="1">
      <alignment vertical="center"/>
    </xf>
    <xf numFmtId="179" fontId="9" fillId="0" borderId="10" xfId="44" applyNumberFormat="1" applyFont="1" applyBorder="1" applyAlignment="1">
      <alignment vertical="center"/>
    </xf>
    <xf numFmtId="2" fontId="9" fillId="0" borderId="11" xfId="60" applyNumberFormat="1" applyFont="1" applyBorder="1" applyAlignment="1">
      <alignment vertical="center"/>
    </xf>
    <xf numFmtId="0" fontId="73" fillId="0" borderId="15" xfId="44" applyFont="1" applyFill="1" applyBorder="1" applyAlignment="1">
      <alignment vertical="center"/>
    </xf>
    <xf numFmtId="179" fontId="8" fillId="0" borderId="68" xfId="60" applyNumberFormat="1" applyFont="1" applyFill="1" applyBorder="1" applyAlignment="1">
      <alignment vertical="center"/>
    </xf>
    <xf numFmtId="1" fontId="2" fillId="0" borderId="0" xfId="44" applyNumberFormat="1" applyFont="1" applyBorder="1" applyAlignment="1">
      <alignment horizontal="right" vertical="center"/>
    </xf>
    <xf numFmtId="179" fontId="57" fillId="0" borderId="0" xfId="44" applyNumberFormat="1" applyFont="1" applyBorder="1" applyAlignment="1">
      <alignment horizontal="right" vertical="center" wrapText="1"/>
    </xf>
    <xf numFmtId="180" fontId="57" fillId="0" borderId="0" xfId="44" applyNumberFormat="1" applyFont="1" applyBorder="1" applyAlignment="1">
      <alignment horizontal="right" vertical="center"/>
    </xf>
    <xf numFmtId="3" fontId="9" fillId="0" borderId="30" xfId="44" applyNumberFormat="1" applyFont="1" applyBorder="1" applyAlignment="1">
      <alignment horizontal="center" vertical="center"/>
    </xf>
    <xf numFmtId="204" fontId="9" fillId="0" borderId="30" xfId="44" applyNumberFormat="1" applyFont="1" applyBorder="1" applyAlignment="1">
      <alignment vertical="center"/>
    </xf>
    <xf numFmtId="204" fontId="9" fillId="0" borderId="37" xfId="44" applyNumberFormat="1" applyFont="1" applyBorder="1" applyAlignment="1">
      <alignment vertical="center"/>
    </xf>
    <xf numFmtId="204" fontId="9" fillId="0" borderId="28" xfId="44" applyNumberFormat="1" applyFont="1" applyBorder="1" applyAlignment="1">
      <alignment vertical="center"/>
    </xf>
    <xf numFmtId="0" fontId="73" fillId="0" borderId="28" xfId="44" applyFont="1" applyBorder="1" applyAlignment="1">
      <alignment vertical="center"/>
    </xf>
    <xf numFmtId="184" fontId="8" fillId="0" borderId="28" xfId="51" applyNumberFormat="1" applyFont="1" applyBorder="1" applyAlignment="1">
      <alignment vertical="center"/>
    </xf>
    <xf numFmtId="204" fontId="9" fillId="0" borderId="29" xfId="44" applyNumberFormat="1" applyFont="1" applyBorder="1" applyAlignment="1">
      <alignment vertical="center"/>
    </xf>
    <xf numFmtId="179" fontId="2" fillId="0" borderId="0" xfId="44" applyNumberFormat="1" applyFont="1" applyBorder="1" applyAlignment="1">
      <alignment vertical="center" wrapText="1"/>
    </xf>
    <xf numFmtId="213" fontId="9" fillId="0" borderId="66" xfId="44" applyNumberFormat="1" applyFont="1" applyBorder="1" applyAlignment="1">
      <alignment vertical="center"/>
    </xf>
    <xf numFmtId="204" fontId="9" fillId="0" borderId="68" xfId="44" applyNumberFormat="1" applyFont="1" applyBorder="1" applyAlignment="1">
      <alignment vertical="center"/>
    </xf>
    <xf numFmtId="204" fontId="9" fillId="0" borderId="33" xfId="44" applyNumberFormat="1" applyFont="1" applyBorder="1" applyAlignment="1">
      <alignment vertical="center"/>
    </xf>
    <xf numFmtId="204" fontId="9" fillId="0" borderId="22" xfId="44" applyNumberFormat="1" applyFont="1" applyBorder="1" applyAlignment="1">
      <alignment vertical="center"/>
    </xf>
    <xf numFmtId="0" fontId="73" fillId="0" borderId="22" xfId="44" applyFont="1" applyBorder="1" applyAlignment="1">
      <alignment vertical="center"/>
    </xf>
    <xf numFmtId="215" fontId="9" fillId="0" borderId="22" xfId="44" applyNumberFormat="1" applyFont="1" applyFill="1" applyBorder="1" applyAlignment="1">
      <alignment horizontal="right" vertical="center"/>
    </xf>
    <xf numFmtId="204" fontId="9" fillId="0" borderId="22" xfId="60" applyNumberFormat="1" applyFont="1" applyBorder="1" applyAlignment="1">
      <alignment horizontal="right" vertical="center"/>
    </xf>
    <xf numFmtId="204" fontId="9" fillId="0" borderId="41" xfId="44" applyNumberFormat="1" applyFont="1" applyBorder="1" applyAlignment="1">
      <alignment vertical="center"/>
    </xf>
    <xf numFmtId="179" fontId="23" fillId="0" borderId="0" xfId="60" applyNumberFormat="1" applyFont="1" applyAlignment="1">
      <alignment vertical="center"/>
    </xf>
    <xf numFmtId="0" fontId="81" fillId="0" borderId="0" xfId="44" applyFont="1" applyAlignment="1">
      <alignment vertical="center"/>
    </xf>
    <xf numFmtId="179" fontId="15" fillId="0" borderId="0" xfId="44" applyNumberFormat="1" applyFont="1" applyBorder="1" applyAlignment="1">
      <alignment vertical="center"/>
    </xf>
    <xf numFmtId="179" fontId="23" fillId="0" borderId="0" xfId="44" applyNumberFormat="1" applyFont="1" applyBorder="1" applyAlignment="1">
      <alignment vertical="center" wrapText="1"/>
    </xf>
    <xf numFmtId="179" fontId="23" fillId="0" borderId="0" xfId="44" applyNumberFormat="1" applyFont="1" applyBorder="1" applyAlignment="1">
      <alignment horizontal="center" vertical="center"/>
    </xf>
    <xf numFmtId="180" fontId="23" fillId="0" borderId="0" xfId="44" applyNumberFormat="1" applyFont="1" applyBorder="1" applyAlignment="1">
      <alignment horizontal="right" vertical="center"/>
    </xf>
    <xf numFmtId="179" fontId="23" fillId="0" borderId="0" xfId="44" applyNumberFormat="1" applyFont="1" applyBorder="1" applyAlignment="1">
      <alignment horizontal="right" vertical="center"/>
    </xf>
    <xf numFmtId="0" fontId="81" fillId="0" borderId="0" xfId="44" applyFont="1" applyBorder="1" applyAlignment="1">
      <alignment vertical="center"/>
    </xf>
    <xf numFmtId="179" fontId="81" fillId="0" borderId="0" xfId="44" applyNumberFormat="1" applyFont="1" applyBorder="1" applyAlignment="1">
      <alignment vertical="center"/>
    </xf>
    <xf numFmtId="179" fontId="81" fillId="0" borderId="0" xfId="44" applyNumberFormat="1" applyFont="1" applyAlignment="1" applyProtection="1">
      <alignment vertical="center"/>
    </xf>
    <xf numFmtId="204" fontId="9" fillId="0" borderId="59" xfId="44" applyNumberFormat="1" applyFont="1" applyBorder="1" applyAlignment="1">
      <alignment vertical="center"/>
    </xf>
    <xf numFmtId="204" fontId="9" fillId="0" borderId="14" xfId="44" applyNumberFormat="1" applyFont="1" applyBorder="1" applyAlignment="1">
      <alignment vertical="center"/>
    </xf>
    <xf numFmtId="204" fontId="9" fillId="0" borderId="10" xfId="44" applyNumberFormat="1" applyFont="1" applyBorder="1" applyAlignment="1">
      <alignment vertical="center"/>
    </xf>
    <xf numFmtId="215" fontId="9" fillId="0" borderId="10" xfId="44" applyNumberFormat="1" applyFont="1" applyFill="1" applyBorder="1" applyAlignment="1">
      <alignment horizontal="right" vertical="center"/>
    </xf>
    <xf numFmtId="3" fontId="9" fillId="0" borderId="59" xfId="44" applyNumberFormat="1" applyFont="1" applyFill="1" applyBorder="1" applyAlignment="1">
      <alignment horizontal="center" vertical="center"/>
    </xf>
    <xf numFmtId="213" fontId="9" fillId="0" borderId="13" xfId="44" applyNumberFormat="1" applyFont="1" applyFill="1" applyBorder="1" applyAlignment="1">
      <alignment vertical="center"/>
    </xf>
    <xf numFmtId="204" fontId="9" fillId="0" borderId="14" xfId="60" applyNumberFormat="1" applyFont="1" applyFill="1" applyBorder="1" applyAlignment="1">
      <alignment horizontal="right" vertical="center"/>
    </xf>
    <xf numFmtId="204" fontId="9" fillId="0" borderId="10" xfId="60" applyNumberFormat="1" applyFont="1" applyFill="1" applyBorder="1" applyAlignment="1">
      <alignment horizontal="right" vertical="center"/>
    </xf>
    <xf numFmtId="0" fontId="73" fillId="0" borderId="10" xfId="44" applyFont="1" applyFill="1" applyBorder="1" applyAlignment="1">
      <alignment vertical="center"/>
    </xf>
    <xf numFmtId="204" fontId="9" fillId="0" borderId="11" xfId="60" applyNumberFormat="1" applyFont="1" applyFill="1" applyBorder="1" applyAlignment="1">
      <alignment vertical="center"/>
    </xf>
    <xf numFmtId="179" fontId="23" fillId="0" borderId="0" xfId="60" applyNumberFormat="1" applyFont="1" applyFill="1" applyAlignment="1">
      <alignment vertical="center"/>
    </xf>
    <xf numFmtId="0" fontId="81" fillId="0" borderId="0" xfId="44" applyFont="1" applyFill="1" applyAlignment="1">
      <alignment vertical="center"/>
    </xf>
    <xf numFmtId="3" fontId="9" fillId="0" borderId="61" xfId="44" applyNumberFormat="1" applyFont="1" applyBorder="1" applyAlignment="1">
      <alignment horizontal="center" vertical="center"/>
    </xf>
    <xf numFmtId="213" fontId="9" fillId="0" borderId="67" xfId="44" applyNumberFormat="1" applyFont="1" applyBorder="1" applyAlignment="1">
      <alignment vertical="center"/>
    </xf>
    <xf numFmtId="10" fontId="9" fillId="0" borderId="61" xfId="63" applyNumberFormat="1" applyFont="1" applyBorder="1" applyAlignment="1">
      <alignment vertical="center"/>
    </xf>
    <xf numFmtId="0" fontId="73" fillId="0" borderId="67" xfId="44" applyFont="1" applyBorder="1" applyAlignment="1">
      <alignment vertical="center"/>
    </xf>
    <xf numFmtId="204" fontId="9" fillId="0" borderId="49" xfId="60" applyNumberFormat="1" applyFont="1" applyBorder="1" applyAlignment="1">
      <alignment vertical="center"/>
    </xf>
    <xf numFmtId="204" fontId="9" fillId="0" borderId="39" xfId="60" applyNumberFormat="1" applyFont="1" applyBorder="1" applyAlignment="1">
      <alignment vertical="center"/>
    </xf>
    <xf numFmtId="0" fontId="73" fillId="0" borderId="39" xfId="44" applyFont="1" applyBorder="1" applyAlignment="1">
      <alignment vertical="center"/>
    </xf>
    <xf numFmtId="204" fontId="9" fillId="0" borderId="76" xfId="60" applyNumberFormat="1" applyFont="1" applyBorder="1" applyAlignment="1">
      <alignment vertical="center"/>
    </xf>
    <xf numFmtId="179" fontId="57" fillId="0" borderId="0" xfId="60" applyNumberFormat="1" applyFont="1" applyAlignment="1">
      <alignment vertical="center" wrapText="1"/>
    </xf>
    <xf numFmtId="179" fontId="4" fillId="0" borderId="0" xfId="60" applyNumberFormat="1" applyFill="1" applyAlignment="1">
      <alignment horizontal="center" vertical="center"/>
    </xf>
    <xf numFmtId="179" fontId="4" fillId="20" borderId="0" xfId="60" applyNumberFormat="1" applyFill="1" applyAlignment="1">
      <alignment vertical="center"/>
    </xf>
    <xf numFmtId="179" fontId="56" fillId="0" borderId="0" xfId="60" applyNumberFormat="1" applyFont="1" applyBorder="1" applyAlignment="1">
      <alignment vertical="center"/>
    </xf>
    <xf numFmtId="184" fontId="4" fillId="0" borderId="0" xfId="60" applyNumberFormat="1" applyFill="1" applyAlignment="1">
      <alignment vertical="center"/>
    </xf>
    <xf numFmtId="184" fontId="4" fillId="20" borderId="0" xfId="60" applyNumberFormat="1" applyFill="1" applyAlignment="1">
      <alignment vertical="center"/>
    </xf>
    <xf numFmtId="10" fontId="49" fillId="34" borderId="10" xfId="66" applyNumberFormat="1" applyFont="1" applyFill="1" applyBorder="1" applyAlignment="1">
      <alignment vertical="center" wrapText="1"/>
    </xf>
    <xf numFmtId="179" fontId="49" fillId="34" borderId="10" xfId="60" applyNumberFormat="1" applyFont="1" applyFill="1" applyBorder="1" applyAlignment="1">
      <alignment vertical="center"/>
    </xf>
    <xf numFmtId="0" fontId="76" fillId="0" borderId="0" xfId="44" applyFont="1" applyAlignment="1">
      <alignment vertical="center"/>
    </xf>
    <xf numFmtId="2" fontId="80" fillId="0" borderId="0" xfId="44" applyNumberFormat="1" applyFont="1" applyAlignment="1">
      <alignment vertical="center"/>
    </xf>
    <xf numFmtId="9" fontId="60" fillId="0" borderId="0" xfId="63" applyFont="1" applyFill="1" applyAlignment="1">
      <alignment vertical="center"/>
    </xf>
    <xf numFmtId="9" fontId="60" fillId="20" borderId="0" xfId="63" applyFont="1" applyFill="1" applyAlignment="1">
      <alignment vertical="center"/>
    </xf>
    <xf numFmtId="9" fontId="60" fillId="0" borderId="0" xfId="44" applyNumberFormat="1" applyAlignment="1">
      <alignment vertical="center"/>
    </xf>
    <xf numFmtId="0" fontId="76" fillId="0" borderId="0" xfId="44" applyFont="1" applyAlignment="1">
      <alignment vertical="center" wrapText="1"/>
    </xf>
    <xf numFmtId="10" fontId="80" fillId="0" borderId="0" xfId="63" applyNumberFormat="1" applyFont="1" applyAlignment="1">
      <alignment vertical="center"/>
    </xf>
    <xf numFmtId="204" fontId="60" fillId="0" borderId="0" xfId="44" applyNumberFormat="1" applyAlignment="1">
      <alignment vertical="center"/>
    </xf>
    <xf numFmtId="216" fontId="60" fillId="0" borderId="0" xfId="44" applyNumberFormat="1" applyAlignment="1">
      <alignment vertical="center"/>
    </xf>
    <xf numFmtId="9" fontId="60" fillId="0" borderId="0" xfId="44" applyNumberFormat="1" applyFill="1" applyAlignment="1">
      <alignment vertical="center"/>
    </xf>
    <xf numFmtId="9" fontId="60" fillId="20" borderId="0" xfId="44" applyNumberFormat="1" applyFill="1" applyAlignment="1">
      <alignment vertical="center"/>
    </xf>
    <xf numFmtId="10" fontId="60" fillId="0" borderId="0" xfId="63" applyNumberFormat="1" applyFont="1" applyAlignment="1">
      <alignment vertical="center"/>
    </xf>
    <xf numFmtId="2" fontId="60" fillId="0" borderId="0" xfId="44" applyNumberFormat="1" applyAlignment="1">
      <alignment vertical="center"/>
    </xf>
    <xf numFmtId="204" fontId="8" fillId="0" borderId="57" xfId="60" applyNumberFormat="1" applyFont="1" applyFill="1" applyBorder="1" applyAlignment="1">
      <alignment horizontal="center" vertical="center"/>
    </xf>
    <xf numFmtId="204" fontId="8" fillId="0" borderId="57" xfId="60" applyNumberFormat="1" applyFont="1" applyFill="1" applyBorder="1" applyAlignment="1">
      <alignment horizontal="right" vertical="center" wrapText="1"/>
    </xf>
    <xf numFmtId="204" fontId="8" fillId="0" borderId="59" xfId="60" applyNumberFormat="1" applyFont="1" applyBorder="1" applyAlignment="1">
      <alignment horizontal="right" vertical="center" wrapText="1"/>
    </xf>
    <xf numFmtId="204" fontId="8" fillId="0" borderId="57" xfId="60" applyNumberFormat="1" applyFont="1" applyBorder="1" applyAlignment="1">
      <alignment horizontal="right" vertical="center" wrapText="1"/>
    </xf>
    <xf numFmtId="204" fontId="8" fillId="0" borderId="78" xfId="60" applyNumberFormat="1" applyFont="1" applyBorder="1" applyAlignment="1">
      <alignment horizontal="right" vertical="center" wrapText="1"/>
    </xf>
    <xf numFmtId="204" fontId="8" fillId="0" borderId="61" xfId="60" applyNumberFormat="1" applyFont="1" applyBorder="1" applyAlignment="1">
      <alignment horizontal="right" vertical="center" wrapText="1"/>
    </xf>
    <xf numFmtId="204" fontId="9" fillId="0" borderId="30" xfId="44" applyNumberFormat="1" applyFont="1" applyBorder="1" applyAlignment="1">
      <alignment horizontal="right" vertical="center" wrapText="1"/>
    </xf>
    <xf numFmtId="204" fontId="9" fillId="0" borderId="52" xfId="44" applyNumberFormat="1" applyFont="1" applyBorder="1" applyAlignment="1">
      <alignment horizontal="right" vertical="center" wrapText="1"/>
    </xf>
    <xf numFmtId="0" fontId="73" fillId="0" borderId="15" xfId="44" applyFont="1" applyBorder="1" applyAlignment="1">
      <alignment horizontal="right" vertical="center" wrapText="1"/>
    </xf>
    <xf numFmtId="204" fontId="8" fillId="0" borderId="68" xfId="60" applyNumberFormat="1" applyFont="1" applyBorder="1" applyAlignment="1">
      <alignment horizontal="right" vertical="center" wrapText="1"/>
    </xf>
    <xf numFmtId="204" fontId="8" fillId="0" borderId="11" xfId="44" applyNumberFormat="1" applyFont="1" applyBorder="1" applyAlignment="1">
      <alignment horizontal="right" vertical="center" wrapText="1"/>
    </xf>
    <xf numFmtId="204" fontId="8" fillId="0" borderId="59" xfId="44" applyNumberFormat="1" applyFont="1" applyBorder="1" applyAlignment="1">
      <alignment horizontal="right" vertical="center" wrapText="1"/>
    </xf>
    <xf numFmtId="0" fontId="73" fillId="0" borderId="13" xfId="44" applyFont="1" applyFill="1" applyBorder="1" applyAlignment="1">
      <alignment horizontal="right" vertical="center" wrapText="1"/>
    </xf>
    <xf numFmtId="204" fontId="9" fillId="0" borderId="59" xfId="44" applyNumberFormat="1" applyFont="1" applyBorder="1" applyAlignment="1">
      <alignment horizontal="right" vertical="center" wrapText="1"/>
    </xf>
    <xf numFmtId="204" fontId="8" fillId="0" borderId="10" xfId="44" applyNumberFormat="1" applyFont="1" applyBorder="1" applyAlignment="1">
      <alignment vertical="center" wrapText="1"/>
    </xf>
    <xf numFmtId="204" fontId="8" fillId="0" borderId="27" xfId="60" applyNumberFormat="1" applyFont="1" applyFill="1" applyBorder="1" applyAlignment="1">
      <alignment horizontal="right" vertical="center" wrapText="1"/>
    </xf>
    <xf numFmtId="204" fontId="8" fillId="0" borderId="54" xfId="60" applyNumberFormat="1" applyFont="1" applyFill="1" applyBorder="1" applyAlignment="1">
      <alignment horizontal="right" vertical="center" wrapText="1"/>
    </xf>
    <xf numFmtId="204" fontId="9" fillId="0" borderId="55" xfId="60" applyNumberFormat="1" applyFont="1" applyFill="1" applyBorder="1" applyAlignment="1">
      <alignment horizontal="right" vertical="center" wrapText="1"/>
    </xf>
    <xf numFmtId="204" fontId="8" fillId="0" borderId="26" xfId="44" applyNumberFormat="1" applyFont="1" applyFill="1" applyBorder="1" applyAlignment="1">
      <alignment horizontal="right" vertical="center" wrapText="1"/>
    </xf>
    <xf numFmtId="204" fontId="8" fillId="0" borderId="10" xfId="51" applyNumberFormat="1" applyFont="1" applyFill="1" applyBorder="1" applyAlignment="1">
      <alignment horizontal="right" vertical="center" wrapText="1"/>
    </xf>
    <xf numFmtId="204" fontId="8" fillId="0" borderId="59" xfId="60" applyNumberFormat="1" applyFont="1" applyFill="1" applyBorder="1" applyAlignment="1">
      <alignment horizontal="right" vertical="center" wrapText="1"/>
    </xf>
    <xf numFmtId="204" fontId="8" fillId="20" borderId="59" xfId="60" applyNumberFormat="1" applyFont="1" applyFill="1" applyBorder="1" applyAlignment="1">
      <alignment horizontal="right" vertical="center" wrapText="1"/>
    </xf>
    <xf numFmtId="204" fontId="8" fillId="0" borderId="32" xfId="44" applyNumberFormat="1" applyFont="1" applyFill="1" applyBorder="1" applyAlignment="1">
      <alignment horizontal="right" vertical="center" wrapText="1"/>
    </xf>
    <xf numFmtId="204" fontId="8" fillId="0" borderId="60" xfId="60" applyNumberFormat="1" applyFont="1" applyBorder="1" applyAlignment="1">
      <alignment horizontal="right" vertical="center" wrapText="1"/>
    </xf>
    <xf numFmtId="204" fontId="8" fillId="20" borderId="60" xfId="60" applyNumberFormat="1" applyFont="1" applyFill="1" applyBorder="1" applyAlignment="1">
      <alignment horizontal="right" vertical="center" wrapText="1"/>
    </xf>
    <xf numFmtId="204" fontId="8" fillId="0" borderId="37" xfId="51" applyNumberFormat="1" applyFont="1" applyFill="1" applyBorder="1" applyAlignment="1">
      <alignment horizontal="right" vertical="center" wrapText="1"/>
    </xf>
    <xf numFmtId="204" fontId="9" fillId="0" borderId="28" xfId="51" applyNumberFormat="1" applyFont="1" applyFill="1" applyBorder="1" applyAlignment="1">
      <alignment horizontal="right" vertical="center" wrapText="1"/>
    </xf>
    <xf numFmtId="204" fontId="9" fillId="0" borderId="79" xfId="44" applyNumberFormat="1" applyFont="1" applyBorder="1" applyAlignment="1">
      <alignment horizontal="right" vertical="center" wrapText="1"/>
    </xf>
    <xf numFmtId="204" fontId="9" fillId="20" borderId="30" xfId="44" applyNumberFormat="1" applyFont="1" applyFill="1" applyBorder="1" applyAlignment="1">
      <alignment horizontal="right" vertical="center" wrapText="1"/>
    </xf>
    <xf numFmtId="204" fontId="9" fillId="20" borderId="79" xfId="44" applyNumberFormat="1" applyFont="1" applyFill="1" applyBorder="1" applyAlignment="1">
      <alignment horizontal="right" vertical="center" wrapText="1"/>
    </xf>
    <xf numFmtId="204" fontId="9" fillId="0" borderId="47" xfId="44" applyNumberFormat="1" applyFont="1" applyFill="1" applyBorder="1" applyAlignment="1">
      <alignment horizontal="right" vertical="center" wrapText="1"/>
    </xf>
    <xf numFmtId="204" fontId="9" fillId="0" borderId="38" xfId="44" applyNumberFormat="1" applyFont="1" applyFill="1" applyBorder="1" applyAlignment="1">
      <alignment horizontal="right" vertical="center" wrapText="1"/>
    </xf>
    <xf numFmtId="204" fontId="9" fillId="0" borderId="44" xfId="44" applyNumberFormat="1" applyFont="1" applyFill="1" applyBorder="1" applyAlignment="1">
      <alignment horizontal="right" vertical="center" wrapText="1"/>
    </xf>
    <xf numFmtId="204" fontId="9" fillId="0" borderId="68" xfId="44" applyNumberFormat="1" applyFont="1" applyBorder="1" applyAlignment="1">
      <alignment horizontal="right" vertical="center" wrapText="1"/>
    </xf>
    <xf numFmtId="204" fontId="9" fillId="20" borderId="80" xfId="44" applyNumberFormat="1" applyFont="1" applyFill="1" applyBorder="1" applyAlignment="1">
      <alignment horizontal="right" vertical="center" wrapText="1"/>
    </xf>
    <xf numFmtId="0" fontId="73" fillId="20" borderId="15" xfId="44" applyFont="1" applyFill="1" applyBorder="1" applyAlignment="1">
      <alignment horizontal="right" vertical="center" wrapText="1"/>
    </xf>
    <xf numFmtId="204" fontId="8" fillId="20" borderId="68" xfId="60" applyNumberFormat="1" applyFont="1" applyFill="1" applyBorder="1" applyAlignment="1">
      <alignment horizontal="right" vertical="center" wrapText="1"/>
    </xf>
    <xf numFmtId="204" fontId="9" fillId="0" borderId="26" xfId="44" applyNumberFormat="1" applyFont="1" applyFill="1" applyBorder="1" applyAlignment="1">
      <alignment horizontal="right" vertical="center" wrapText="1"/>
    </xf>
    <xf numFmtId="204" fontId="9" fillId="0" borderId="10" xfId="44" applyNumberFormat="1" applyFont="1" applyFill="1" applyBorder="1" applyAlignment="1">
      <alignment horizontal="right" vertical="center" wrapText="1"/>
    </xf>
    <xf numFmtId="204" fontId="9" fillId="0" borderId="27" xfId="44" applyNumberFormat="1" applyFont="1" applyFill="1" applyBorder="1" applyAlignment="1">
      <alignment horizontal="right" vertical="center" wrapText="1"/>
    </xf>
    <xf numFmtId="204" fontId="9" fillId="20" borderId="81" xfId="44" applyNumberFormat="1" applyFont="1" applyFill="1" applyBorder="1" applyAlignment="1">
      <alignment horizontal="right" vertical="center" wrapText="1"/>
    </xf>
    <xf numFmtId="204" fontId="8" fillId="20" borderId="11" xfId="44" applyNumberFormat="1" applyFont="1" applyFill="1" applyBorder="1" applyAlignment="1">
      <alignment horizontal="right" vertical="center" wrapText="1"/>
    </xf>
    <xf numFmtId="204" fontId="8" fillId="20" borderId="59" xfId="44" applyNumberFormat="1" applyFont="1" applyFill="1" applyBorder="1" applyAlignment="1">
      <alignment horizontal="right" vertical="center" wrapText="1"/>
    </xf>
    <xf numFmtId="204" fontId="9" fillId="0" borderId="26" xfId="60" applyNumberFormat="1" applyFont="1" applyFill="1" applyBorder="1" applyAlignment="1">
      <alignment horizontal="right" vertical="center" wrapText="1"/>
    </xf>
    <xf numFmtId="204" fontId="9" fillId="0" borderId="10" xfId="60" applyNumberFormat="1" applyFont="1" applyFill="1" applyBorder="1" applyAlignment="1">
      <alignment horizontal="right" vertical="center" wrapText="1"/>
    </xf>
    <xf numFmtId="204" fontId="9" fillId="0" borderId="27" xfId="60" applyNumberFormat="1" applyFont="1" applyFill="1" applyBorder="1" applyAlignment="1">
      <alignment horizontal="right" vertical="center" wrapText="1"/>
    </xf>
    <xf numFmtId="0" fontId="73" fillId="20" borderId="13" xfId="44" applyFont="1" applyFill="1" applyBorder="1" applyAlignment="1">
      <alignment horizontal="right" vertical="center" wrapText="1"/>
    </xf>
    <xf numFmtId="204" fontId="9" fillId="20" borderId="59" xfId="44" applyNumberFormat="1" applyFont="1" applyFill="1" applyBorder="1" applyAlignment="1">
      <alignment horizontal="right" vertical="center" wrapText="1"/>
    </xf>
    <xf numFmtId="179" fontId="9" fillId="0" borderId="45" xfId="60" applyNumberFormat="1" applyFont="1" applyFill="1" applyBorder="1" applyAlignment="1">
      <alignment horizontal="right" vertical="center" wrapText="1"/>
    </xf>
    <xf numFmtId="179" fontId="9" fillId="0" borderId="39" xfId="60" applyNumberFormat="1" applyFont="1" applyFill="1" applyBorder="1" applyAlignment="1">
      <alignment horizontal="right" vertical="center" wrapText="1"/>
    </xf>
    <xf numFmtId="179" fontId="9" fillId="0" borderId="46" xfId="60" applyNumberFormat="1" applyFont="1" applyFill="1" applyBorder="1" applyAlignment="1">
      <alignment horizontal="right" vertical="center" wrapText="1"/>
    </xf>
    <xf numFmtId="10" fontId="9" fillId="0" borderId="61" xfId="63" applyNumberFormat="1" applyFont="1" applyBorder="1" applyAlignment="1">
      <alignment horizontal="right" vertical="center" wrapText="1"/>
    </xf>
    <xf numFmtId="0" fontId="73" fillId="0" borderId="67" xfId="44" applyFont="1" applyBorder="1" applyAlignment="1">
      <alignment horizontal="right" vertical="center" wrapText="1"/>
    </xf>
    <xf numFmtId="10" fontId="9" fillId="0" borderId="61" xfId="63" applyNumberFormat="1" applyFont="1" applyFill="1" applyBorder="1" applyAlignment="1">
      <alignment horizontal="right" vertical="center" wrapText="1"/>
    </xf>
    <xf numFmtId="10" fontId="9" fillId="20" borderId="82" xfId="63" applyNumberFormat="1" applyFont="1" applyFill="1" applyBorder="1" applyAlignment="1">
      <alignment horizontal="right" vertical="center" wrapText="1"/>
    </xf>
    <xf numFmtId="0" fontId="73" fillId="20" borderId="67" xfId="44" applyFont="1" applyFill="1" applyBorder="1" applyAlignment="1">
      <alignment horizontal="right" vertical="center" wrapText="1"/>
    </xf>
    <xf numFmtId="10" fontId="9" fillId="20" borderId="61" xfId="63" applyNumberFormat="1" applyFont="1" applyFill="1" applyBorder="1" applyAlignment="1">
      <alignment horizontal="right" vertical="center" wrapText="1"/>
    </xf>
    <xf numFmtId="179" fontId="3" fillId="0" borderId="0" xfId="60" applyNumberFormat="1" applyFont="1" applyBorder="1" applyAlignment="1">
      <alignment horizontal="right" vertical="center" wrapText="1"/>
    </xf>
    <xf numFmtId="179" fontId="3" fillId="0" borderId="0" xfId="44" applyNumberFormat="1" applyFont="1" applyBorder="1" applyAlignment="1">
      <alignment horizontal="right" vertical="center" wrapText="1"/>
    </xf>
    <xf numFmtId="213" fontId="9" fillId="0" borderId="66" xfId="44" applyNumberFormat="1" applyFont="1" applyFill="1" applyBorder="1" applyAlignment="1">
      <alignment horizontal="right" vertical="center" wrapText="1"/>
    </xf>
    <xf numFmtId="204" fontId="9" fillId="0" borderId="47" xfId="60" applyNumberFormat="1" applyFont="1" applyFill="1" applyBorder="1" applyAlignment="1">
      <alignment horizontal="right" vertical="center" wrapText="1"/>
    </xf>
    <xf numFmtId="204" fontId="9" fillId="0" borderId="38" xfId="60" applyNumberFormat="1" applyFont="1" applyFill="1" applyBorder="1" applyAlignment="1">
      <alignment horizontal="right" vertical="center" wrapText="1"/>
    </xf>
    <xf numFmtId="204" fontId="9" fillId="0" borderId="62" xfId="60" applyNumberFormat="1" applyFont="1" applyBorder="1" applyAlignment="1">
      <alignment horizontal="right" vertical="center" wrapText="1"/>
    </xf>
    <xf numFmtId="204" fontId="9" fillId="0" borderId="63" xfId="60" applyNumberFormat="1" applyFont="1" applyBorder="1" applyAlignment="1">
      <alignment horizontal="right" vertical="center" wrapText="1"/>
    </xf>
    <xf numFmtId="204" fontId="9" fillId="20" borderId="62" xfId="60" applyNumberFormat="1" applyFont="1" applyFill="1" applyBorder="1" applyAlignment="1">
      <alignment horizontal="right" vertical="center" wrapText="1"/>
    </xf>
    <xf numFmtId="204" fontId="9" fillId="20" borderId="63" xfId="60" applyNumberFormat="1" applyFont="1" applyFill="1" applyBorder="1" applyAlignment="1">
      <alignment horizontal="right" vertical="center" wrapText="1"/>
    </xf>
    <xf numFmtId="179" fontId="9" fillId="0" borderId="22" xfId="60" applyNumberFormat="1" applyFont="1" applyBorder="1" applyAlignment="1">
      <alignment horizontal="right" vertical="center" wrapText="1"/>
    </xf>
    <xf numFmtId="204" fontId="9" fillId="0" borderId="22" xfId="60" applyNumberFormat="1" applyFont="1" applyBorder="1" applyAlignment="1">
      <alignment horizontal="right" vertical="center" wrapText="1"/>
    </xf>
    <xf numFmtId="204" fontId="9" fillId="0" borderId="22" xfId="44" applyNumberFormat="1" applyFont="1" applyFill="1" applyBorder="1" applyAlignment="1">
      <alignment horizontal="right" vertical="center" wrapText="1"/>
    </xf>
    <xf numFmtId="204" fontId="9" fillId="0" borderId="75" xfId="60" applyNumberFormat="1" applyFont="1" applyBorder="1" applyAlignment="1">
      <alignment horizontal="right" vertical="center" wrapText="1"/>
    </xf>
    <xf numFmtId="204" fontId="9" fillId="0" borderId="52" xfId="60" applyNumberFormat="1" applyFont="1" applyBorder="1" applyAlignment="1">
      <alignment horizontal="right" vertical="center" wrapText="1"/>
    </xf>
    <xf numFmtId="2" fontId="3" fillId="0" borderId="0" xfId="60" applyNumberFormat="1" applyFont="1" applyBorder="1" applyAlignment="1">
      <alignment horizontal="right" vertical="center" wrapText="1"/>
    </xf>
    <xf numFmtId="1" fontId="3" fillId="0" borderId="0" xfId="44" applyNumberFormat="1" applyFont="1" applyBorder="1" applyAlignment="1">
      <alignment horizontal="right" vertical="center" wrapText="1"/>
    </xf>
    <xf numFmtId="179" fontId="70" fillId="0" borderId="0" xfId="44" applyNumberFormat="1" applyFont="1" applyBorder="1" applyAlignment="1">
      <alignment horizontal="right" vertical="center" wrapText="1"/>
    </xf>
    <xf numFmtId="180" fontId="70" fillId="0" borderId="0" xfId="44" applyNumberFormat="1" applyFont="1" applyBorder="1" applyAlignment="1">
      <alignment horizontal="right" vertical="center" wrapText="1"/>
    </xf>
    <xf numFmtId="0" fontId="70" fillId="0" borderId="0" xfId="44" applyFont="1" applyBorder="1" applyAlignment="1">
      <alignment horizontal="right" vertical="center" wrapText="1"/>
    </xf>
    <xf numFmtId="0" fontId="70" fillId="0" borderId="0" xfId="44" applyFont="1" applyAlignment="1">
      <alignment horizontal="right" vertical="center" wrapText="1"/>
    </xf>
    <xf numFmtId="179" fontId="70" fillId="0" borderId="0" xfId="44" applyNumberFormat="1" applyFont="1" applyAlignment="1">
      <alignment horizontal="right" vertical="center" wrapText="1"/>
    </xf>
    <xf numFmtId="179" fontId="4" fillId="0" borderId="0" xfId="60" applyNumberFormat="1" applyAlignment="1">
      <alignment horizontal="center" vertical="center"/>
    </xf>
    <xf numFmtId="179" fontId="8" fillId="0" borderId="0" xfId="60" applyNumberFormat="1" applyFont="1" applyAlignment="1">
      <alignment horizontal="center" vertical="center"/>
    </xf>
    <xf numFmtId="3" fontId="9" fillId="0" borderId="68" xfId="44" applyNumberFormat="1" applyFont="1" applyBorder="1" applyAlignment="1">
      <alignment horizontal="center" vertical="center" wrapText="1"/>
    </xf>
    <xf numFmtId="0" fontId="60" fillId="0" borderId="0" xfId="44" applyAlignment="1">
      <alignment horizontal="center" vertical="center"/>
    </xf>
    <xf numFmtId="179" fontId="9" fillId="0" borderId="0" xfId="0" applyFont="1" applyFill="1" applyBorder="1" applyAlignment="1">
      <alignment horizontal="left" vertical="top" wrapText="1"/>
    </xf>
    <xf numFmtId="179" fontId="9" fillId="0" borderId="0" xfId="0" applyFont="1" applyAlignment="1">
      <alignment horizontal="center" vertical="top"/>
    </xf>
    <xf numFmtId="179" fontId="8" fillId="0" borderId="85" xfId="0" applyFont="1" applyFill="1" applyBorder="1" applyAlignment="1">
      <alignment horizontal="center" vertical="top" wrapText="1"/>
    </xf>
    <xf numFmtId="179" fontId="8" fillId="0" borderId="64" xfId="0" applyFont="1" applyFill="1" applyBorder="1" applyAlignment="1">
      <alignment horizontal="center" vertical="top" wrapText="1"/>
    </xf>
    <xf numFmtId="179" fontId="8" fillId="0" borderId="40" xfId="0" applyFont="1" applyFill="1" applyBorder="1" applyAlignment="1">
      <alignment horizontal="center" vertical="top"/>
    </xf>
    <xf numFmtId="179" fontId="8" fillId="0" borderId="23" xfId="0" applyFont="1" applyFill="1" applyBorder="1" applyAlignment="1">
      <alignment horizontal="center" vertical="top"/>
    </xf>
    <xf numFmtId="179" fontId="8" fillId="0" borderId="83" xfId="0" applyFont="1" applyFill="1" applyBorder="1" applyAlignment="1">
      <alignment horizontal="center" vertical="top"/>
    </xf>
    <xf numFmtId="179" fontId="8" fillId="0" borderId="25" xfId="0" applyFont="1" applyFill="1" applyBorder="1" applyAlignment="1">
      <alignment horizontal="center" vertical="top"/>
    </xf>
    <xf numFmtId="179" fontId="9" fillId="30" borderId="35" xfId="0" applyFont="1" applyFill="1" applyBorder="1" applyAlignment="1">
      <alignment horizontal="center" vertical="top" wrapText="1"/>
    </xf>
    <xf numFmtId="179" fontId="9" fillId="30" borderId="31" xfId="0" applyFont="1" applyFill="1" applyBorder="1" applyAlignment="1">
      <alignment horizontal="center" vertical="top" wrapText="1"/>
    </xf>
    <xf numFmtId="179" fontId="9" fillId="30" borderId="36" xfId="0" applyFont="1" applyFill="1" applyBorder="1" applyAlignment="1">
      <alignment horizontal="center" vertical="top" wrapText="1"/>
    </xf>
    <xf numFmtId="179" fontId="9" fillId="29" borderId="35" xfId="0" applyFont="1" applyFill="1" applyBorder="1" applyAlignment="1">
      <alignment horizontal="center" vertical="top" wrapText="1"/>
    </xf>
    <xf numFmtId="179" fontId="9" fillId="29" borderId="36" xfId="0" applyFont="1" applyFill="1" applyBorder="1" applyAlignment="1">
      <alignment horizontal="center" vertical="top" wrapText="1"/>
    </xf>
    <xf numFmtId="179" fontId="52" fillId="30" borderId="74" xfId="0" applyFont="1" applyFill="1" applyBorder="1" applyAlignment="1">
      <alignment horizontal="center" vertical="top" wrapText="1"/>
    </xf>
    <xf numFmtId="179" fontId="52" fillId="30" borderId="80" xfId="0" applyFont="1" applyFill="1" applyBorder="1" applyAlignment="1">
      <alignment horizontal="center" vertical="top" wrapText="1"/>
    </xf>
    <xf numFmtId="179" fontId="52" fillId="30" borderId="43" xfId="0" applyFont="1" applyFill="1" applyBorder="1" applyAlignment="1">
      <alignment horizontal="center" vertical="top" wrapText="1"/>
    </xf>
    <xf numFmtId="179" fontId="52" fillId="30" borderId="84" xfId="0" applyFont="1" applyFill="1" applyBorder="1" applyAlignment="1">
      <alignment horizontal="center" vertical="top" wrapText="1"/>
    </xf>
    <xf numFmtId="179" fontId="3" fillId="35" borderId="35" xfId="0" applyFont="1" applyFill="1" applyBorder="1" applyAlignment="1">
      <alignment horizontal="center"/>
    </xf>
    <xf numFmtId="179" fontId="3" fillId="35" borderId="31" xfId="0" applyFont="1" applyFill="1" applyBorder="1" applyAlignment="1">
      <alignment horizontal="center"/>
    </xf>
    <xf numFmtId="179" fontId="3" fillId="35" borderId="36" xfId="0" applyFont="1" applyFill="1" applyBorder="1" applyAlignment="1">
      <alignment horizontal="center"/>
    </xf>
    <xf numFmtId="179" fontId="3" fillId="35" borderId="70" xfId="0" applyFont="1" applyFill="1" applyBorder="1" applyAlignment="1">
      <alignment horizontal="center"/>
    </xf>
    <xf numFmtId="179" fontId="3" fillId="35" borderId="43" xfId="0" applyFont="1" applyFill="1" applyBorder="1" applyAlignment="1">
      <alignment horizontal="center"/>
    </xf>
    <xf numFmtId="179" fontId="3" fillId="35" borderId="84" xfId="0" applyFont="1" applyFill="1" applyBorder="1" applyAlignment="1">
      <alignment horizontal="center"/>
    </xf>
    <xf numFmtId="0" fontId="3" fillId="0" borderId="11" xfId="0" applyNumberFormat="1" applyFont="1" applyBorder="1" applyAlignment="1">
      <alignment horizontal="left" vertical="top" wrapText="1"/>
    </xf>
    <xf numFmtId="0" fontId="3" fillId="0" borderId="13" xfId="0" applyNumberFormat="1" applyFont="1" applyBorder="1" applyAlignment="1">
      <alignment horizontal="left" vertical="top" wrapText="1"/>
    </xf>
    <xf numFmtId="0" fontId="3" fillId="0" borderId="14" xfId="0" applyNumberFormat="1" applyFont="1" applyBorder="1" applyAlignment="1">
      <alignment horizontal="left" vertical="top" wrapText="1"/>
    </xf>
    <xf numFmtId="179" fontId="4" fillId="0" borderId="0" xfId="0" applyNumberFormat="1" applyFont="1" applyAlignment="1" applyProtection="1">
      <alignment horizontal="center"/>
    </xf>
    <xf numFmtId="179" fontId="4" fillId="0" borderId="0" xfId="0" applyNumberFormat="1" applyFont="1" applyBorder="1" applyAlignment="1" applyProtection="1">
      <alignment horizontal="center"/>
    </xf>
    <xf numFmtId="0" fontId="3" fillId="0" borderId="11" xfId="0" applyNumberFormat="1" applyFont="1" applyBorder="1" applyAlignment="1">
      <alignment horizontal="center" vertical="top" wrapText="1"/>
    </xf>
    <xf numFmtId="0" fontId="3" fillId="0" borderId="13" xfId="0" applyNumberFormat="1" applyFont="1" applyBorder="1" applyAlignment="1">
      <alignment horizontal="center" vertical="top" wrapText="1"/>
    </xf>
    <xf numFmtId="0" fontId="3" fillId="0" borderId="14" xfId="0" applyNumberFormat="1" applyFont="1" applyBorder="1" applyAlignment="1">
      <alignment horizontal="center" vertical="top" wrapText="1"/>
    </xf>
    <xf numFmtId="0" fontId="4" fillId="0" borderId="11" xfId="0" applyNumberFormat="1" applyFont="1" applyFill="1" applyBorder="1" applyAlignment="1">
      <alignment horizontal="left" vertical="top" wrapText="1"/>
    </xf>
    <xf numFmtId="0" fontId="4" fillId="0" borderId="13" xfId="0" applyNumberFormat="1" applyFont="1" applyFill="1" applyBorder="1" applyAlignment="1">
      <alignment horizontal="left" vertical="top" wrapText="1"/>
    </xf>
    <xf numFmtId="0" fontId="4" fillId="0" borderId="14" xfId="0" applyNumberFormat="1" applyFont="1" applyFill="1" applyBorder="1" applyAlignment="1">
      <alignment horizontal="left" vertical="top" wrapText="1"/>
    </xf>
    <xf numFmtId="2" fontId="4" fillId="0" borderId="10" xfId="0" applyNumberFormat="1" applyFont="1" applyFill="1" applyBorder="1" applyAlignment="1">
      <alignment horizontal="left" vertical="top" wrapText="1"/>
    </xf>
    <xf numFmtId="0" fontId="3" fillId="0" borderId="11" xfId="0" applyNumberFormat="1" applyFont="1" applyBorder="1" applyAlignment="1">
      <alignment horizontal="left" vertical="top"/>
    </xf>
    <xf numFmtId="0" fontId="3" fillId="0" borderId="13" xfId="0" applyNumberFormat="1" applyFont="1" applyBorder="1" applyAlignment="1">
      <alignment horizontal="left" vertical="top"/>
    </xf>
    <xf numFmtId="0" fontId="3" fillId="0" borderId="14" xfId="0" applyNumberFormat="1" applyFont="1" applyBorder="1" applyAlignment="1">
      <alignment horizontal="left" vertical="top"/>
    </xf>
    <xf numFmtId="0" fontId="3" fillId="0" borderId="11" xfId="0" applyNumberFormat="1" applyFont="1" applyBorder="1" applyAlignment="1">
      <alignment horizontal="left"/>
    </xf>
    <xf numFmtId="0" fontId="3" fillId="0" borderId="13" xfId="0" applyNumberFormat="1" applyFont="1" applyBorder="1" applyAlignment="1">
      <alignment horizontal="left"/>
    </xf>
    <xf numFmtId="0" fontId="3" fillId="0" borderId="14" xfId="0" applyNumberFormat="1" applyFont="1" applyBorder="1" applyAlignment="1">
      <alignment horizontal="left"/>
    </xf>
    <xf numFmtId="0" fontId="4" fillId="0" borderId="11" xfId="0" applyNumberFormat="1" applyFont="1" applyBorder="1" applyAlignment="1">
      <alignment horizontal="left" vertical="top"/>
    </xf>
    <xf numFmtId="0" fontId="4" fillId="0" borderId="13" xfId="0" applyNumberFormat="1" applyFont="1" applyBorder="1" applyAlignment="1">
      <alignment horizontal="left" vertical="top"/>
    </xf>
    <xf numFmtId="0" fontId="4" fillId="0" borderId="14" xfId="0" applyNumberFormat="1" applyFont="1" applyBorder="1" applyAlignment="1">
      <alignment horizontal="left" vertical="top"/>
    </xf>
    <xf numFmtId="0" fontId="4" fillId="18" borderId="11" xfId="0" applyNumberFormat="1" applyFont="1" applyFill="1" applyBorder="1" applyAlignment="1">
      <alignment horizontal="left" vertical="top" wrapText="1"/>
    </xf>
    <xf numFmtId="0" fontId="4" fillId="18" borderId="13" xfId="0" applyNumberFormat="1" applyFont="1" applyFill="1" applyBorder="1" applyAlignment="1">
      <alignment horizontal="left" vertical="top" wrapText="1"/>
    </xf>
    <xf numFmtId="0" fontId="4" fillId="18" borderId="14" xfId="0" applyNumberFormat="1" applyFont="1" applyFill="1" applyBorder="1" applyAlignment="1">
      <alignment horizontal="left" vertical="top" wrapText="1"/>
    </xf>
    <xf numFmtId="0" fontId="4" fillId="0" borderId="11" xfId="0" applyNumberFormat="1" applyFont="1" applyBorder="1" applyAlignment="1">
      <alignment horizontal="left" vertical="top" wrapText="1"/>
    </xf>
    <xf numFmtId="0" fontId="4" fillId="0" borderId="13" xfId="0" applyNumberFormat="1" applyFont="1" applyBorder="1" applyAlignment="1">
      <alignment horizontal="left" vertical="top" wrapText="1"/>
    </xf>
    <xf numFmtId="0" fontId="4" fillId="0" borderId="14" xfId="0" applyNumberFormat="1" applyFont="1" applyBorder="1" applyAlignment="1">
      <alignment horizontal="left" vertical="top" wrapText="1"/>
    </xf>
    <xf numFmtId="0" fontId="4" fillId="0" borderId="10" xfId="0" applyNumberFormat="1" applyFont="1" applyFill="1" applyBorder="1" applyAlignment="1">
      <alignment horizontal="center" vertical="top" wrapText="1"/>
    </xf>
    <xf numFmtId="2" fontId="4" fillId="0" borderId="10" xfId="0" applyNumberFormat="1" applyFont="1" applyFill="1" applyBorder="1" applyAlignment="1">
      <alignment horizontal="center" vertical="top"/>
    </xf>
    <xf numFmtId="0" fontId="4" fillId="0" borderId="10" xfId="0" applyNumberFormat="1" applyFont="1" applyFill="1" applyBorder="1" applyAlignment="1">
      <alignment horizontal="left" vertical="top" wrapText="1"/>
    </xf>
    <xf numFmtId="0" fontId="9" fillId="0" borderId="0" xfId="0" applyNumberFormat="1" applyFont="1" applyAlignment="1">
      <alignment horizontal="center" vertical="center"/>
    </xf>
    <xf numFmtId="179" fontId="9" fillId="0" borderId="0" xfId="0" applyFont="1" applyAlignment="1">
      <alignment horizontal="center" vertical="center"/>
    </xf>
    <xf numFmtId="179" fontId="9" fillId="0" borderId="0" xfId="0" applyFont="1" applyAlignment="1">
      <alignment horizontal="center" vertical="center" wrapText="1"/>
    </xf>
    <xf numFmtId="0" fontId="3" fillId="0" borderId="0" xfId="0" applyNumberFormat="1" applyFont="1" applyAlignment="1">
      <alignment horizontal="center" vertical="center"/>
    </xf>
    <xf numFmtId="0" fontId="3" fillId="0" borderId="11" xfId="0" applyNumberFormat="1" applyFont="1" applyBorder="1" applyAlignment="1">
      <alignment horizontal="center" vertical="top"/>
    </xf>
    <xf numFmtId="0" fontId="3" fillId="0" borderId="13" xfId="0" applyNumberFormat="1" applyFont="1" applyBorder="1" applyAlignment="1">
      <alignment horizontal="center" vertical="top"/>
    </xf>
    <xf numFmtId="0" fontId="3" fillId="0" borderId="14" xfId="0" applyNumberFormat="1" applyFont="1" applyBorder="1" applyAlignment="1">
      <alignment horizontal="center" vertical="top"/>
    </xf>
    <xf numFmtId="0" fontId="3" fillId="0" borderId="10" xfId="0" applyNumberFormat="1" applyFont="1" applyFill="1" applyBorder="1" applyAlignment="1">
      <alignment horizontal="center" vertical="top"/>
    </xf>
    <xf numFmtId="179" fontId="67" fillId="0" borderId="47" xfId="0" applyFont="1" applyBorder="1" applyAlignment="1">
      <alignment horizontal="center" vertical="top" wrapText="1"/>
    </xf>
    <xf numFmtId="179" fontId="67" fillId="0" borderId="38" xfId="0" applyFont="1" applyBorder="1" applyAlignment="1">
      <alignment horizontal="center" vertical="top" wrapText="1"/>
    </xf>
    <xf numFmtId="179" fontId="4" fillId="0" borderId="10" xfId="0" applyFont="1" applyFill="1" applyBorder="1" applyAlignment="1">
      <alignment horizontal="center" vertical="top" wrapText="1"/>
    </xf>
    <xf numFmtId="179" fontId="3" fillId="0" borderId="47" xfId="0" applyFont="1" applyBorder="1" applyAlignment="1">
      <alignment horizontal="center" vertical="top"/>
    </xf>
    <xf numFmtId="179" fontId="3" fillId="0" borderId="44" xfId="0" applyFont="1" applyBorder="1" applyAlignment="1">
      <alignment horizontal="center" vertical="top"/>
    </xf>
    <xf numFmtId="179" fontId="4" fillId="0" borderId="0" xfId="0" applyFont="1" applyAlignment="1">
      <alignment horizontal="center" vertical="top" wrapText="1"/>
    </xf>
    <xf numFmtId="179" fontId="16" fillId="0" borderId="0" xfId="0" applyFont="1" applyFill="1" applyBorder="1" applyAlignment="1">
      <alignment horizontal="center" vertical="top" wrapText="1"/>
    </xf>
    <xf numFmtId="179" fontId="49" fillId="0" borderId="0" xfId="0" applyFont="1" applyAlignment="1">
      <alignment horizontal="center"/>
    </xf>
    <xf numFmtId="179" fontId="3" fillId="0" borderId="41" xfId="0" applyFont="1" applyFill="1" applyBorder="1" applyAlignment="1">
      <alignment horizontal="center" vertical="top"/>
    </xf>
    <xf numFmtId="179" fontId="3" fillId="0" borderId="33" xfId="0" applyFont="1" applyFill="1" applyBorder="1" applyAlignment="1">
      <alignment horizontal="center" vertical="top"/>
    </xf>
    <xf numFmtId="179" fontId="3" fillId="0" borderId="11" xfId="0" applyFont="1" applyBorder="1" applyAlignment="1">
      <alignment horizontal="center" vertical="top"/>
    </xf>
    <xf numFmtId="179" fontId="3" fillId="0" borderId="14" xfId="0" applyFont="1" applyBorder="1" applyAlignment="1">
      <alignment horizontal="center" vertical="top"/>
    </xf>
    <xf numFmtId="179" fontId="4" fillId="24" borderId="21" xfId="0" applyFont="1" applyFill="1" applyBorder="1" applyAlignment="1">
      <alignment horizontal="center" vertical="top" wrapText="1"/>
    </xf>
    <xf numFmtId="179" fontId="4" fillId="24" borderId="23" xfId="0" applyFont="1" applyFill="1" applyBorder="1" applyAlignment="1">
      <alignment horizontal="center" vertical="top" wrapText="1"/>
    </xf>
    <xf numFmtId="179" fontId="4" fillId="24" borderId="22" xfId="0" applyFont="1" applyFill="1" applyBorder="1" applyAlignment="1">
      <alignment horizontal="center" vertical="top" wrapText="1"/>
    </xf>
    <xf numFmtId="179" fontId="3" fillId="24" borderId="21" xfId="0" applyFont="1" applyFill="1" applyBorder="1" applyAlignment="1">
      <alignment horizontal="center" vertical="top" wrapText="1"/>
    </xf>
    <xf numFmtId="179" fontId="3" fillId="24" borderId="23" xfId="0" applyFont="1" applyFill="1" applyBorder="1" applyAlignment="1">
      <alignment horizontal="center" vertical="top" wrapText="1"/>
    </xf>
    <xf numFmtId="179" fontId="3" fillId="24" borderId="22" xfId="0" applyFont="1" applyFill="1" applyBorder="1" applyAlignment="1">
      <alignment horizontal="center" vertical="top" wrapText="1"/>
    </xf>
    <xf numFmtId="179" fontId="4" fillId="0" borderId="25" xfId="0" applyFont="1" applyBorder="1" applyAlignment="1">
      <alignment horizontal="center"/>
    </xf>
    <xf numFmtId="179" fontId="4" fillId="0" borderId="0" xfId="0" applyFont="1" applyAlignment="1">
      <alignment horizontal="center"/>
    </xf>
    <xf numFmtId="179" fontId="4" fillId="0" borderId="21" xfId="0" applyFont="1" applyFill="1" applyBorder="1" applyAlignment="1">
      <alignment horizontal="center" vertical="top" wrapText="1"/>
    </xf>
    <xf numFmtId="179" fontId="4" fillId="0" borderId="22" xfId="0" applyFont="1" applyFill="1" applyBorder="1" applyAlignment="1">
      <alignment horizontal="center" vertical="top" wrapText="1"/>
    </xf>
    <xf numFmtId="180" fontId="4" fillId="0" borderId="10" xfId="0" applyNumberFormat="1" applyFont="1" applyFill="1" applyBorder="1" applyAlignment="1">
      <alignment horizontal="center" vertical="center"/>
    </xf>
    <xf numFmtId="179" fontId="3" fillId="22" borderId="21" xfId="0" applyFont="1" applyFill="1" applyBorder="1" applyAlignment="1">
      <alignment horizontal="center" vertical="top" wrapText="1"/>
    </xf>
    <xf numFmtId="179" fontId="3" fillId="22" borderId="23" xfId="0" applyFont="1" applyFill="1" applyBorder="1" applyAlignment="1">
      <alignment horizontal="center" vertical="top" wrapText="1"/>
    </xf>
    <xf numFmtId="179" fontId="3" fillId="22" borderId="22" xfId="0" applyFont="1" applyFill="1" applyBorder="1" applyAlignment="1">
      <alignment horizontal="center" vertical="top" wrapText="1"/>
    </xf>
    <xf numFmtId="179" fontId="4" fillId="0" borderId="10" xfId="0" applyFont="1" applyBorder="1" applyAlignment="1">
      <alignment horizontal="center" vertical="top" wrapText="1"/>
    </xf>
    <xf numFmtId="179" fontId="4" fillId="0" borderId="0" xfId="48" applyNumberFormat="1" applyFont="1" applyBorder="1" applyAlignment="1" applyProtection="1">
      <alignment horizontal="center" vertical="top" wrapText="1"/>
    </xf>
    <xf numFmtId="179" fontId="3" fillId="0" borderId="0" xfId="48" applyNumberFormat="1" applyFont="1" applyBorder="1" applyAlignment="1" applyProtection="1">
      <alignment vertical="center"/>
    </xf>
    <xf numFmtId="179" fontId="3" fillId="0" borderId="13" xfId="48" applyFont="1" applyBorder="1" applyAlignment="1">
      <alignment vertical="center"/>
    </xf>
    <xf numFmtId="179" fontId="3" fillId="0" borderId="13" xfId="48" applyFont="1" applyBorder="1" applyAlignment="1">
      <alignment horizontal="center" vertical="center"/>
    </xf>
    <xf numFmtId="179" fontId="3" fillId="0" borderId="10" xfId="48" applyFont="1" applyBorder="1" applyAlignment="1">
      <alignment horizontal="center" vertical="center"/>
    </xf>
    <xf numFmtId="179" fontId="3" fillId="0" borderId="11" xfId="48" applyFont="1" applyBorder="1" applyAlignment="1">
      <alignment horizontal="center" vertical="center"/>
    </xf>
    <xf numFmtId="179" fontId="3" fillId="0" borderId="14" xfId="48" applyFont="1" applyBorder="1" applyAlignment="1">
      <alignment horizontal="center" vertical="center"/>
    </xf>
    <xf numFmtId="179" fontId="3" fillId="0" borderId="33" xfId="48" applyFont="1" applyBorder="1" applyAlignment="1">
      <alignment vertical="center"/>
    </xf>
    <xf numFmtId="179" fontId="3" fillId="0" borderId="22" xfId="48" applyFont="1" applyBorder="1" applyAlignment="1">
      <alignment vertical="center"/>
    </xf>
    <xf numFmtId="179" fontId="3" fillId="0" borderId="0" xfId="48" applyFont="1" applyBorder="1" applyAlignment="1">
      <alignment horizontal="center" vertical="center"/>
    </xf>
    <xf numFmtId="179" fontId="3" fillId="0" borderId="20" xfId="48" applyFont="1" applyBorder="1" applyAlignment="1">
      <alignment horizontal="center" vertical="center" wrapText="1"/>
    </xf>
    <xf numFmtId="179" fontId="3" fillId="0" borderId="15" xfId="48" applyFont="1" applyBorder="1" applyAlignment="1">
      <alignment horizontal="center" vertical="center" wrapText="1"/>
    </xf>
    <xf numFmtId="179" fontId="3" fillId="0" borderId="14" xfId="48" quotePrefix="1" applyFont="1" applyBorder="1" applyAlignment="1">
      <alignment vertical="center"/>
    </xf>
    <xf numFmtId="179" fontId="3" fillId="0" borderId="10" xfId="48" quotePrefix="1" applyFont="1" applyBorder="1" applyAlignment="1">
      <alignment vertical="center"/>
    </xf>
    <xf numFmtId="179" fontId="3" fillId="0" borderId="0" xfId="48" applyFont="1" applyBorder="1" applyAlignment="1">
      <alignment vertical="center"/>
    </xf>
    <xf numFmtId="179" fontId="4" fillId="0" borderId="0" xfId="48" applyFont="1" applyBorder="1" applyAlignment="1">
      <alignment vertical="center"/>
    </xf>
    <xf numFmtId="179" fontId="9" fillId="0" borderId="0" xfId="48" applyNumberFormat="1" applyFont="1" applyBorder="1" applyAlignment="1" applyProtection="1">
      <alignment horizontal="center" vertical="center"/>
    </xf>
    <xf numFmtId="179" fontId="3" fillId="0" borderId="0" xfId="48" applyNumberFormat="1" applyFont="1" applyBorder="1" applyAlignment="1" applyProtection="1">
      <alignment horizontal="center" vertical="center"/>
    </xf>
    <xf numFmtId="179" fontId="3" fillId="0" borderId="86" xfId="48" applyFont="1" applyBorder="1" applyAlignment="1">
      <alignment horizontal="center" vertical="top"/>
    </xf>
    <xf numFmtId="179" fontId="3" fillId="0" borderId="0" xfId="48" applyFont="1" applyBorder="1" applyAlignment="1">
      <alignment horizontal="center" vertical="center" wrapText="1"/>
    </xf>
    <xf numFmtId="179" fontId="3" fillId="19" borderId="0" xfId="48" applyNumberFormat="1" applyFont="1" applyFill="1" applyBorder="1" applyAlignment="1" applyProtection="1">
      <alignment horizontal="center" vertical="center"/>
    </xf>
    <xf numFmtId="0" fontId="4" fillId="0" borderId="10" xfId="0" applyNumberFormat="1" applyFont="1" applyFill="1" applyBorder="1" applyAlignment="1">
      <alignment horizontal="center" vertical="center" wrapText="1"/>
    </xf>
    <xf numFmtId="0" fontId="4" fillId="0" borderId="21" xfId="0" applyNumberFormat="1" applyFont="1" applyFill="1" applyBorder="1" applyAlignment="1">
      <alignment horizontal="center" vertical="center" wrapText="1"/>
    </xf>
    <xf numFmtId="0" fontId="4" fillId="0" borderId="23" xfId="0" applyNumberFormat="1" applyFont="1" applyFill="1" applyBorder="1" applyAlignment="1">
      <alignment horizontal="center" vertical="center" wrapText="1"/>
    </xf>
    <xf numFmtId="0" fontId="4" fillId="0" borderId="22" xfId="0" applyNumberFormat="1" applyFont="1" applyFill="1" applyBorder="1" applyAlignment="1">
      <alignment horizontal="center" vertical="center" wrapText="1"/>
    </xf>
    <xf numFmtId="179" fontId="3" fillId="0" borderId="10" xfId="0" applyFont="1" applyBorder="1" applyAlignment="1">
      <alignment horizontal="center" vertical="top" wrapText="1"/>
    </xf>
    <xf numFmtId="179" fontId="4" fillId="0" borderId="10" xfId="48" applyFill="1" applyBorder="1" applyAlignment="1">
      <alignment horizontal="left" vertical="top" wrapText="1"/>
    </xf>
    <xf numFmtId="179" fontId="3" fillId="0" borderId="11" xfId="48" applyFont="1" applyFill="1" applyBorder="1" applyAlignment="1">
      <alignment horizontal="center" vertical="center"/>
    </xf>
    <xf numFmtId="179" fontId="3" fillId="0" borderId="13" xfId="48" applyFont="1" applyFill="1" applyBorder="1" applyAlignment="1">
      <alignment horizontal="center" vertical="center"/>
    </xf>
    <xf numFmtId="179" fontId="3" fillId="0" borderId="14" xfId="48" applyFont="1" applyFill="1" applyBorder="1" applyAlignment="1">
      <alignment horizontal="center" vertical="center"/>
    </xf>
    <xf numFmtId="179" fontId="4" fillId="0" borderId="28" xfId="48" applyFont="1" applyFill="1" applyBorder="1" applyAlignment="1">
      <alignment horizontal="center" vertical="top" wrapText="1"/>
    </xf>
    <xf numFmtId="179" fontId="4" fillId="0" borderId="55" xfId="48" applyFont="1" applyFill="1" applyBorder="1" applyAlignment="1">
      <alignment horizontal="center" vertical="top" wrapText="1"/>
    </xf>
    <xf numFmtId="179" fontId="4" fillId="0" borderId="83" xfId="48" applyFill="1" applyBorder="1" applyAlignment="1">
      <alignment horizontal="center" vertical="top" wrapText="1"/>
    </xf>
    <xf numFmtId="179" fontId="4" fillId="0" borderId="43" xfId="48" applyFill="1" applyBorder="1" applyAlignment="1">
      <alignment horizontal="center" vertical="top" wrapText="1"/>
    </xf>
    <xf numFmtId="179" fontId="4" fillId="0" borderId="84" xfId="48" applyFill="1" applyBorder="1" applyAlignment="1">
      <alignment horizontal="center" vertical="top" wrapText="1"/>
    </xf>
    <xf numFmtId="179" fontId="4" fillId="0" borderId="25" xfId="48" applyFill="1" applyBorder="1" applyAlignment="1">
      <alignment horizontal="center" vertical="top" wrapText="1"/>
    </xf>
    <xf numFmtId="179" fontId="4" fillId="0" borderId="0" xfId="48" applyFill="1" applyBorder="1" applyAlignment="1">
      <alignment horizontal="center" vertical="top" wrapText="1"/>
    </xf>
    <xf numFmtId="179" fontId="4" fillId="0" borderId="53" xfId="48" applyFill="1" applyBorder="1" applyAlignment="1">
      <alignment horizontal="center" vertical="top" wrapText="1"/>
    </xf>
    <xf numFmtId="179" fontId="4" fillId="0" borderId="89" xfId="48" applyFill="1" applyBorder="1" applyAlignment="1">
      <alignment horizontal="center" vertical="top" wrapText="1"/>
    </xf>
    <xf numFmtId="179" fontId="4" fillId="0" borderId="86" xfId="48" applyFill="1" applyBorder="1" applyAlignment="1">
      <alignment horizontal="center" vertical="top" wrapText="1"/>
    </xf>
    <xf numFmtId="179" fontId="4" fillId="0" borderId="90" xfId="48" applyFill="1" applyBorder="1" applyAlignment="1">
      <alignment horizontal="center" vertical="top" wrapText="1"/>
    </xf>
    <xf numFmtId="179" fontId="63" fillId="0" borderId="0" xfId="48" applyFont="1" applyFill="1" applyAlignment="1">
      <alignment horizontal="left" vertical="top" wrapText="1"/>
    </xf>
    <xf numFmtId="179" fontId="63" fillId="0" borderId="34" xfId="48" applyFont="1" applyFill="1" applyBorder="1" applyAlignment="1">
      <alignment horizontal="left" vertical="top" wrapText="1"/>
    </xf>
    <xf numFmtId="179" fontId="4" fillId="0" borderId="10" xfId="48" applyFont="1" applyFill="1" applyBorder="1" applyAlignment="1">
      <alignment horizontal="center" vertical="top" wrapText="1"/>
    </xf>
    <xf numFmtId="179" fontId="4" fillId="0" borderId="28" xfId="48" applyFill="1" applyBorder="1" applyAlignment="1">
      <alignment horizontal="center" vertical="top" wrapText="1"/>
    </xf>
    <xf numFmtId="179" fontId="4" fillId="0" borderId="55" xfId="48" applyFill="1" applyBorder="1" applyAlignment="1">
      <alignment horizontal="center" vertical="top" wrapText="1"/>
    </xf>
    <xf numFmtId="179" fontId="4" fillId="0" borderId="28" xfId="48" applyFill="1" applyBorder="1" applyAlignment="1">
      <alignment horizontal="center" vertical="center" wrapText="1"/>
    </xf>
    <xf numFmtId="179" fontId="4" fillId="0" borderId="55" xfId="48" applyFill="1" applyBorder="1" applyAlignment="1">
      <alignment horizontal="center" vertical="center" wrapText="1"/>
    </xf>
    <xf numFmtId="179" fontId="4" fillId="0" borderId="38" xfId="48" applyFill="1" applyBorder="1" applyAlignment="1">
      <alignment horizontal="center" vertical="top" wrapText="1"/>
    </xf>
    <xf numFmtId="179" fontId="4" fillId="0" borderId="44" xfId="48" applyFill="1" applyBorder="1" applyAlignment="1">
      <alignment horizontal="center" vertical="top" wrapText="1"/>
    </xf>
    <xf numFmtId="179" fontId="63" fillId="20" borderId="0" xfId="48" applyFont="1" applyFill="1" applyBorder="1" applyAlignment="1">
      <alignment horizontal="left" vertical="top" wrapText="1"/>
    </xf>
    <xf numFmtId="179" fontId="4" fillId="0" borderId="85" xfId="48" applyFill="1" applyBorder="1" applyAlignment="1">
      <alignment horizontal="center" vertical="top" wrapText="1"/>
    </xf>
    <xf numFmtId="179" fontId="4" fillId="0" borderId="64" xfId="48" applyFill="1" applyBorder="1" applyAlignment="1">
      <alignment horizontal="center" vertical="top" wrapText="1"/>
    </xf>
    <xf numFmtId="179" fontId="4" fillId="0" borderId="88" xfId="48" applyFill="1" applyBorder="1" applyAlignment="1">
      <alignment horizontal="center" vertical="top" wrapText="1"/>
    </xf>
    <xf numFmtId="179" fontId="4" fillId="0" borderId="38" xfId="48" applyFill="1" applyBorder="1" applyAlignment="1">
      <alignment horizontal="center" vertical="center" wrapText="1"/>
    </xf>
    <xf numFmtId="179" fontId="4" fillId="0" borderId="44" xfId="48" applyFill="1" applyBorder="1" applyAlignment="1">
      <alignment horizontal="center" vertical="center" wrapText="1"/>
    </xf>
    <xf numFmtId="179" fontId="4" fillId="0" borderId="10" xfId="48" applyFill="1" applyBorder="1" applyAlignment="1">
      <alignment horizontal="center" vertical="center" wrapText="1"/>
    </xf>
    <xf numFmtId="179" fontId="4" fillId="0" borderId="27" xfId="48" applyFill="1" applyBorder="1" applyAlignment="1">
      <alignment horizontal="center" vertical="center" wrapText="1"/>
    </xf>
    <xf numFmtId="179" fontId="4" fillId="0" borderId="39" xfId="48" applyFill="1" applyBorder="1" applyAlignment="1">
      <alignment horizontal="center" vertical="center" wrapText="1"/>
    </xf>
    <xf numFmtId="179" fontId="4" fillId="0" borderId="46" xfId="48" applyFill="1" applyBorder="1" applyAlignment="1">
      <alignment horizontal="center" vertical="center" wrapText="1"/>
    </xf>
    <xf numFmtId="179" fontId="4" fillId="0" borderId="29" xfId="48" applyFill="1" applyBorder="1" applyAlignment="1">
      <alignment horizontal="center" vertical="top" wrapText="1"/>
    </xf>
    <xf numFmtId="179" fontId="4" fillId="0" borderId="31" xfId="48" applyFill="1" applyBorder="1" applyAlignment="1">
      <alignment horizontal="center" vertical="top" wrapText="1"/>
    </xf>
    <xf numFmtId="179" fontId="4" fillId="0" borderId="36" xfId="48" applyFill="1" applyBorder="1" applyAlignment="1">
      <alignment horizontal="center" vertical="top" wrapText="1"/>
    </xf>
    <xf numFmtId="179" fontId="4" fillId="0" borderId="40" xfId="48" applyFill="1" applyBorder="1" applyAlignment="1">
      <alignment horizontal="center" vertical="center"/>
    </xf>
    <xf numFmtId="179" fontId="4" fillId="0" borderId="23" xfId="48" applyFill="1" applyBorder="1" applyAlignment="1">
      <alignment horizontal="center" vertical="center"/>
    </xf>
    <xf numFmtId="179" fontId="4" fillId="0" borderId="72" xfId="48" applyFill="1" applyBorder="1" applyAlignment="1">
      <alignment horizontal="center" vertical="center"/>
    </xf>
    <xf numFmtId="179" fontId="4" fillId="0" borderId="10" xfId="48" applyFill="1" applyBorder="1" applyAlignment="1">
      <alignment horizontal="center" vertical="top"/>
    </xf>
    <xf numFmtId="179" fontId="4" fillId="0" borderId="38" xfId="48" applyFill="1" applyBorder="1" applyAlignment="1">
      <alignment horizontal="center" vertical="center"/>
    </xf>
    <xf numFmtId="179" fontId="4" fillId="0" borderId="10" xfId="48" applyFill="1" applyBorder="1" applyAlignment="1">
      <alignment horizontal="center" vertical="center"/>
    </xf>
    <xf numFmtId="179" fontId="4" fillId="0" borderId="39" xfId="48" applyFill="1" applyBorder="1" applyAlignment="1">
      <alignment horizontal="center" vertical="center"/>
    </xf>
    <xf numFmtId="179" fontId="4" fillId="0" borderId="85" xfId="0" applyFont="1" applyFill="1" applyBorder="1" applyAlignment="1">
      <alignment horizontal="center" vertical="center" wrapText="1"/>
    </xf>
    <xf numFmtId="179" fontId="4" fillId="0" borderId="64" xfId="0" applyFont="1" applyFill="1" applyBorder="1" applyAlignment="1">
      <alignment horizontal="center" vertical="center" wrapText="1"/>
    </xf>
    <xf numFmtId="179" fontId="63" fillId="20" borderId="10" xfId="48" applyFont="1" applyFill="1" applyBorder="1" applyAlignment="1">
      <alignment horizontal="center" vertical="top" wrapText="1"/>
    </xf>
    <xf numFmtId="179" fontId="4" fillId="20" borderId="21" xfId="48" applyFont="1" applyFill="1" applyBorder="1" applyAlignment="1">
      <alignment horizontal="center" vertical="center" wrapText="1"/>
    </xf>
    <xf numFmtId="179" fontId="4" fillId="20" borderId="22" xfId="48" applyFill="1" applyBorder="1" applyAlignment="1">
      <alignment horizontal="center" vertical="center" wrapText="1"/>
    </xf>
    <xf numFmtId="179" fontId="4" fillId="0" borderId="47" xfId="0" applyFont="1" applyFill="1" applyBorder="1" applyAlignment="1">
      <alignment horizontal="center" vertical="top" wrapText="1"/>
    </xf>
    <xf numFmtId="179" fontId="4" fillId="0" borderId="45" xfId="0" applyFont="1" applyFill="1" applyBorder="1" applyAlignment="1">
      <alignment horizontal="center" vertical="top" wrapText="1"/>
    </xf>
    <xf numFmtId="179" fontId="4" fillId="0" borderId="85" xfId="0" applyFont="1" applyBorder="1" applyAlignment="1">
      <alignment horizontal="center" vertical="top" wrapText="1"/>
    </xf>
    <xf numFmtId="179" fontId="4" fillId="0" borderId="88" xfId="0" applyFont="1" applyBorder="1" applyAlignment="1">
      <alignment horizontal="center" vertical="top" wrapText="1"/>
    </xf>
    <xf numFmtId="179" fontId="63" fillId="20" borderId="21" xfId="48" applyFont="1" applyFill="1" applyBorder="1" applyAlignment="1">
      <alignment horizontal="center" vertical="center" wrapText="1"/>
    </xf>
    <xf numFmtId="179" fontId="63" fillId="20" borderId="23" xfId="48" applyFont="1" applyFill="1" applyBorder="1" applyAlignment="1">
      <alignment horizontal="center" vertical="center" wrapText="1"/>
    </xf>
    <xf numFmtId="179" fontId="63" fillId="20" borderId="22" xfId="48" applyFont="1" applyFill="1" applyBorder="1" applyAlignment="1">
      <alignment horizontal="center" vertical="center" wrapText="1"/>
    </xf>
    <xf numFmtId="179" fontId="4" fillId="20" borderId="21" xfId="48" applyFill="1" applyBorder="1" applyAlignment="1">
      <alignment horizontal="center" vertical="center" wrapText="1"/>
    </xf>
    <xf numFmtId="179" fontId="3" fillId="20" borderId="10" xfId="48" applyFont="1" applyFill="1" applyBorder="1" applyAlignment="1">
      <alignment horizontal="center" vertical="center"/>
    </xf>
    <xf numFmtId="179" fontId="63" fillId="20" borderId="11" xfId="48" applyFont="1" applyFill="1" applyBorder="1" applyAlignment="1">
      <alignment horizontal="center" vertical="center" wrapText="1"/>
    </xf>
    <xf numFmtId="179" fontId="63" fillId="20" borderId="14" xfId="48" applyFont="1" applyFill="1" applyBorder="1" applyAlignment="1">
      <alignment horizontal="center" vertical="center" wrapText="1"/>
    </xf>
    <xf numFmtId="179" fontId="4" fillId="0" borderId="40" xfId="48" applyFill="1" applyBorder="1" applyAlignment="1">
      <alignment horizontal="center" vertical="top" wrapText="1"/>
    </xf>
    <xf numFmtId="179" fontId="4" fillId="0" borderId="87" xfId="48" applyFill="1" applyBorder="1" applyAlignment="1">
      <alignment horizontal="center" vertical="top" wrapText="1"/>
    </xf>
    <xf numFmtId="179" fontId="4" fillId="20" borderId="11" xfId="48" applyFont="1" applyFill="1" applyBorder="1" applyAlignment="1">
      <alignment horizontal="center" vertical="top" wrapText="1"/>
    </xf>
    <xf numFmtId="179" fontId="4" fillId="20" borderId="13" xfId="48" applyFont="1" applyFill="1" applyBorder="1" applyAlignment="1">
      <alignment horizontal="center" vertical="top" wrapText="1"/>
    </xf>
    <xf numFmtId="179" fontId="4" fillId="20" borderId="14" xfId="48" applyFont="1" applyFill="1" applyBorder="1" applyAlignment="1">
      <alignment horizontal="center" vertical="top" wrapText="1"/>
    </xf>
    <xf numFmtId="179" fontId="4" fillId="20" borderId="25" xfId="48" applyFont="1" applyFill="1" applyBorder="1" applyAlignment="1">
      <alignment horizontal="center" vertical="top" wrapText="1"/>
    </xf>
    <xf numFmtId="179" fontId="4" fillId="20" borderId="0" xfId="48" applyFont="1" applyFill="1" applyBorder="1" applyAlignment="1">
      <alignment horizontal="center" vertical="top" wrapText="1"/>
    </xf>
    <xf numFmtId="179" fontId="4" fillId="20" borderId="34" xfId="48" applyFont="1" applyFill="1" applyBorder="1" applyAlignment="1">
      <alignment horizontal="center" vertical="top" wrapText="1"/>
    </xf>
    <xf numFmtId="183" fontId="3" fillId="20" borderId="0" xfId="48" applyNumberFormat="1" applyFont="1" applyFill="1" applyAlignment="1">
      <alignment horizontal="left" vertical="center"/>
    </xf>
    <xf numFmtId="183" fontId="4" fillId="20" borderId="0" xfId="48" applyNumberFormat="1" applyFont="1" applyFill="1" applyAlignment="1">
      <alignment horizontal="left" vertical="center"/>
    </xf>
    <xf numFmtId="179" fontId="4" fillId="20" borderId="21" xfId="48" applyFill="1" applyBorder="1" applyAlignment="1">
      <alignment horizontal="center"/>
    </xf>
    <xf numFmtId="179" fontId="4" fillId="20" borderId="22" xfId="48" applyFill="1" applyBorder="1" applyAlignment="1">
      <alignment horizontal="center"/>
    </xf>
    <xf numFmtId="179" fontId="63" fillId="20" borderId="10" xfId="48" applyFont="1" applyFill="1" applyBorder="1" applyAlignment="1">
      <alignment horizontal="center" vertical="center" wrapText="1"/>
    </xf>
    <xf numFmtId="179" fontId="63" fillId="20" borderId="11" xfId="48" applyFont="1" applyFill="1" applyBorder="1" applyAlignment="1">
      <alignment horizontal="center" vertical="top" wrapText="1"/>
    </xf>
    <xf numFmtId="179" fontId="63" fillId="20" borderId="13" xfId="48" applyFont="1" applyFill="1" applyBorder="1" applyAlignment="1">
      <alignment horizontal="center" vertical="top" wrapText="1"/>
    </xf>
    <xf numFmtId="179" fontId="63" fillId="20" borderId="14" xfId="48" applyFont="1" applyFill="1" applyBorder="1" applyAlignment="1">
      <alignment horizontal="center" vertical="top" wrapText="1"/>
    </xf>
    <xf numFmtId="179" fontId="63" fillId="0" borderId="0" xfId="48" applyFont="1" applyFill="1" applyBorder="1" applyAlignment="1">
      <alignment horizontal="left" vertical="top" wrapText="1"/>
    </xf>
    <xf numFmtId="179" fontId="63" fillId="0" borderId="11" xfId="48" applyFont="1" applyFill="1" applyBorder="1" applyAlignment="1">
      <alignment horizontal="left" vertical="top" wrapText="1"/>
    </xf>
    <xf numFmtId="179" fontId="63" fillId="0" borderId="13" xfId="48" applyFont="1" applyFill="1" applyBorder="1" applyAlignment="1">
      <alignment horizontal="left" vertical="top" wrapText="1"/>
    </xf>
    <xf numFmtId="179" fontId="63" fillId="0" borderId="14" xfId="48" applyFont="1" applyFill="1" applyBorder="1" applyAlignment="1">
      <alignment horizontal="left" vertical="top" wrapText="1"/>
    </xf>
    <xf numFmtId="179" fontId="3" fillId="20" borderId="11" xfId="48" applyFont="1" applyFill="1" applyBorder="1" applyAlignment="1">
      <alignment horizontal="center" vertical="top" wrapText="1"/>
    </xf>
    <xf numFmtId="179" fontId="3" fillId="20" borderId="13" xfId="48" applyFont="1" applyFill="1" applyBorder="1" applyAlignment="1">
      <alignment horizontal="center" vertical="top" wrapText="1"/>
    </xf>
    <xf numFmtId="179" fontId="3" fillId="20" borderId="14" xfId="48" applyFont="1" applyFill="1" applyBorder="1" applyAlignment="1">
      <alignment horizontal="center" vertical="top" wrapText="1"/>
    </xf>
    <xf numFmtId="213" fontId="9" fillId="0" borderId="70" xfId="44" applyNumberFormat="1" applyFont="1" applyFill="1" applyBorder="1" applyAlignment="1">
      <alignment horizontal="center" vertical="center" wrapText="1"/>
    </xf>
    <xf numFmtId="213" fontId="9" fillId="0" borderId="43" xfId="44" applyNumberFormat="1" applyFont="1" applyFill="1" applyBorder="1" applyAlignment="1">
      <alignment horizontal="center" vertical="center" wrapText="1"/>
    </xf>
    <xf numFmtId="213" fontId="9" fillId="0" borderId="84" xfId="44" applyNumberFormat="1" applyFont="1" applyFill="1" applyBorder="1" applyAlignment="1">
      <alignment horizontal="center" vertical="center" wrapText="1"/>
    </xf>
    <xf numFmtId="213" fontId="9" fillId="0" borderId="62" xfId="44" applyNumberFormat="1" applyFont="1" applyFill="1" applyBorder="1" applyAlignment="1">
      <alignment horizontal="center" vertical="center" wrapText="1"/>
    </xf>
    <xf numFmtId="213" fontId="9" fillId="0" borderId="86" xfId="44" applyNumberFormat="1" applyFont="1" applyFill="1" applyBorder="1" applyAlignment="1">
      <alignment horizontal="center" vertical="center" wrapText="1"/>
    </xf>
    <xf numFmtId="213" fontId="9" fillId="0" borderId="90" xfId="44" applyNumberFormat="1" applyFont="1" applyFill="1" applyBorder="1" applyAlignment="1">
      <alignment horizontal="center" vertical="center" wrapText="1"/>
    </xf>
    <xf numFmtId="0" fontId="83" fillId="0" borderId="35" xfId="44" applyFont="1" applyBorder="1" applyAlignment="1">
      <alignment horizontal="center" vertical="center"/>
    </xf>
    <xf numFmtId="0" fontId="83" fillId="0" borderId="31" xfId="44" applyFont="1" applyBorder="1" applyAlignment="1">
      <alignment horizontal="center" vertical="center"/>
    </xf>
    <xf numFmtId="0" fontId="83" fillId="0" borderId="36" xfId="44" applyFont="1" applyBorder="1" applyAlignment="1">
      <alignment horizontal="center" vertical="center"/>
    </xf>
    <xf numFmtId="179" fontId="9" fillId="0" borderId="70" xfId="60" applyNumberFormat="1" applyFont="1" applyBorder="1" applyAlignment="1">
      <alignment horizontal="center" vertical="center" wrapText="1"/>
    </xf>
    <xf numFmtId="179" fontId="9" fillId="0" borderId="84" xfId="60" applyNumberFormat="1" applyFont="1" applyBorder="1" applyAlignment="1">
      <alignment horizontal="center" vertical="center" wrapText="1"/>
    </xf>
    <xf numFmtId="179" fontId="9" fillId="0" borderId="70" xfId="60" applyNumberFormat="1" applyFont="1" applyBorder="1" applyAlignment="1">
      <alignment horizontal="center" vertical="center"/>
    </xf>
    <xf numFmtId="179" fontId="9" fillId="0" borderId="84" xfId="60" applyNumberFormat="1" applyFont="1" applyBorder="1" applyAlignment="1">
      <alignment horizontal="center" vertical="center"/>
    </xf>
    <xf numFmtId="179" fontId="9" fillId="0" borderId="79" xfId="60" applyNumberFormat="1" applyFont="1" applyBorder="1" applyAlignment="1">
      <alignment horizontal="center" vertical="center" wrapText="1"/>
    </xf>
    <xf numFmtId="179" fontId="9" fillId="0" borderId="90" xfId="60" applyNumberFormat="1" applyFont="1" applyBorder="1" applyAlignment="1">
      <alignment horizontal="center" vertical="center" wrapText="1"/>
    </xf>
    <xf numFmtId="179" fontId="9" fillId="0" borderId="62" xfId="60" applyNumberFormat="1" applyFont="1" applyBorder="1" applyAlignment="1">
      <alignment horizontal="center" vertical="center" wrapText="1"/>
    </xf>
    <xf numFmtId="213" fontId="9" fillId="20" borderId="70" xfId="44" applyNumberFormat="1" applyFont="1" applyFill="1" applyBorder="1" applyAlignment="1">
      <alignment horizontal="center" vertical="center" wrapText="1"/>
    </xf>
    <xf numFmtId="213" fontId="9" fillId="20" borderId="43" xfId="44" applyNumberFormat="1" applyFont="1" applyFill="1" applyBorder="1" applyAlignment="1">
      <alignment horizontal="center" vertical="center" wrapText="1"/>
    </xf>
    <xf numFmtId="213" fontId="9" fillId="20" borderId="84" xfId="44" applyNumberFormat="1" applyFont="1" applyFill="1" applyBorder="1" applyAlignment="1">
      <alignment horizontal="center" vertical="center" wrapText="1"/>
    </xf>
    <xf numFmtId="213" fontId="9" fillId="20" borderId="91" xfId="44" applyNumberFormat="1" applyFont="1" applyFill="1" applyBorder="1" applyAlignment="1">
      <alignment horizontal="center" vertical="center" wrapText="1"/>
    </xf>
    <xf numFmtId="213" fontId="9" fillId="20" borderId="0" xfId="44" applyNumberFormat="1" applyFont="1" applyFill="1" applyBorder="1" applyAlignment="1">
      <alignment horizontal="center" vertical="center" wrapText="1"/>
    </xf>
    <xf numFmtId="213" fontId="9" fillId="20" borderId="53" xfId="44" applyNumberFormat="1" applyFont="1" applyFill="1" applyBorder="1" applyAlignment="1">
      <alignment horizontal="center" vertical="center" wrapText="1"/>
    </xf>
    <xf numFmtId="3" fontId="9" fillId="0" borderId="79" xfId="44" applyNumberFormat="1" applyFont="1" applyBorder="1" applyAlignment="1">
      <alignment horizontal="center" vertical="center" wrapText="1"/>
    </xf>
    <xf numFmtId="3" fontId="9" fillId="0" borderId="52" xfId="44" applyNumberFormat="1" applyFont="1" applyBorder="1" applyAlignment="1">
      <alignment horizontal="center" vertical="center" wrapText="1"/>
    </xf>
    <xf numFmtId="3" fontId="9" fillId="0" borderId="63" xfId="44" applyNumberFormat="1" applyFont="1" applyBorder="1" applyAlignment="1">
      <alignment horizontal="center" vertical="center" wrapText="1"/>
    </xf>
    <xf numFmtId="213" fontId="9" fillId="0" borderId="79" xfId="44" applyNumberFormat="1" applyFont="1" applyFill="1" applyBorder="1" applyAlignment="1">
      <alignment horizontal="center" vertical="center"/>
    </xf>
    <xf numFmtId="213" fontId="9" fillId="0" borderId="52" xfId="44" applyNumberFormat="1" applyFont="1" applyFill="1" applyBorder="1" applyAlignment="1">
      <alignment horizontal="center" vertical="center"/>
    </xf>
    <xf numFmtId="213" fontId="9" fillId="0" borderId="63" xfId="44" applyNumberFormat="1" applyFont="1" applyFill="1" applyBorder="1" applyAlignment="1">
      <alignment horizontal="center" vertical="center"/>
    </xf>
    <xf numFmtId="0" fontId="82" fillId="0" borderId="0" xfId="44" applyFont="1" applyFill="1" applyAlignment="1">
      <alignment horizontal="center" vertical="center"/>
    </xf>
    <xf numFmtId="179" fontId="9" fillId="0" borderId="70" xfId="60" applyNumberFormat="1" applyFont="1" applyFill="1" applyBorder="1" applyAlignment="1">
      <alignment horizontal="center" vertical="center" wrapText="1"/>
    </xf>
    <xf numFmtId="179" fontId="9" fillId="0" borderId="43" xfId="60" applyNumberFormat="1" applyFont="1" applyFill="1" applyBorder="1" applyAlignment="1">
      <alignment horizontal="center" vertical="center" wrapText="1"/>
    </xf>
    <xf numFmtId="179" fontId="9" fillId="0" borderId="84" xfId="60" applyNumberFormat="1" applyFont="1" applyFill="1" applyBorder="1" applyAlignment="1">
      <alignment horizontal="center" vertical="center" wrapText="1"/>
    </xf>
    <xf numFmtId="179" fontId="9" fillId="0" borderId="91" xfId="60" applyNumberFormat="1" applyFont="1" applyFill="1" applyBorder="1" applyAlignment="1">
      <alignment horizontal="center" vertical="center" wrapText="1"/>
    </xf>
    <xf numFmtId="179" fontId="9" fillId="0" borderId="0" xfId="60" applyNumberFormat="1" applyFont="1" applyFill="1" applyBorder="1" applyAlignment="1">
      <alignment horizontal="center" vertical="center" wrapText="1"/>
    </xf>
    <xf numFmtId="179" fontId="9" fillId="0" borderId="53" xfId="60" applyNumberFormat="1" applyFont="1" applyFill="1" applyBorder="1" applyAlignment="1">
      <alignment horizontal="center" vertical="center" wrapText="1"/>
    </xf>
    <xf numFmtId="179" fontId="9" fillId="0" borderId="62" xfId="60" applyNumberFormat="1" applyFont="1" applyFill="1" applyBorder="1" applyAlignment="1">
      <alignment horizontal="center" vertical="center" wrapText="1"/>
    </xf>
    <xf numFmtId="179" fontId="9" fillId="0" borderId="86" xfId="60" applyNumberFormat="1" applyFont="1" applyFill="1" applyBorder="1" applyAlignment="1">
      <alignment horizontal="center" vertical="center" wrapText="1"/>
    </xf>
    <xf numFmtId="179" fontId="9" fillId="0" borderId="90" xfId="60" applyNumberFormat="1" applyFont="1" applyFill="1" applyBorder="1" applyAlignment="1">
      <alignment horizontal="center" vertical="center" wrapText="1"/>
    </xf>
  </cellXfs>
  <cellStyles count="7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Calculation 2" xfId="26"/>
    <cellStyle name="Check Cell 2" xfId="27"/>
    <cellStyle name="Comma" xfId="28" builtinId="3"/>
    <cellStyle name="Comma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xfId="0" builtinId="0"/>
    <cellStyle name="Normal 10 2" xfId="39"/>
    <cellStyle name="Normal 15" xfId="40"/>
    <cellStyle name="Normal 19" xfId="41"/>
    <cellStyle name="Normal 2" xfId="42"/>
    <cellStyle name="Normal 2 2" xfId="43"/>
    <cellStyle name="Normal 2 2 2" xfId="44"/>
    <cellStyle name="Normal 2 2 3" xfId="45"/>
    <cellStyle name="Normal 2 3" xfId="46"/>
    <cellStyle name="Normal 29" xfId="47"/>
    <cellStyle name="Normal 3" xfId="48"/>
    <cellStyle name="Normal 3 2" xfId="49"/>
    <cellStyle name="Normal 3 2 2" xfId="50"/>
    <cellStyle name="Normal 3 3" xfId="51"/>
    <cellStyle name="Normal 4" xfId="52"/>
    <cellStyle name="Normal 5" xfId="53"/>
    <cellStyle name="Normal 6" xfId="54"/>
    <cellStyle name="Normal 6 2 2" xfId="55"/>
    <cellStyle name="Normal 7" xfId="56"/>
    <cellStyle name="Normal 8" xfId="57"/>
    <cellStyle name="Normal 8 2" xfId="58"/>
    <cellStyle name="Normal 9" xfId="59"/>
    <cellStyle name="Normal_Sheet2 2" xfId="60"/>
    <cellStyle name="Note 2" xfId="61"/>
    <cellStyle name="Output 2" xfId="62"/>
    <cellStyle name="Percent" xfId="63" builtinId="5"/>
    <cellStyle name="Percent 10 2" xfId="64"/>
    <cellStyle name="Percent 2" xfId="65"/>
    <cellStyle name="Percent 2 2" xfId="66"/>
    <cellStyle name="Percent 3" xfId="67"/>
    <cellStyle name="Percent 4 2" xfId="68"/>
    <cellStyle name="Title 2" xfId="69"/>
    <cellStyle name="Total 2" xfId="70"/>
    <cellStyle name="Warning Text 2" xfId="71"/>
    <cellStyle name="常规_Sheet1" xfId="7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IN"/>
              <a:t>Financial Analysis of COB at RSP</a:t>
            </a:r>
          </a:p>
        </c:rich>
      </c:tx>
      <c:overlay val="0"/>
    </c:title>
    <c:autoTitleDeleted val="0"/>
    <c:plotArea>
      <c:layout/>
      <c:lineChart>
        <c:grouping val="standard"/>
        <c:varyColors val="0"/>
        <c:ser>
          <c:idx val="1"/>
          <c:order val="0"/>
          <c:tx>
            <c:strRef>
              <c:f>'Report '!$D$62</c:f>
              <c:strCache>
                <c:ptCount val="1"/>
                <c:pt idx="0">
                  <c:v>Stamp (Blend I- 4Yrs Coal Price)</c:v>
                </c:pt>
              </c:strCache>
            </c:strRef>
          </c:tx>
          <c:cat>
            <c:strRef>
              <c:f>'Report '!$C$63:$C$73</c:f>
              <c:strCache>
                <c:ptCount val="11"/>
                <c:pt idx="0">
                  <c:v>-30%</c:v>
                </c:pt>
                <c:pt idx="1">
                  <c:v>-25%</c:v>
                </c:pt>
                <c:pt idx="2">
                  <c:v>-20%</c:v>
                </c:pt>
                <c:pt idx="3">
                  <c:v>-15%</c:v>
                </c:pt>
                <c:pt idx="4">
                  <c:v>-10%</c:v>
                </c:pt>
                <c:pt idx="5">
                  <c:v>-5%</c:v>
                </c:pt>
                <c:pt idx="6">
                  <c:v>Base Case</c:v>
                </c:pt>
                <c:pt idx="7">
                  <c:v>5%</c:v>
                </c:pt>
                <c:pt idx="8">
                  <c:v>10%</c:v>
                </c:pt>
                <c:pt idx="9">
                  <c:v>15%</c:v>
                </c:pt>
                <c:pt idx="10">
                  <c:v>20%</c:v>
                </c:pt>
              </c:strCache>
            </c:strRef>
          </c:cat>
          <c:val>
            <c:numRef>
              <c:f>'Report '!$D$63:$D$73</c:f>
              <c:numCache>
                <c:formatCode>0.00%</c:formatCode>
                <c:ptCount val="11"/>
                <c:pt idx="0">
                  <c:v>0.31422518570114</c:v>
                </c:pt>
                <c:pt idx="1">
                  <c:v>0.30515641556149786</c:v>
                </c:pt>
                <c:pt idx="2">
                  <c:v>0.29592861525252445</c:v>
                </c:pt>
                <c:pt idx="3">
                  <c:v>0.28653174926947345</c:v>
                </c:pt>
                <c:pt idx="4">
                  <c:v>0.27695451854544184</c:v>
                </c:pt>
                <c:pt idx="5">
                  <c:v>0.26718412290945359</c:v>
                </c:pt>
                <c:pt idx="6">
                  <c:v>0.25720596474549184</c:v>
                </c:pt>
                <c:pt idx="7">
                  <c:v>0.24698662653189407</c:v>
                </c:pt>
                <c:pt idx="8">
                  <c:v>0.23603354953697653</c:v>
                </c:pt>
                <c:pt idx="9">
                  <c:v>0.22482937663397329</c:v>
                </c:pt>
                <c:pt idx="10">
                  <c:v>0.21281498801926579</c:v>
                </c:pt>
              </c:numCache>
            </c:numRef>
          </c:val>
          <c:smooth val="0"/>
          <c:extLst>
            <c:ext xmlns:c16="http://schemas.microsoft.com/office/drawing/2014/chart" uri="{C3380CC4-5D6E-409C-BE32-E72D297353CC}">
              <c16:uniqueId val="{00000000-7426-4076-8A9D-D4BE6837412B}"/>
            </c:ext>
          </c:extLst>
        </c:ser>
        <c:ser>
          <c:idx val="2"/>
          <c:order val="1"/>
          <c:tx>
            <c:strRef>
              <c:f>'Report '!$E$62</c:f>
              <c:strCache>
                <c:ptCount val="1"/>
                <c:pt idx="0">
                  <c:v>Tall Top (4 yrs Coal Price)</c:v>
                </c:pt>
              </c:strCache>
            </c:strRef>
          </c:tx>
          <c:cat>
            <c:strRef>
              <c:f>'Report '!$C$63:$C$73</c:f>
              <c:strCache>
                <c:ptCount val="11"/>
                <c:pt idx="0">
                  <c:v>-30%</c:v>
                </c:pt>
                <c:pt idx="1">
                  <c:v>-25%</c:v>
                </c:pt>
                <c:pt idx="2">
                  <c:v>-20%</c:v>
                </c:pt>
                <c:pt idx="3">
                  <c:v>-15%</c:v>
                </c:pt>
                <c:pt idx="4">
                  <c:v>-10%</c:v>
                </c:pt>
                <c:pt idx="5">
                  <c:v>-5%</c:v>
                </c:pt>
                <c:pt idx="6">
                  <c:v>Base Case</c:v>
                </c:pt>
                <c:pt idx="7">
                  <c:v>5%</c:v>
                </c:pt>
                <c:pt idx="8">
                  <c:v>10%</c:v>
                </c:pt>
                <c:pt idx="9">
                  <c:v>15%</c:v>
                </c:pt>
                <c:pt idx="10">
                  <c:v>20%</c:v>
                </c:pt>
              </c:strCache>
            </c:strRef>
          </c:cat>
          <c:val>
            <c:numRef>
              <c:f>'Report '!$E$63:$E$73</c:f>
              <c:numCache>
                <c:formatCode>0.00%</c:formatCode>
                <c:ptCount val="11"/>
                <c:pt idx="0">
                  <c:v>0.3354337162253147</c:v>
                </c:pt>
                <c:pt idx="1">
                  <c:v>0.32066582675175126</c:v>
                </c:pt>
                <c:pt idx="2">
                  <c:v>0.30551788204166419</c:v>
                </c:pt>
                <c:pt idx="3">
                  <c:v>0.28995357007104205</c:v>
                </c:pt>
                <c:pt idx="4">
                  <c:v>0.27392897552393336</c:v>
                </c:pt>
                <c:pt idx="5">
                  <c:v>0.25739007561734151</c:v>
                </c:pt>
                <c:pt idx="6">
                  <c:v>0.24026911736261636</c:v>
                </c:pt>
                <c:pt idx="7">
                  <c:v>0.22172237282079776</c:v>
                </c:pt>
                <c:pt idx="8">
                  <c:v>0.2014532777141862</c:v>
                </c:pt>
                <c:pt idx="9">
                  <c:v>0.17842745535107341</c:v>
                </c:pt>
                <c:pt idx="10">
                  <c:v>0.15282703945387732</c:v>
                </c:pt>
              </c:numCache>
            </c:numRef>
          </c:val>
          <c:smooth val="0"/>
          <c:extLst>
            <c:ext xmlns:c16="http://schemas.microsoft.com/office/drawing/2014/chart" uri="{C3380CC4-5D6E-409C-BE32-E72D297353CC}">
              <c16:uniqueId val="{00000001-7426-4076-8A9D-D4BE6837412B}"/>
            </c:ext>
          </c:extLst>
        </c:ser>
        <c:dLbls>
          <c:showLegendKey val="0"/>
          <c:showVal val="0"/>
          <c:showCatName val="0"/>
          <c:showSerName val="0"/>
          <c:showPercent val="0"/>
          <c:showBubbleSize val="0"/>
        </c:dLbls>
        <c:marker val="1"/>
        <c:smooth val="0"/>
        <c:axId val="1680667872"/>
        <c:axId val="1"/>
      </c:lineChart>
      <c:catAx>
        <c:axId val="1680667872"/>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n-IN"/>
                  <a:t>Imported coal price trend</a:t>
                </a:r>
              </a:p>
            </c:rich>
          </c:tx>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IN"/>
                  <a:t>IRR (Poet Tax)</a:t>
                </a:r>
              </a:p>
            </c:rich>
          </c:tx>
          <c:overlay val="0"/>
        </c:title>
        <c:numFmt formatCode="0.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680667872"/>
        <c:crosses val="autoZero"/>
        <c:crossBetween val="between"/>
      </c:valAx>
    </c:plotArea>
    <c:legend>
      <c:legendPos val="r"/>
      <c:layout>
        <c:manualLayout>
          <c:xMode val="edge"/>
          <c:yMode val="edge"/>
          <c:wMode val="edge"/>
          <c:hMode val="edge"/>
          <c:x val="0.32636137121373343"/>
          <c:y val="0.93118390321691713"/>
          <c:w val="0.67637210044690366"/>
          <c:h val="0.97937825542891477"/>
        </c:manualLayout>
      </c:layout>
      <c:overlay val="0"/>
      <c:txPr>
        <a:bodyPr/>
        <a:lstStyle/>
        <a:p>
          <a:pPr>
            <a:defRPr sz="92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Calibri"/>
                <a:ea typeface="Calibri"/>
                <a:cs typeface="Calibri"/>
              </a:defRPr>
            </a:pPr>
            <a:r>
              <a:rPr lang="en-IN"/>
              <a:t>Name of assignment</a:t>
            </a:r>
          </a:p>
        </c:rich>
      </c:tx>
      <c:overlay val="0"/>
    </c:title>
    <c:autoTitleDeleted val="0"/>
    <c:plotArea>
      <c:layout>
        <c:manualLayout>
          <c:layoutTarget val="inner"/>
          <c:xMode val="edge"/>
          <c:yMode val="edge"/>
          <c:x val="8.070093506083223E-2"/>
          <c:y val="0.30487218129991855"/>
          <c:w val="0.86488079028406062"/>
          <c:h val="0.58177900684666428"/>
        </c:manualLayout>
      </c:layout>
      <c:barChart>
        <c:barDir val="col"/>
        <c:grouping val="clustered"/>
        <c:varyColors val="0"/>
        <c:ser>
          <c:idx val="0"/>
          <c:order val="0"/>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('Capcost Tall '!$B$113,'Capcost Tall '!$B$117,'Capcost Tall '!$B$118,'Capcost Tall '!$B$119,'Capcost Tall '!$B$120,'Capcost Tall '!$B$121,'Capcost Tall '!$B$123,'Capcost Tall '!$B$125,'Capcost Tall '!$B$127,'Capcost Tall '!$B$128)</c:f>
              <c:strCache>
                <c:ptCount val="10"/>
                <c:pt idx="0">
                  <c:v>Equipment</c:v>
                </c:pt>
                <c:pt idx="1">
                  <c:v>Civil Works</c:v>
                </c:pt>
                <c:pt idx="2">
                  <c:v>Erec. &amp; Comm.</c:v>
                </c:pt>
                <c:pt idx="3">
                  <c:v>Engg. &amp; Constn</c:v>
                </c:pt>
                <c:pt idx="4">
                  <c:v>Freight &amp; Insurance</c:v>
                </c:pt>
                <c:pt idx="5">
                  <c:v>Taxes &amp; Duties</c:v>
                </c:pt>
                <c:pt idx="6">
                  <c:v>Contingencies</c:v>
                </c:pt>
                <c:pt idx="7">
                  <c:v>IDC </c:v>
                </c:pt>
                <c:pt idx="8">
                  <c:v>Input tax credit (ITC) on GST </c:v>
                </c:pt>
                <c:pt idx="9">
                  <c:v>Capital Cost net of ITC on GST</c:v>
                </c:pt>
              </c:strCache>
            </c:strRef>
          </c:cat>
          <c:val>
            <c:numRef>
              <c:f>('Capcost Tall '!$E$113,'Capcost Tall '!$E$117,'Capcost Tall '!$E$118,'Capcost Tall '!$E$119,'Capcost Tall '!$E$120,'Capcost Tall '!$E$121,'Capcost Tall '!$E$123,'Capcost Tall '!$E$125,'Capcost Tall '!$E$127,'Capcost Tall '!$E$128)</c:f>
              <c:numCache>
                <c:formatCode>0.00_)</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D6B-4B7E-879A-598FC7B80E9E}"/>
            </c:ext>
          </c:extLst>
        </c:ser>
        <c:dLbls>
          <c:showLegendKey val="0"/>
          <c:showVal val="0"/>
          <c:showCatName val="0"/>
          <c:showSerName val="0"/>
          <c:showPercent val="0"/>
          <c:showBubbleSize val="0"/>
        </c:dLbls>
        <c:gapWidth val="150"/>
        <c:axId val="1680664672"/>
        <c:axId val="1"/>
      </c:barChart>
      <c:catAx>
        <c:axId val="1680664672"/>
        <c:scaling>
          <c:orientation val="minMax"/>
        </c:scaling>
        <c:delete val="0"/>
        <c:axPos val="b"/>
        <c:title>
          <c:tx>
            <c:rich>
              <a:bodyPr/>
              <a:lstStyle/>
              <a:p>
                <a:pPr>
                  <a:defRPr sz="1000" b="1" i="0" u="none" strike="noStrike" baseline="0">
                    <a:solidFill>
                      <a:srgbClr val="000000"/>
                    </a:solidFill>
                    <a:latin typeface="Calibri"/>
                    <a:ea typeface="Calibri"/>
                    <a:cs typeface="Calibri"/>
                  </a:defRPr>
                </a:pPr>
                <a:r>
                  <a:rPr lang="en-IN"/>
                  <a:t>Cost Element</a:t>
                </a:r>
              </a:p>
            </c:rich>
          </c:tx>
          <c:overlay val="0"/>
        </c:title>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IN"/>
                  <a:t>Capital cost in Rs. Cr.</a:t>
                </a:r>
              </a:p>
            </c:rich>
          </c:tx>
          <c:overlay val="0"/>
        </c:title>
        <c:numFmt formatCode="0.00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680664672"/>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0</xdr:row>
      <xdr:rowOff>7620</xdr:rowOff>
    </xdr:from>
    <xdr:to>
      <xdr:col>10</xdr:col>
      <xdr:colOff>0</xdr:colOff>
      <xdr:row>2</xdr:row>
      <xdr:rowOff>121920</xdr:rowOff>
    </xdr:to>
    <xdr:pic>
      <xdr:nvPicPr>
        <xdr:cNvPr id="2132748" name="Picture 3" descr="logo_dashboard">
          <a:extLst>
            <a:ext uri="{FF2B5EF4-FFF2-40B4-BE49-F238E27FC236}">
              <a16:creationId xmlns:a16="http://schemas.microsoft.com/office/drawing/2014/main" id="{9D683374-D328-4E10-8FDF-7E0182A35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9700" y="7620"/>
          <a:ext cx="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76200</xdr:colOff>
      <xdr:row>39</xdr:row>
      <xdr:rowOff>426720</xdr:rowOff>
    </xdr:from>
    <xdr:to>
      <xdr:col>9</xdr:col>
      <xdr:colOff>1135380</xdr:colOff>
      <xdr:row>59</xdr:row>
      <xdr:rowOff>30480</xdr:rowOff>
    </xdr:to>
    <xdr:graphicFrame macro="">
      <xdr:nvGraphicFramePr>
        <xdr:cNvPr id="2132749" name="Chart 1">
          <a:extLst>
            <a:ext uri="{FF2B5EF4-FFF2-40B4-BE49-F238E27FC236}">
              <a16:creationId xmlns:a16="http://schemas.microsoft.com/office/drawing/2014/main" id="{A2527A28-07AD-4964-8243-A3D54F3A62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701040</xdr:colOff>
      <xdr:row>2</xdr:row>
      <xdr:rowOff>114300</xdr:rowOff>
    </xdr:to>
    <xdr:pic>
      <xdr:nvPicPr>
        <xdr:cNvPr id="2374433" name="Picture 3" descr="logo_dashboard">
          <a:extLst>
            <a:ext uri="{FF2B5EF4-FFF2-40B4-BE49-F238E27FC236}">
              <a16:creationId xmlns:a16="http://schemas.microsoft.com/office/drawing/2014/main" id="{BBF26265-17DC-4343-A565-09FFF4D43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28160" y="0"/>
          <a:ext cx="7010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0</xdr:colOff>
      <xdr:row>52</xdr:row>
      <xdr:rowOff>0</xdr:rowOff>
    </xdr:from>
    <xdr:to>
      <xdr:col>33</xdr:col>
      <xdr:colOff>693420</xdr:colOff>
      <xdr:row>54</xdr:row>
      <xdr:rowOff>114300</xdr:rowOff>
    </xdr:to>
    <xdr:pic>
      <xdr:nvPicPr>
        <xdr:cNvPr id="2374434" name="Picture 3" descr="logo_dashboard">
          <a:extLst>
            <a:ext uri="{FF2B5EF4-FFF2-40B4-BE49-F238E27FC236}">
              <a16:creationId xmlns:a16="http://schemas.microsoft.com/office/drawing/2014/main" id="{F1215FD6-45FC-4631-A062-BE9445BBE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9080" y="18501360"/>
          <a:ext cx="69342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c:userShapes xmlns:c="http://schemas.openxmlformats.org/drawingml/2006/chart">
  <cdr:relSizeAnchor xmlns:cdr="http://schemas.openxmlformats.org/drawingml/2006/chartDrawing">
    <cdr:from>
      <cdr:x>0.38018</cdr:x>
      <cdr:y>0.32602</cdr:y>
    </cdr:from>
    <cdr:to>
      <cdr:x>0.38183</cdr:x>
      <cdr:y>0.78001</cdr:y>
    </cdr:to>
    <cdr:cxnSp macro="">
      <cdr:nvCxnSpPr>
        <cdr:cNvPr id="3" name="Straight Arrow Connector 2">
          <a:extLst xmlns:a="http://schemas.openxmlformats.org/drawingml/2006/main">
            <a:ext uri="{FF2B5EF4-FFF2-40B4-BE49-F238E27FC236}">
              <a16:creationId xmlns:a16="http://schemas.microsoft.com/office/drawing/2014/main" id="{B78D1EF9-B7A0-4254-AA6F-456DF32EFB39}"/>
            </a:ext>
          </a:extLst>
        </cdr:cNvPr>
        <cdr:cNvCxnSpPr/>
      </cdr:nvCxnSpPr>
      <cdr:spPr bwMode="auto">
        <a:xfrm xmlns:a="http://schemas.openxmlformats.org/drawingml/2006/main" flipH="1">
          <a:off x="4362450" y="1400176"/>
          <a:ext cx="19050" cy="2095500"/>
        </a:xfrm>
        <a:prstGeom xmlns:a="http://schemas.openxmlformats.org/drawingml/2006/main" prst="straightConnector1">
          <a:avLst/>
        </a:prstGeom>
        <a:solidFill xmlns:a="http://schemas.openxmlformats.org/drawingml/2006/main">
          <a:srgbClr val="FFFFFF"/>
        </a:solidFill>
        <a:ln xmlns:a="http://schemas.openxmlformats.org/drawingml/2006/main" w="9525" cap="flat" cmpd="sng" algn="ctr">
          <a:solidFill>
            <a:srgbClr val="000000"/>
          </a:solidFill>
          <a:prstDash val="solid"/>
          <a:round/>
          <a:headEnd type="none" w="med" len="med"/>
          <a:tailEnd type="arrow"/>
        </a:ln>
        <a:effectLst xmlns:a="http://schemas.openxmlformats.org/drawingml/2006/main"/>
      </cdr:spPr>
    </cdr:cxnSp>
  </cdr:relSizeAnchor>
</c:userShapes>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701040</xdr:colOff>
      <xdr:row>2</xdr:row>
      <xdr:rowOff>114300</xdr:rowOff>
    </xdr:to>
    <xdr:pic>
      <xdr:nvPicPr>
        <xdr:cNvPr id="3519703" name="Picture 3" descr="logo_dashboard">
          <a:extLst>
            <a:ext uri="{FF2B5EF4-FFF2-40B4-BE49-F238E27FC236}">
              <a16:creationId xmlns:a16="http://schemas.microsoft.com/office/drawing/2014/main" id="{77689237-5988-4FA5-B478-379838C1D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4880" y="0"/>
          <a:ext cx="7010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0</xdr:colOff>
      <xdr:row>59</xdr:row>
      <xdr:rowOff>0</xdr:rowOff>
    </xdr:from>
    <xdr:to>
      <xdr:col>33</xdr:col>
      <xdr:colOff>693420</xdr:colOff>
      <xdr:row>61</xdr:row>
      <xdr:rowOff>114300</xdr:rowOff>
    </xdr:to>
    <xdr:pic>
      <xdr:nvPicPr>
        <xdr:cNvPr id="3519704" name="Picture 3" descr="logo_dashboard">
          <a:extLst>
            <a:ext uri="{FF2B5EF4-FFF2-40B4-BE49-F238E27FC236}">
              <a16:creationId xmlns:a16="http://schemas.microsoft.com/office/drawing/2014/main" id="{7B65C4D4-E6E4-40F7-8924-02FA1A3C22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735020" y="21107400"/>
          <a:ext cx="69342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701040</xdr:colOff>
      <xdr:row>2</xdr:row>
      <xdr:rowOff>114300</xdr:rowOff>
    </xdr:to>
    <xdr:pic>
      <xdr:nvPicPr>
        <xdr:cNvPr id="2335535" name="Picture 3" descr="logo_dashboard">
          <a:extLst>
            <a:ext uri="{FF2B5EF4-FFF2-40B4-BE49-F238E27FC236}">
              <a16:creationId xmlns:a16="http://schemas.microsoft.com/office/drawing/2014/main" id="{17687A1B-C743-4662-AB4A-B52DCC2C7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4880" y="0"/>
          <a:ext cx="7010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0</xdr:colOff>
      <xdr:row>59</xdr:row>
      <xdr:rowOff>0</xdr:rowOff>
    </xdr:from>
    <xdr:to>
      <xdr:col>33</xdr:col>
      <xdr:colOff>693420</xdr:colOff>
      <xdr:row>61</xdr:row>
      <xdr:rowOff>114300</xdr:rowOff>
    </xdr:to>
    <xdr:pic>
      <xdr:nvPicPr>
        <xdr:cNvPr id="2335536" name="Picture 3" descr="logo_dashboard">
          <a:extLst>
            <a:ext uri="{FF2B5EF4-FFF2-40B4-BE49-F238E27FC236}">
              <a16:creationId xmlns:a16="http://schemas.microsoft.com/office/drawing/2014/main" id="{FE285C58-C53E-4C97-9DFB-E7089B60C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735020" y="21259800"/>
          <a:ext cx="69342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701040</xdr:colOff>
      <xdr:row>2</xdr:row>
      <xdr:rowOff>114300</xdr:rowOff>
    </xdr:to>
    <xdr:pic>
      <xdr:nvPicPr>
        <xdr:cNvPr id="2336559" name="Picture 3" descr="logo_dashboard">
          <a:extLst>
            <a:ext uri="{FF2B5EF4-FFF2-40B4-BE49-F238E27FC236}">
              <a16:creationId xmlns:a16="http://schemas.microsoft.com/office/drawing/2014/main" id="{65AFEA5A-0780-488A-BDAE-66A4E23EF7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4880" y="0"/>
          <a:ext cx="7010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0</xdr:colOff>
      <xdr:row>59</xdr:row>
      <xdr:rowOff>0</xdr:rowOff>
    </xdr:from>
    <xdr:to>
      <xdr:col>33</xdr:col>
      <xdr:colOff>693420</xdr:colOff>
      <xdr:row>61</xdr:row>
      <xdr:rowOff>114300</xdr:rowOff>
    </xdr:to>
    <xdr:pic>
      <xdr:nvPicPr>
        <xdr:cNvPr id="2336560" name="Picture 3" descr="logo_dashboard">
          <a:extLst>
            <a:ext uri="{FF2B5EF4-FFF2-40B4-BE49-F238E27FC236}">
              <a16:creationId xmlns:a16="http://schemas.microsoft.com/office/drawing/2014/main" id="{A33009DB-FE89-4EDA-9317-1EED37F6E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735020" y="21092160"/>
          <a:ext cx="69342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701040</xdr:colOff>
      <xdr:row>2</xdr:row>
      <xdr:rowOff>114300</xdr:rowOff>
    </xdr:to>
    <xdr:pic>
      <xdr:nvPicPr>
        <xdr:cNvPr id="2337583" name="Picture 3" descr="logo_dashboard">
          <a:extLst>
            <a:ext uri="{FF2B5EF4-FFF2-40B4-BE49-F238E27FC236}">
              <a16:creationId xmlns:a16="http://schemas.microsoft.com/office/drawing/2014/main" id="{6DEA671C-4AF2-472D-9D28-3D4640ABE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4880" y="0"/>
          <a:ext cx="7010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0</xdr:colOff>
      <xdr:row>59</xdr:row>
      <xdr:rowOff>0</xdr:rowOff>
    </xdr:from>
    <xdr:to>
      <xdr:col>33</xdr:col>
      <xdr:colOff>693420</xdr:colOff>
      <xdr:row>61</xdr:row>
      <xdr:rowOff>114300</xdr:rowOff>
    </xdr:to>
    <xdr:pic>
      <xdr:nvPicPr>
        <xdr:cNvPr id="2337584" name="Picture 3" descr="logo_dashboard">
          <a:extLst>
            <a:ext uri="{FF2B5EF4-FFF2-40B4-BE49-F238E27FC236}">
              <a16:creationId xmlns:a16="http://schemas.microsoft.com/office/drawing/2014/main" id="{A7BD2639-D07F-4C4B-8039-0A098977F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735020" y="21259800"/>
          <a:ext cx="69342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693420</xdr:colOff>
      <xdr:row>2</xdr:row>
      <xdr:rowOff>114300</xdr:rowOff>
    </xdr:to>
    <xdr:pic>
      <xdr:nvPicPr>
        <xdr:cNvPr id="2380177" name="Picture 3" descr="logo_dashboard">
          <a:extLst>
            <a:ext uri="{FF2B5EF4-FFF2-40B4-BE49-F238E27FC236}">
              <a16:creationId xmlns:a16="http://schemas.microsoft.com/office/drawing/2014/main" id="{067BE165-9B9B-43B1-9BA2-6DDF7A44A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04660" y="0"/>
          <a:ext cx="69342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160020</xdr:colOff>
      <xdr:row>120</xdr:row>
      <xdr:rowOff>160020</xdr:rowOff>
    </xdr:from>
    <xdr:to>
      <xdr:col>17</xdr:col>
      <xdr:colOff>662940</xdr:colOff>
      <xdr:row>133</xdr:row>
      <xdr:rowOff>99060</xdr:rowOff>
    </xdr:to>
    <xdr:graphicFrame macro="">
      <xdr:nvGraphicFramePr>
        <xdr:cNvPr id="1837689" name="Chart 2">
          <a:extLst>
            <a:ext uri="{FF2B5EF4-FFF2-40B4-BE49-F238E27FC236}">
              <a16:creationId xmlns:a16="http://schemas.microsoft.com/office/drawing/2014/main" id="{849BC12A-D733-49F7-B7DD-F8C2E8E53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701040</xdr:colOff>
      <xdr:row>2</xdr:row>
      <xdr:rowOff>114300</xdr:rowOff>
    </xdr:to>
    <xdr:pic>
      <xdr:nvPicPr>
        <xdr:cNvPr id="1839087" name="Picture 3" descr="logo_dashboard">
          <a:extLst>
            <a:ext uri="{FF2B5EF4-FFF2-40B4-BE49-F238E27FC236}">
              <a16:creationId xmlns:a16="http://schemas.microsoft.com/office/drawing/2014/main" id="{86B18112-8F72-44A1-B402-0350EF3DC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28160" y="0"/>
          <a:ext cx="7010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0</xdr:colOff>
      <xdr:row>52</xdr:row>
      <xdr:rowOff>0</xdr:rowOff>
    </xdr:from>
    <xdr:to>
      <xdr:col>33</xdr:col>
      <xdr:colOff>693420</xdr:colOff>
      <xdr:row>54</xdr:row>
      <xdr:rowOff>114300</xdr:rowOff>
    </xdr:to>
    <xdr:pic>
      <xdr:nvPicPr>
        <xdr:cNvPr id="1839088" name="Picture 3" descr="logo_dashboard">
          <a:extLst>
            <a:ext uri="{FF2B5EF4-FFF2-40B4-BE49-F238E27FC236}">
              <a16:creationId xmlns:a16="http://schemas.microsoft.com/office/drawing/2014/main" id="{F0A27B55-F704-44A2-8D43-C1516D3A5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739080" y="18501360"/>
          <a:ext cx="69342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20DRIVE/ASSIGNMENTS%20FILE/RSP/4095-(RSP)-Installation%20of%20COB%237%20at%20RSP%20(File-319)/Comparison%20of%20stamp%20vrs%20top%20tall%20vrs%20small%20bebuild/5Stamp%20vrs%20tall%20top%20vrs%20small%20rebuild%20July'19/4095%20CC%20Tall%20COB%237,%20RSP%201st%20Qtr%201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20DRIVE/ASSIGNMENTS%20FILE/DSP/4232%20(DSP)-Installation%20of%20Stamp%20charge%20COB,%20DSP%20(316)/4232-Capital%20Cost%20R=9%20Aug'21/4232%20CC-%20Stamp%20DSP%20Aug'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
      <sheetName val="capcost(GST)"/>
      <sheetName val="TE"/>
      <sheetName val="cashflow"/>
      <sheetName val="Finan.summary"/>
      <sheetName val="Cost comparison"/>
      <sheetName val="ccfg3&amp;4"/>
      <sheetName val="Basis Pollution"/>
      <sheetName val="Capcost Pollution"/>
    </sheetNames>
    <sheetDataSet>
      <sheetData sheetId="0">
        <row r="9">
          <cell r="B9" t="str">
            <v>Geo-technical Investigation and Survey Works (Package 1)</v>
          </cell>
        </row>
        <row r="41">
          <cell r="B41" t="str">
            <v>Enabling Works (Package 1A)</v>
          </cell>
        </row>
        <row r="43">
          <cell r="B43" t="str">
            <v>Battery Proper along with oven machines &amp; refractory (Package 2)</v>
          </cell>
        </row>
        <row r="294">
          <cell r="B294" t="str">
            <v>Coke dry cooling plant including BPTG (Package 3)</v>
          </cell>
        </row>
        <row r="390">
          <cell r="B390" t="str">
            <v>By-product plant including BOD plant (Package 4)</v>
          </cell>
        </row>
        <row r="473">
          <cell r="B473" t="str">
            <v>Water supply system (Package 5)</v>
          </cell>
        </row>
        <row r="546">
          <cell r="B546" t="str">
            <v>Boiler and DM water Plant (Package 6)</v>
          </cell>
        </row>
      </sheetData>
      <sheetData sheetId="1">
        <row r="10">
          <cell r="BN10">
            <v>202.18718596837977</v>
          </cell>
        </row>
        <row r="11">
          <cell r="BN11">
            <v>625.81748037831835</v>
          </cell>
        </row>
        <row r="12">
          <cell r="BN12">
            <v>885.77243376623505</v>
          </cell>
        </row>
        <row r="13">
          <cell r="BN13">
            <v>274.39689524280107</v>
          </cell>
        </row>
        <row r="14">
          <cell r="BN14">
            <v>192.55922473179024</v>
          </cell>
        </row>
      </sheetData>
      <sheetData sheetId="2">
        <row r="7">
          <cell r="A7" t="str">
            <v xml:space="preserve">Installation of Tall Coke Oven Battery # 7 at RSP </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Coal &amp; Coke Data"/>
      <sheetName val="Basis Stamp"/>
      <sheetName val="capcost Stamp"/>
      <sheetName val="Stamp TE 1"/>
      <sheetName val="Stamp TE 2"/>
      <sheetName val="Stamp TE 3"/>
      <sheetName val="Stamp TE 4"/>
      <sheetName val="Basis Tall "/>
      <sheetName val="capcost Tall"/>
      <sheetName val="Tall TE 5"/>
      <sheetName val="Tall TE 6"/>
      <sheetName val="Incr TE "/>
      <sheetName val="Basis Rebuild"/>
      <sheetName val="CC Rebuild"/>
      <sheetName val="GM Rebuild"/>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81">
          <cell r="O81">
            <v>0.2285588818303983</v>
          </cell>
        </row>
      </sheetData>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mailto:=@if(+N10*$K$11*$K$12%3e0,n10*$K$11*$K$12,0)" TargetMode="External"/><Relationship Id="rId2" Type="http://schemas.openxmlformats.org/officeDocument/2006/relationships/hyperlink" Target="mailto:=@if(+N10*$K$11*$K$12%3e0,n10*$K$11*$K$12,0)" TargetMode="External"/><Relationship Id="rId1" Type="http://schemas.openxmlformats.org/officeDocument/2006/relationships/hyperlink" Target="mailto:=@if(+N10*$K$11*$K$12%3e0,n10*$K$11*$K$12,0)" TargetMode="External"/><Relationship Id="rId6" Type="http://schemas.openxmlformats.org/officeDocument/2006/relationships/drawing" Target="../drawings/drawing9.xml"/><Relationship Id="rId5" Type="http://schemas.openxmlformats.org/officeDocument/2006/relationships/printerSettings" Target="../printerSettings/printerSettings10.bin"/><Relationship Id="rId4" Type="http://schemas.openxmlformats.org/officeDocument/2006/relationships/hyperlink" Target="mailto:=@if(+N10*$K$11*$K$12%3e0,n10*$K$11*$K$12,0)"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if(+N10*$K$11*$K$12%3e0,n10*$K$11*$K$12,0)" TargetMode="External"/><Relationship Id="rId2" Type="http://schemas.openxmlformats.org/officeDocument/2006/relationships/hyperlink" Target="mailto:=@if(+N10*$K$11*$K$12%3e0,n10*$K$11*$K$12,0)" TargetMode="External"/><Relationship Id="rId1" Type="http://schemas.openxmlformats.org/officeDocument/2006/relationships/hyperlink" Target="mailto:=@if(+N10*$K$11*$K$12%3e0,n10*$K$11*$K$12,0)" TargetMode="External"/><Relationship Id="rId6" Type="http://schemas.openxmlformats.org/officeDocument/2006/relationships/drawing" Target="../drawings/drawing10.xml"/><Relationship Id="rId5" Type="http://schemas.openxmlformats.org/officeDocument/2006/relationships/printerSettings" Target="../printerSettings/printerSettings11.bin"/><Relationship Id="rId4" Type="http://schemas.openxmlformats.org/officeDocument/2006/relationships/hyperlink" Target="mailto:=@if(+N10*$K$11*$K$12%3e0,n10*$K$11*$K$12,0)"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4:N73"/>
  <sheetViews>
    <sheetView topLeftCell="C16" workbookViewId="0">
      <selection activeCell="C27" sqref="C27"/>
    </sheetView>
  </sheetViews>
  <sheetFormatPr defaultColWidth="8.90625" defaultRowHeight="15"/>
  <cols>
    <col min="1" max="1" width="3.54296875" style="21" customWidth="1"/>
    <col min="2" max="2" width="5.81640625" style="21" customWidth="1"/>
    <col min="3" max="3" width="25.6328125" style="21" customWidth="1"/>
    <col min="4" max="4" width="10.453125" style="21" customWidth="1"/>
    <col min="5" max="5" width="15" style="21" customWidth="1"/>
    <col min="6" max="6" width="16.81640625" style="21" customWidth="1"/>
    <col min="7" max="7" width="14.54296875" style="21" customWidth="1"/>
    <col min="8" max="8" width="17.453125" style="21" customWidth="1"/>
    <col min="9" max="9" width="22" style="21" customWidth="1"/>
    <col min="10" max="10" width="21.90625" style="21" customWidth="1"/>
    <col min="11" max="11" width="9.08984375" style="21" customWidth="1"/>
    <col min="12" max="13" width="8.90625" style="21"/>
    <col min="14" max="14" width="10.90625" style="21" customWidth="1"/>
    <col min="15" max="16384" width="8.90625" style="21"/>
  </cols>
  <sheetData>
    <row r="4" spans="1:14" ht="14.25" customHeight="1">
      <c r="E4" s="131"/>
    </row>
    <row r="5" spans="1:14" ht="22.5" customHeight="1">
      <c r="A5" s="21" t="s">
        <v>0</v>
      </c>
      <c r="B5" s="1640" t="s">
        <v>81</v>
      </c>
      <c r="C5" s="1640"/>
      <c r="D5" s="1640"/>
      <c r="E5" s="1640"/>
      <c r="F5" s="1640"/>
      <c r="G5" s="1640"/>
      <c r="H5" s="1640"/>
      <c r="I5" s="1640"/>
      <c r="J5" s="1640"/>
    </row>
    <row r="6" spans="1:14" ht="22.5" customHeight="1">
      <c r="B6" s="1640" t="s">
        <v>509</v>
      </c>
      <c r="C6" s="1640"/>
      <c r="D6" s="1640"/>
      <c r="E6" s="1640"/>
      <c r="F6" s="1640"/>
      <c r="G6" s="1640"/>
      <c r="H6" s="1640"/>
      <c r="I6" s="1640"/>
      <c r="J6" s="1640"/>
      <c r="K6" s="21" t="s">
        <v>1057</v>
      </c>
      <c r="L6" s="21" t="s">
        <v>967</v>
      </c>
    </row>
    <row r="7" spans="1:14" ht="24.75" customHeight="1">
      <c r="B7" s="1640" t="s">
        <v>1471</v>
      </c>
      <c r="C7" s="1640"/>
      <c r="D7" s="1640"/>
      <c r="E7" s="1640"/>
      <c r="F7" s="1640"/>
      <c r="G7" s="1640"/>
      <c r="H7" s="1640"/>
      <c r="I7" s="1640"/>
      <c r="J7" s="1640"/>
      <c r="K7" s="1078">
        <v>1</v>
      </c>
      <c r="L7" s="1078">
        <v>1</v>
      </c>
    </row>
    <row r="8" spans="1:14" ht="20.25" customHeight="1">
      <c r="B8" s="1640" t="s">
        <v>325</v>
      </c>
      <c r="C8" s="1640"/>
      <c r="D8" s="1640"/>
      <c r="E8" s="1640"/>
      <c r="F8" s="1640"/>
      <c r="G8" s="1640"/>
      <c r="H8" s="1640"/>
      <c r="I8" s="1640"/>
      <c r="J8" s="1640"/>
    </row>
    <row r="9" spans="1:14" ht="22.5" customHeight="1" thickBot="1">
      <c r="B9" s="159"/>
      <c r="C9" s="159"/>
      <c r="D9" s="159"/>
      <c r="J9" s="160" t="s">
        <v>1056</v>
      </c>
      <c r="K9" s="1079"/>
    </row>
    <row r="10" spans="1:14" ht="42.75" customHeight="1" thickBot="1">
      <c r="B10" s="1641" t="s">
        <v>927</v>
      </c>
      <c r="C10" s="1643" t="s">
        <v>1058</v>
      </c>
      <c r="D10" s="1645" t="s">
        <v>2</v>
      </c>
      <c r="E10" s="1647" t="s">
        <v>1059</v>
      </c>
      <c r="F10" s="1648"/>
      <c r="G10" s="1648"/>
      <c r="H10" s="1649"/>
      <c r="I10" s="1650" t="s">
        <v>1060</v>
      </c>
      <c r="J10" s="1651"/>
      <c r="K10" s="1080"/>
      <c r="L10" s="139"/>
      <c r="N10" s="19" t="s">
        <v>1061</v>
      </c>
    </row>
    <row r="11" spans="1:14" ht="69" customHeight="1" thickBot="1">
      <c r="B11" s="1642"/>
      <c r="C11" s="1644"/>
      <c r="D11" s="1646"/>
      <c r="E11" s="1652" t="s">
        <v>1545</v>
      </c>
      <c r="F11" s="1653"/>
      <c r="G11" s="1654" t="s">
        <v>1546</v>
      </c>
      <c r="H11" s="1655"/>
      <c r="I11" s="1081" t="str">
        <f>E11</f>
        <v xml:space="preserve">Based on average coal price of 4 yrs (Aug'17 to July'21) </v>
      </c>
      <c r="J11" s="1082" t="str">
        <f>G11</f>
        <v xml:space="preserve">Based on average coal price of 1 yr (Aug'20 to July'21) </v>
      </c>
      <c r="K11" s="1083"/>
      <c r="L11" s="139"/>
    </row>
    <row r="12" spans="1:14" ht="33" customHeight="1" thickBot="1">
      <c r="B12" s="1642"/>
      <c r="C12" s="1644"/>
      <c r="D12" s="1646"/>
      <c r="E12" s="1084" t="s">
        <v>1062</v>
      </c>
      <c r="F12" s="1085" t="s">
        <v>1063</v>
      </c>
      <c r="G12" s="1086" t="s">
        <v>1062</v>
      </c>
      <c r="H12" s="1085" t="s">
        <v>1063</v>
      </c>
      <c r="I12" s="1087" t="s">
        <v>1547</v>
      </c>
      <c r="J12" s="1087" t="str">
        <f>I12</f>
        <v>Blend : Tall Top</v>
      </c>
    </row>
    <row r="13" spans="1:14" ht="33" customHeight="1" thickBot="1">
      <c r="B13" s="1088"/>
      <c r="C13" s="1089"/>
      <c r="D13" s="1090"/>
      <c r="E13" s="1091" t="s">
        <v>1064</v>
      </c>
      <c r="F13" s="1092" t="s">
        <v>1065</v>
      </c>
      <c r="G13" s="1093" t="s">
        <v>1066</v>
      </c>
      <c r="H13" s="1092" t="s">
        <v>1067</v>
      </c>
      <c r="I13" s="1094" t="s">
        <v>1068</v>
      </c>
      <c r="J13" s="1095" t="s">
        <v>1069</v>
      </c>
    </row>
    <row r="14" spans="1:14" ht="117" customHeight="1">
      <c r="B14" s="1096">
        <v>1</v>
      </c>
      <c r="C14" s="1097" t="s">
        <v>1070</v>
      </c>
      <c r="D14" s="1098"/>
      <c r="E14" s="1099" t="str">
        <f>'Coal &amp; Coke Data'!C22</f>
        <v>AUS (H)-21%, USA (H)-8%, AUS (S)-38%, PCI-10%, PCC-20% &amp; MCC-3%</v>
      </c>
      <c r="F14" s="1100" t="str">
        <f>'Coal &amp; Coke Data'!C23</f>
        <v xml:space="preserve">AUS (H)-21%, USA (H)-8%, AUS (S)-40%, PCC (Munidih-14% Ash)-31% </v>
      </c>
      <c r="G14" s="1101" t="str">
        <f>E14</f>
        <v>AUS (H)-21%, USA (H)-8%, AUS (S)-38%, PCI-10%, PCC-20% &amp; MCC-3%</v>
      </c>
      <c r="H14" s="1100" t="str">
        <f>F14</f>
        <v xml:space="preserve">AUS (H)-21%, USA (H)-8%, AUS (S)-40%, PCC (Munidih-14% Ash)-31% </v>
      </c>
      <c r="I14" s="1099" t="str">
        <f>'Coal &amp; Coke Data'!C24</f>
        <v>AUS (H)-42.90%, USA (H)-10.80%, Imp (S)-25.40%, Moz (H)-8.00%, PCC-6.00%, Indonesia (H)-4.40% &amp; LVHR-2.50%</v>
      </c>
      <c r="J14" s="1100" t="str">
        <f>I14</f>
        <v>AUS (H)-42.90%, USA (H)-10.80%, Imp (S)-25.40%, Moz (H)-8.00%, PCC-6.00%, Indonesia (H)-4.40% &amp; LVHR-2.50%</v>
      </c>
    </row>
    <row r="15" spans="1:14" ht="25.5" customHeight="1">
      <c r="B15" s="1102">
        <v>2</v>
      </c>
      <c r="C15" s="1103" t="s">
        <v>1071</v>
      </c>
      <c r="D15" s="1104" t="s">
        <v>301</v>
      </c>
      <c r="E15" s="1105" t="e">
        <f>#REF!</f>
        <v>#REF!</v>
      </c>
      <c r="F15" s="1106" t="e">
        <f>E15</f>
        <v>#REF!</v>
      </c>
      <c r="G15" s="1107" t="e">
        <f>F15</f>
        <v>#REF!</v>
      </c>
      <c r="H15" s="1106" t="e">
        <f>F15</f>
        <v>#REF!</v>
      </c>
      <c r="I15" s="1105" t="e">
        <f>'Capcost Tall '!AU31</f>
        <v>#REF!</v>
      </c>
      <c r="J15" s="1106" t="e">
        <f>I15</f>
        <v>#REF!</v>
      </c>
    </row>
    <row r="16" spans="1:14" ht="22.5" customHeight="1">
      <c r="B16" s="1102">
        <v>3</v>
      </c>
      <c r="C16" s="1103" t="s">
        <v>962</v>
      </c>
      <c r="D16" s="1104" t="s">
        <v>963</v>
      </c>
      <c r="E16" s="1211">
        <f>'Stamp TE 1'!G11/10^6</f>
        <v>0.67</v>
      </c>
      <c r="F16" s="1280">
        <f>E16</f>
        <v>0.67</v>
      </c>
      <c r="G16" s="1281">
        <f>F16</f>
        <v>0.67</v>
      </c>
      <c r="H16" s="1280">
        <f>G16</f>
        <v>0.67</v>
      </c>
      <c r="I16" s="1282">
        <f>'TE Tall 5'!D11/10^6</f>
        <v>0.65</v>
      </c>
      <c r="J16" s="1283">
        <f>I16</f>
        <v>0.65</v>
      </c>
    </row>
    <row r="17" spans="2:14" ht="44.25" customHeight="1">
      <c r="B17" s="1102">
        <v>4</v>
      </c>
      <c r="C17" s="1103" t="s">
        <v>1072</v>
      </c>
      <c r="D17" s="1104" t="s">
        <v>229</v>
      </c>
      <c r="E17" s="1108">
        <f>'Coal &amp; Coke Data'!D15</f>
        <v>12102.329081802311</v>
      </c>
      <c r="F17" s="1109">
        <f>'Coal &amp; Coke Data'!E15</f>
        <v>12881.670425123621</v>
      </c>
      <c r="G17" s="1110">
        <f>'Coal &amp; Coke Data'!H15</f>
        <v>10128.095166666666</v>
      </c>
      <c r="H17" s="1109">
        <f>'Coal &amp; Coke Data'!I15</f>
        <v>10885.0123</v>
      </c>
      <c r="I17" s="1108">
        <f>'Coal &amp; Coke Data'!F15</f>
        <v>13729.270947324805</v>
      </c>
      <c r="J17" s="1109">
        <f>'Coal &amp; Coke Data'!J15</f>
        <v>11019.885058333333</v>
      </c>
    </row>
    <row r="18" spans="2:14" ht="59.25" customHeight="1">
      <c r="B18" s="1102">
        <v>5</v>
      </c>
      <c r="C18" s="1103" t="s">
        <v>1470</v>
      </c>
      <c r="D18" s="1104" t="s">
        <v>229</v>
      </c>
      <c r="E18" s="1111">
        <f>'Coal &amp; Coke Data'!C18</f>
        <v>28023.843930635838</v>
      </c>
      <c r="F18" s="1112">
        <f>E18</f>
        <v>28023.843930635838</v>
      </c>
      <c r="G18" s="1113">
        <f>'Coal &amp; Coke Data'!G18</f>
        <v>25545.454545454544</v>
      </c>
      <c r="H18" s="1112">
        <f>G18</f>
        <v>25545.454545454544</v>
      </c>
      <c r="I18" s="1111">
        <f>E18</f>
        <v>28023.843930635838</v>
      </c>
      <c r="J18" s="1112">
        <f>G18</f>
        <v>25545.454545454544</v>
      </c>
    </row>
    <row r="19" spans="2:14" ht="30.75" customHeight="1">
      <c r="B19" s="1102">
        <v>6</v>
      </c>
      <c r="C19" s="1114" t="s">
        <v>1073</v>
      </c>
      <c r="D19" s="1104" t="s">
        <v>301</v>
      </c>
      <c r="E19" s="1115">
        <f>'Stamp TE 1'!G46</f>
        <v>891.32902394184953</v>
      </c>
      <c r="F19" s="1116">
        <f>'Stamp TE 2'!G46</f>
        <v>811.83620692307568</v>
      </c>
      <c r="G19" s="1117">
        <f>'Stamp TE 3'!G46</f>
        <v>919.21362632299451</v>
      </c>
      <c r="H19" s="1116">
        <f>'Stamp TE 4'!G46</f>
        <v>842.00807872299447</v>
      </c>
      <c r="I19" s="1115">
        <f>'TE Tall 5'!D38</f>
        <v>648.37185069216866</v>
      </c>
      <c r="J19" s="1116">
        <f>'TE Tall 6'!D38</f>
        <v>756.4206784950477</v>
      </c>
      <c r="K19" s="1118"/>
      <c r="L19" s="1118"/>
    </row>
    <row r="20" spans="2:14" ht="24" customHeight="1">
      <c r="B20" s="1102">
        <v>7</v>
      </c>
      <c r="C20" s="1114" t="s">
        <v>750</v>
      </c>
      <c r="D20" s="1104" t="s">
        <v>301</v>
      </c>
      <c r="E20" s="1115" t="e">
        <f>'Stamp TE 1'!O113</f>
        <v>#REF!</v>
      </c>
      <c r="F20" s="1116" t="e">
        <f>'Stamp TE 2'!O113</f>
        <v>#REF!</v>
      </c>
      <c r="G20" s="1117" t="e">
        <f>'Stamp TE 3'!O113</f>
        <v>#REF!</v>
      </c>
      <c r="H20" s="1116" t="e">
        <f>'Stamp TE 4'!O113</f>
        <v>#REF!</v>
      </c>
      <c r="I20" s="1115" t="e">
        <f>'TE Tall 5'!O106</f>
        <v>#REF!</v>
      </c>
      <c r="J20" s="1116" t="e">
        <f>'TE Tall 6'!O106</f>
        <v>#REF!</v>
      </c>
    </row>
    <row r="21" spans="2:14" ht="24" customHeight="1">
      <c r="B21" s="1102">
        <v>8</v>
      </c>
      <c r="C21" s="1114" t="s">
        <v>302</v>
      </c>
      <c r="D21" s="1104" t="s">
        <v>303</v>
      </c>
      <c r="E21" s="1119" t="e">
        <f>'Stamp TE 1'!O116</f>
        <v>#VALUE!</v>
      </c>
      <c r="F21" s="1120" t="e">
        <f>'Stamp TE 2'!O116</f>
        <v>#VALUE!</v>
      </c>
      <c r="G21" s="1121" t="e">
        <f>'Stamp TE 3'!O116</f>
        <v>#VALUE!</v>
      </c>
      <c r="H21" s="1120" t="e">
        <f>'Stamp TE 4'!O116</f>
        <v>#VALUE!</v>
      </c>
      <c r="I21" s="1119" t="e">
        <f>'TE Tall 5'!O109</f>
        <v>#VALUE!</v>
      </c>
      <c r="J21" s="1120" t="e">
        <f>'TE Tall 6'!O109</f>
        <v>#VALUE!</v>
      </c>
    </row>
    <row r="22" spans="2:14" s="17" customFormat="1" ht="26.25" customHeight="1">
      <c r="B22" s="1102">
        <v>9</v>
      </c>
      <c r="C22" s="594" t="s">
        <v>1074</v>
      </c>
      <c r="D22" s="1122"/>
      <c r="E22" s="1123"/>
      <c r="F22" s="1124"/>
      <c r="G22" s="297"/>
      <c r="H22" s="1124"/>
      <c r="I22" s="1125"/>
      <c r="J22" s="772"/>
    </row>
    <row r="23" spans="2:14" s="17" customFormat="1" ht="26.25" customHeight="1">
      <c r="B23" s="1126"/>
      <c r="C23" s="594"/>
      <c r="D23" s="130" t="s">
        <v>1549</v>
      </c>
      <c r="E23" s="1127">
        <v>0.31422518570114</v>
      </c>
      <c r="F23" s="1128">
        <v>0.29575878909629272</v>
      </c>
      <c r="G23" s="1127">
        <v>0.30910216073326291</v>
      </c>
      <c r="H23" s="1128">
        <v>0.29124260809452562</v>
      </c>
      <c r="I23" s="1129">
        <v>0.3354337162253147</v>
      </c>
      <c r="J23" s="1130">
        <v>0.34106046961668368</v>
      </c>
    </row>
    <row r="24" spans="2:14" s="17" customFormat="1" ht="26.25" customHeight="1">
      <c r="B24" s="1126"/>
      <c r="C24" s="594"/>
      <c r="D24" s="130" t="s">
        <v>1548</v>
      </c>
      <c r="E24" s="1127">
        <v>0.30515641556149786</v>
      </c>
      <c r="F24" s="1128">
        <v>0.28710425645449877</v>
      </c>
      <c r="G24" s="1127">
        <v>0.30164986490053614</v>
      </c>
      <c r="H24" s="1128">
        <v>0.28421123780506674</v>
      </c>
      <c r="I24" s="1129">
        <v>0.32066582675175126</v>
      </c>
      <c r="J24" s="1130">
        <v>0.32943222459041754</v>
      </c>
    </row>
    <row r="25" spans="2:14" s="17" customFormat="1" ht="26.25" customHeight="1">
      <c r="B25" s="1126"/>
      <c r="C25" s="594"/>
      <c r="D25" s="130" t="s">
        <v>1075</v>
      </c>
      <c r="E25" s="1127">
        <v>0.29592861525252445</v>
      </c>
      <c r="F25" s="1128">
        <v>0.27829723733570932</v>
      </c>
      <c r="G25" s="1127">
        <v>0.29408947825535869</v>
      </c>
      <c r="H25" s="1128">
        <v>0.27707866453283958</v>
      </c>
      <c r="I25" s="1129">
        <v>0.30551788204166419</v>
      </c>
      <c r="J25" s="1130">
        <v>0.31757458104526481</v>
      </c>
    </row>
    <row r="26" spans="2:14" s="17" customFormat="1" ht="26.25" customHeight="1">
      <c r="B26" s="1126"/>
      <c r="C26" s="594"/>
      <c r="D26" s="130" t="s">
        <v>1076</v>
      </c>
      <c r="E26" s="1127">
        <v>0.28653174926947345</v>
      </c>
      <c r="F26" s="1128">
        <v>0.26932785069952714</v>
      </c>
      <c r="G26" s="1127">
        <v>0.28641538447360526</v>
      </c>
      <c r="H26" s="1128">
        <v>0.26983956466943426</v>
      </c>
      <c r="I26" s="1129">
        <v>0.28995357007104205</v>
      </c>
      <c r="J26" s="1130">
        <v>0.30547131978924158</v>
      </c>
    </row>
    <row r="27" spans="2:14" s="17" customFormat="1" ht="24.75" customHeight="1">
      <c r="B27" s="1131"/>
      <c r="C27" s="25"/>
      <c r="D27" s="130" t="s">
        <v>961</v>
      </c>
      <c r="E27" s="1127">
        <v>0.27695451854544184</v>
      </c>
      <c r="F27" s="1128">
        <v>0.26018495414763865</v>
      </c>
      <c r="G27" s="1127">
        <v>0.27862139175278355</v>
      </c>
      <c r="H27" s="1128">
        <v>0.26248806960061222</v>
      </c>
      <c r="I27" s="1129">
        <v>0.27392897552393336</v>
      </c>
      <c r="J27" s="1130">
        <v>0.29310375519499954</v>
      </c>
    </row>
    <row r="28" spans="2:14" s="17" customFormat="1" ht="21.75" customHeight="1">
      <c r="B28" s="1131"/>
      <c r="C28" s="25"/>
      <c r="D28" s="130" t="s">
        <v>960</v>
      </c>
      <c r="E28" s="1127">
        <v>0.26718412290945359</v>
      </c>
      <c r="F28" s="1128">
        <v>0.25085590667706525</v>
      </c>
      <c r="G28" s="1127">
        <v>0.27070064573107899</v>
      </c>
      <c r="H28" s="1128">
        <v>0.25501768438100725</v>
      </c>
      <c r="I28" s="1129">
        <v>0.25739007561734151</v>
      </c>
      <c r="J28" s="1130">
        <v>0.28045015125277661</v>
      </c>
    </row>
    <row r="29" spans="2:14" s="17" customFormat="1" ht="21" customHeight="1">
      <c r="B29" s="1132"/>
      <c r="C29" s="1133"/>
      <c r="D29" s="1134" t="s">
        <v>1077</v>
      </c>
      <c r="E29" s="1135">
        <v>0.25720596474549184</v>
      </c>
      <c r="F29" s="1136">
        <v>0.24103101503742264</v>
      </c>
      <c r="G29" s="1135">
        <v>0.26264552522523621</v>
      </c>
      <c r="H29" s="1136">
        <v>0.24742119064964774</v>
      </c>
      <c r="I29" s="1137">
        <v>0.24026911736261636</v>
      </c>
      <c r="J29" s="1136">
        <v>0.26748495346927892</v>
      </c>
      <c r="N29" s="1138">
        <f>'[2]GM Rebuild'!O81</f>
        <v>0.2285588818303983</v>
      </c>
    </row>
    <row r="30" spans="2:14" s="17" customFormat="1" ht="24.75" customHeight="1">
      <c r="B30" s="1131"/>
      <c r="C30" s="25"/>
      <c r="D30" s="130" t="s">
        <v>958</v>
      </c>
      <c r="E30" s="1127">
        <v>0.24698662653189407</v>
      </c>
      <c r="F30" s="1128">
        <v>0.23082470131859845</v>
      </c>
      <c r="G30" s="1127">
        <v>0.25444751658060838</v>
      </c>
      <c r="H30" s="1128">
        <v>0.23931649383890363</v>
      </c>
      <c r="I30" s="1129">
        <v>0.22172237282079776</v>
      </c>
      <c r="J30" s="1130">
        <v>0.25417776359169553</v>
      </c>
    </row>
    <row r="31" spans="2:14" s="17" customFormat="1" ht="26.25" customHeight="1" thickBot="1">
      <c r="B31" s="1139"/>
      <c r="C31" s="25"/>
      <c r="D31" s="130" t="s">
        <v>959</v>
      </c>
      <c r="E31" s="1127">
        <v>0.23603354953697653</v>
      </c>
      <c r="F31" s="1128">
        <v>0.2203955507248625</v>
      </c>
      <c r="G31" s="1127">
        <v>0.2460353968832909</v>
      </c>
      <c r="H31" s="1128">
        <v>0.23107281319884065</v>
      </c>
      <c r="I31" s="1129">
        <v>0.2014532777141862</v>
      </c>
      <c r="J31" s="1130">
        <v>0.24049194792433104</v>
      </c>
    </row>
    <row r="32" spans="2:14" s="17" customFormat="1" ht="26.25" customHeight="1">
      <c r="B32" s="1140"/>
      <c r="C32" s="25"/>
      <c r="D32" s="130" t="s">
        <v>965</v>
      </c>
      <c r="E32" s="1127">
        <v>0.22482937663397329</v>
      </c>
      <c r="F32" s="1128">
        <v>0.20890991793779823</v>
      </c>
      <c r="G32" s="1127">
        <v>0.23710883995707621</v>
      </c>
      <c r="H32" s="1128">
        <v>0.22268456246162538</v>
      </c>
      <c r="I32" s="1129">
        <v>0.17842745535107341</v>
      </c>
      <c r="J32" s="1130">
        <v>0.22581689528750681</v>
      </c>
    </row>
    <row r="33" spans="2:10" s="17" customFormat="1" ht="26.25" customHeight="1">
      <c r="B33" s="1140"/>
      <c r="C33" s="25"/>
      <c r="D33" s="130" t="s">
        <v>1078</v>
      </c>
      <c r="E33" s="1127">
        <v>0.21281498801926579</v>
      </c>
      <c r="F33" s="1128">
        <v>0.19715143803552881</v>
      </c>
      <c r="G33" s="1127">
        <v>0.22801704110828447</v>
      </c>
      <c r="H33" s="1128">
        <v>0.21366858996507276</v>
      </c>
      <c r="I33" s="1129">
        <v>0.15282703945387732</v>
      </c>
      <c r="J33" s="1130">
        <v>0.2103629312205868</v>
      </c>
    </row>
    <row r="34" spans="2:10" s="17" customFormat="1" ht="26.25" customHeight="1">
      <c r="B34" s="1140"/>
      <c r="C34" s="25"/>
      <c r="D34" s="130" t="s">
        <v>966</v>
      </c>
      <c r="E34" s="1127">
        <v>0.19586131963724407</v>
      </c>
      <c r="F34" s="1128">
        <v>0.18078499557318106</v>
      </c>
      <c r="G34" s="1127">
        <v>0.21064139011391636</v>
      </c>
      <c r="H34" s="1128">
        <v>0.19665803130872295</v>
      </c>
      <c r="I34" s="1129">
        <v>0.13698797565543774</v>
      </c>
      <c r="J34" s="1130">
        <v>0.1925092453782391</v>
      </c>
    </row>
    <row r="35" spans="2:10" ht="12.75" customHeight="1">
      <c r="B35" s="1141"/>
      <c r="C35" s="1142"/>
      <c r="D35" s="1143"/>
      <c r="E35" s="1144"/>
      <c r="F35" s="754"/>
      <c r="G35" s="754"/>
      <c r="H35" s="754"/>
    </row>
    <row r="36" spans="2:10" s="159" customFormat="1" ht="25.5" customHeight="1">
      <c r="C36" s="1145" t="s">
        <v>1079</v>
      </c>
    </row>
    <row r="37" spans="2:10" s="677" customFormat="1" ht="60.75" customHeight="1">
      <c r="B37" s="1146"/>
      <c r="C37" s="1639" t="s">
        <v>1550</v>
      </c>
      <c r="D37" s="1639"/>
      <c r="E37" s="1639"/>
      <c r="F37" s="1639"/>
      <c r="G37" s="1639"/>
      <c r="H37" s="1639"/>
      <c r="I37" s="1639"/>
      <c r="J37" s="1639"/>
    </row>
    <row r="38" spans="2:10" s="677" customFormat="1" ht="40.5" customHeight="1">
      <c r="B38" s="717"/>
      <c r="C38" s="1639" t="s">
        <v>1551</v>
      </c>
      <c r="D38" s="1639"/>
      <c r="E38" s="1639"/>
      <c r="F38" s="1639"/>
      <c r="G38" s="1639"/>
      <c r="H38" s="1639"/>
      <c r="I38" s="1639"/>
      <c r="J38" s="1639"/>
    </row>
    <row r="39" spans="2:10" s="677" customFormat="1" ht="41.25" customHeight="1">
      <c r="B39" s="717"/>
      <c r="C39" s="1639" t="s">
        <v>1552</v>
      </c>
      <c r="D39" s="1639"/>
      <c r="E39" s="1639"/>
      <c r="F39" s="1639"/>
      <c r="G39" s="1639"/>
      <c r="H39" s="1639"/>
      <c r="I39" s="1639"/>
      <c r="J39" s="1639"/>
    </row>
    <row r="40" spans="2:10" s="677" customFormat="1" ht="36" customHeight="1">
      <c r="B40" s="717"/>
      <c r="C40" s="608"/>
      <c r="D40" s="1147"/>
      <c r="E40" s="1148"/>
      <c r="F40" s="1148"/>
      <c r="G40" s="1149"/>
      <c r="H40" s="1148"/>
    </row>
    <row r="41" spans="2:10" s="677" customFormat="1"/>
    <row r="42" spans="2:10" s="677" customFormat="1" ht="34.5" customHeight="1">
      <c r="C42" s="157"/>
      <c r="D42" s="1147"/>
      <c r="E42" s="1150"/>
      <c r="F42" s="1150"/>
      <c r="G42" s="1150"/>
      <c r="H42" s="1150"/>
      <c r="I42" s="1150"/>
      <c r="J42" s="1150"/>
    </row>
    <row r="43" spans="2:10" s="677" customFormat="1" ht="11.25" customHeight="1">
      <c r="D43" s="1151"/>
    </row>
    <row r="44" spans="2:10" s="677" customFormat="1" ht="51.75" customHeight="1">
      <c r="C44" s="157"/>
      <c r="D44" s="1147"/>
      <c r="E44" s="1152"/>
    </row>
    <row r="45" spans="2:10" s="677" customFormat="1"/>
    <row r="46" spans="2:10" s="677" customFormat="1" ht="17.399999999999999">
      <c r="C46" s="157"/>
      <c r="D46" s="1068"/>
      <c r="E46" s="1148"/>
      <c r="F46" s="1148"/>
      <c r="G46" s="1148"/>
      <c r="H46" s="1148"/>
    </row>
    <row r="47" spans="2:10" s="677" customFormat="1"/>
    <row r="48" spans="2:10" s="677" customFormat="1" ht="20.25" customHeight="1">
      <c r="C48" s="771"/>
      <c r="D48" s="1147"/>
      <c r="E48" s="1150"/>
      <c r="F48" s="1150"/>
      <c r="G48" s="1150"/>
      <c r="H48" s="1150"/>
    </row>
    <row r="49" spans="3:5" s="677" customFormat="1"/>
    <row r="50" spans="3:5" s="677" customFormat="1"/>
    <row r="51" spans="3:5" s="677" customFormat="1"/>
    <row r="52" spans="3:5" s="677" customFormat="1"/>
    <row r="53" spans="3:5" s="677" customFormat="1"/>
    <row r="54" spans="3:5" s="677" customFormat="1"/>
    <row r="55" spans="3:5" s="677" customFormat="1"/>
    <row r="56" spans="3:5" s="677" customFormat="1"/>
    <row r="57" spans="3:5" s="677" customFormat="1"/>
    <row r="58" spans="3:5" s="677" customFormat="1"/>
    <row r="59" spans="3:5" s="677" customFormat="1"/>
    <row r="62" spans="3:5" ht="60">
      <c r="C62" s="21" t="s">
        <v>1553</v>
      </c>
      <c r="D62" s="773" t="s">
        <v>1554</v>
      </c>
      <c r="E62" s="773" t="s">
        <v>1555</v>
      </c>
    </row>
    <row r="63" spans="3:5">
      <c r="C63" s="1284">
        <v>-0.3</v>
      </c>
      <c r="D63" s="1285">
        <f>E23</f>
        <v>0.31422518570114</v>
      </c>
      <c r="E63" s="1286">
        <f>I23</f>
        <v>0.3354337162253147</v>
      </c>
    </row>
    <row r="64" spans="3:5">
      <c r="C64" s="1284">
        <v>-0.25</v>
      </c>
      <c r="D64" s="1285">
        <f t="shared" ref="D64:D73" si="0">E24</f>
        <v>0.30515641556149786</v>
      </c>
      <c r="E64" s="1286">
        <f t="shared" ref="E64:E73" si="1">I24</f>
        <v>0.32066582675175126</v>
      </c>
    </row>
    <row r="65" spans="3:5">
      <c r="C65" s="1284">
        <v>-0.2</v>
      </c>
      <c r="D65" s="1285">
        <f t="shared" si="0"/>
        <v>0.29592861525252445</v>
      </c>
      <c r="E65" s="1286">
        <f t="shared" si="1"/>
        <v>0.30551788204166419</v>
      </c>
    </row>
    <row r="66" spans="3:5">
      <c r="C66" s="1284">
        <v>-0.15</v>
      </c>
      <c r="D66" s="1285">
        <f t="shared" si="0"/>
        <v>0.28653174926947345</v>
      </c>
      <c r="E66" s="1286">
        <f t="shared" si="1"/>
        <v>0.28995357007104205</v>
      </c>
    </row>
    <row r="67" spans="3:5">
      <c r="C67" s="1284">
        <v>-0.1</v>
      </c>
      <c r="D67" s="1285">
        <f t="shared" si="0"/>
        <v>0.27695451854544184</v>
      </c>
      <c r="E67" s="1286">
        <f t="shared" si="1"/>
        <v>0.27392897552393336</v>
      </c>
    </row>
    <row r="68" spans="3:5">
      <c r="C68" s="1284">
        <v>-0.05</v>
      </c>
      <c r="D68" s="1285">
        <f t="shared" si="0"/>
        <v>0.26718412290945359</v>
      </c>
      <c r="E68" s="1286">
        <f t="shared" si="1"/>
        <v>0.25739007561734151</v>
      </c>
    </row>
    <row r="69" spans="3:5">
      <c r="C69" s="331" t="s">
        <v>964</v>
      </c>
      <c r="D69" s="1285">
        <f t="shared" si="0"/>
        <v>0.25720596474549184</v>
      </c>
      <c r="E69" s="1286">
        <f t="shared" si="1"/>
        <v>0.24026911736261636</v>
      </c>
    </row>
    <row r="70" spans="3:5">
      <c r="C70" s="1284">
        <v>0.05</v>
      </c>
      <c r="D70" s="1285">
        <f t="shared" si="0"/>
        <v>0.24698662653189407</v>
      </c>
      <c r="E70" s="1286">
        <f t="shared" si="1"/>
        <v>0.22172237282079776</v>
      </c>
    </row>
    <row r="71" spans="3:5">
      <c r="C71" s="1284">
        <v>0.1</v>
      </c>
      <c r="D71" s="1285">
        <f t="shared" si="0"/>
        <v>0.23603354953697653</v>
      </c>
      <c r="E71" s="1286">
        <f t="shared" si="1"/>
        <v>0.2014532777141862</v>
      </c>
    </row>
    <row r="72" spans="3:5">
      <c r="C72" s="1284">
        <v>0.15</v>
      </c>
      <c r="D72" s="1285">
        <f t="shared" si="0"/>
        <v>0.22482937663397329</v>
      </c>
      <c r="E72" s="1286">
        <f t="shared" si="1"/>
        <v>0.17842745535107341</v>
      </c>
    </row>
    <row r="73" spans="3:5">
      <c r="C73" s="1284">
        <v>0.2</v>
      </c>
      <c r="D73" s="1285">
        <f t="shared" si="0"/>
        <v>0.21281498801926579</v>
      </c>
      <c r="E73" s="1286">
        <f t="shared" si="1"/>
        <v>0.15282703945387732</v>
      </c>
    </row>
  </sheetData>
  <mergeCells count="14">
    <mergeCell ref="I10:J10"/>
    <mergeCell ref="E11:F11"/>
    <mergeCell ref="G11:H11"/>
    <mergeCell ref="C37:J37"/>
    <mergeCell ref="C38:J38"/>
    <mergeCell ref="C39:J39"/>
    <mergeCell ref="B5:J5"/>
    <mergeCell ref="B6:J6"/>
    <mergeCell ref="B7:J7"/>
    <mergeCell ref="B8:J8"/>
    <mergeCell ref="B10:B12"/>
    <mergeCell ref="C10:C12"/>
    <mergeCell ref="D10:D12"/>
    <mergeCell ref="E10:H10"/>
  </mergeCells>
  <printOptions horizontalCentered="1" verticalCentered="1"/>
  <pageMargins left="0.11811023622047245" right="0.11811023622047245" top="0.35433070866141736" bottom="0.35433070866141736" header="0.31496062992125984" footer="0.31496062992125984"/>
  <pageSetup paperSize="9" scale="5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Y112"/>
  <sheetViews>
    <sheetView showZeros="0" topLeftCell="A16" workbookViewId="0">
      <selection activeCell="D21" sqref="D21"/>
    </sheetView>
  </sheetViews>
  <sheetFormatPr defaultColWidth="10.1796875" defaultRowHeight="15"/>
  <cols>
    <col min="1" max="1" width="5.54296875" style="42" customWidth="1"/>
    <col min="2" max="2" width="36.08984375" style="42" customWidth="1"/>
    <col min="3" max="3" width="10" style="42" customWidth="1"/>
    <col min="4" max="4" width="11.90625" style="42" customWidth="1"/>
    <col min="5" max="5" width="21.1796875" style="42" customWidth="1"/>
    <col min="6" max="6" width="7.36328125" style="383" customWidth="1"/>
    <col min="7" max="7" width="10.453125" style="42" customWidth="1"/>
    <col min="8" max="8" width="11.6328125" style="42" customWidth="1"/>
    <col min="9" max="9" width="9" style="42" customWidth="1"/>
    <col min="10" max="10" width="8" style="42" customWidth="1"/>
    <col min="11" max="15" width="10.1796875" style="42"/>
    <col min="16" max="16" width="11.54296875" style="42" customWidth="1"/>
    <col min="17" max="16384" width="10.1796875" style="42"/>
  </cols>
  <sheetData>
    <row r="4" spans="1:36" ht="15.6">
      <c r="D4" s="43" t="s">
        <v>322</v>
      </c>
      <c r="E4" s="43"/>
      <c r="F4" s="413"/>
    </row>
    <row r="5" spans="1:36" s="219" customFormat="1" ht="21" customHeight="1">
      <c r="A5" s="1692" t="s">
        <v>81</v>
      </c>
      <c r="B5" s="1692"/>
      <c r="C5" s="1692"/>
      <c r="D5" s="1692"/>
      <c r="E5" s="1692"/>
      <c r="F5" s="414"/>
    </row>
    <row r="6" spans="1:36" s="219" customFormat="1" ht="21.75" customHeight="1">
      <c r="A6" s="1693" t="s">
        <v>509</v>
      </c>
      <c r="B6" s="1693"/>
      <c r="C6" s="1693"/>
      <c r="D6" s="1693"/>
      <c r="E6" s="1693"/>
      <c r="F6" s="415"/>
    </row>
    <row r="7" spans="1:36" s="219" customFormat="1" ht="22.5" customHeight="1">
      <c r="A7" s="1694" t="s">
        <v>989</v>
      </c>
      <c r="B7" s="1694"/>
      <c r="C7" s="1694"/>
      <c r="D7" s="1694"/>
      <c r="E7" s="1694"/>
      <c r="F7" s="414"/>
    </row>
    <row r="8" spans="1:36" ht="18" customHeight="1">
      <c r="A8" s="1695" t="s">
        <v>222</v>
      </c>
      <c r="B8" s="1695"/>
      <c r="C8" s="1695"/>
      <c r="D8" s="1695"/>
      <c r="E8" s="1695"/>
    </row>
    <row r="9" spans="1:36" s="150" customFormat="1" ht="21" customHeight="1">
      <c r="B9" s="145"/>
      <c r="C9" s="145"/>
      <c r="D9" s="182" t="str">
        <f>'Capcost Tall '!O4</f>
        <v>Base date: 3rd Qtr 2021</v>
      </c>
      <c r="E9" s="145"/>
      <c r="F9" s="210"/>
    </row>
    <row r="10" spans="1:36" s="150" customFormat="1" ht="18" customHeight="1">
      <c r="A10" s="141" t="s">
        <v>9</v>
      </c>
      <c r="B10" s="1043" t="s">
        <v>223</v>
      </c>
      <c r="C10" s="141" t="s">
        <v>2</v>
      </c>
      <c r="D10" s="209" t="s">
        <v>584</v>
      </c>
      <c r="E10" s="786" t="s">
        <v>603</v>
      </c>
      <c r="F10" s="410"/>
      <c r="T10" s="151"/>
      <c r="U10" s="152"/>
      <c r="X10" s="152"/>
      <c r="Z10" s="151"/>
      <c r="AA10" s="152"/>
      <c r="AD10" s="152"/>
      <c r="AG10" s="150" t="s">
        <v>225</v>
      </c>
      <c r="AI10" s="150" t="s">
        <v>226</v>
      </c>
      <c r="AJ10" s="152" t="e">
        <f>#REF!</f>
        <v>#REF!</v>
      </c>
    </row>
    <row r="11" spans="1:36" ht="33" customHeight="1">
      <c r="A11" s="135"/>
      <c r="B11" s="720" t="s">
        <v>1030</v>
      </c>
      <c r="C11" s="1044" t="s">
        <v>4</v>
      </c>
      <c r="D11" s="471">
        <f>C42</f>
        <v>650000</v>
      </c>
      <c r="E11" s="720" t="s">
        <v>1556</v>
      </c>
      <c r="F11" s="108"/>
      <c r="H11" s="150"/>
      <c r="M11" s="46"/>
      <c r="N11" s="46"/>
      <c r="T11" s="46"/>
      <c r="U11" s="47"/>
      <c r="X11" s="47"/>
      <c r="Z11" s="46"/>
      <c r="AA11" s="47"/>
      <c r="AD11" s="47"/>
      <c r="AG11" s="42" t="s">
        <v>227</v>
      </c>
      <c r="AI11" s="42" t="s">
        <v>226</v>
      </c>
      <c r="AJ11" s="47">
        <v>8.7878353006035521</v>
      </c>
    </row>
    <row r="12" spans="1:36" ht="33.75" customHeight="1">
      <c r="A12" s="135"/>
      <c r="B12" s="718" t="s">
        <v>1050</v>
      </c>
      <c r="C12" s="406" t="s">
        <v>591</v>
      </c>
      <c r="D12" s="472">
        <f>320*C40</f>
        <v>320000000</v>
      </c>
      <c r="E12" s="9"/>
      <c r="F12" s="108"/>
      <c r="M12" s="46"/>
      <c r="N12" s="46"/>
      <c r="T12" s="46"/>
      <c r="U12" s="47"/>
      <c r="X12" s="47"/>
      <c r="Z12" s="46"/>
      <c r="AA12" s="47"/>
      <c r="AD12" s="47"/>
      <c r="AJ12" s="47"/>
    </row>
    <row r="13" spans="1:36" ht="34.5" customHeight="1">
      <c r="A13" s="135"/>
      <c r="B13" s="720" t="s">
        <v>1051</v>
      </c>
      <c r="C13" s="406" t="s">
        <v>4</v>
      </c>
      <c r="D13" s="472">
        <f>C46</f>
        <v>32000</v>
      </c>
      <c r="E13" s="296"/>
      <c r="F13" s="391"/>
      <c r="G13" s="706"/>
      <c r="H13" s="706"/>
      <c r="I13" s="706"/>
      <c r="J13" s="706"/>
      <c r="K13" s="706"/>
      <c r="L13" s="706"/>
      <c r="M13" s="46"/>
      <c r="N13" s="46"/>
      <c r="T13" s="46"/>
      <c r="U13" s="47"/>
      <c r="X13" s="47"/>
      <c r="Z13" s="46"/>
      <c r="AA13" s="47"/>
      <c r="AD13" s="47"/>
      <c r="AJ13" s="47"/>
    </row>
    <row r="14" spans="1:36" ht="31.5" customHeight="1">
      <c r="A14" s="135"/>
      <c r="B14" s="720" t="s">
        <v>1031</v>
      </c>
      <c r="C14" s="406" t="s">
        <v>4</v>
      </c>
      <c r="D14" s="472">
        <f>52*24*345</f>
        <v>430560</v>
      </c>
      <c r="E14" s="296"/>
      <c r="F14" s="391"/>
      <c r="G14" s="802"/>
      <c r="H14" s="802"/>
      <c r="I14" s="1289"/>
      <c r="J14" s="410"/>
      <c r="K14" s="1290"/>
      <c r="L14" s="706"/>
      <c r="M14" s="46"/>
      <c r="N14" s="46"/>
      <c r="T14" s="46"/>
      <c r="U14" s="47"/>
      <c r="X14" s="47"/>
      <c r="Z14" s="46"/>
      <c r="AA14" s="47"/>
      <c r="AD14" s="47"/>
      <c r="AJ14" s="47"/>
    </row>
    <row r="15" spans="1:36" ht="34.5" customHeight="1">
      <c r="A15" s="135"/>
      <c r="B15" s="1046" t="s">
        <v>1032</v>
      </c>
      <c r="C15" s="135" t="s">
        <v>600</v>
      </c>
      <c r="D15" s="150">
        <f>5*10^3*24*345</f>
        <v>41400000</v>
      </c>
      <c r="E15" s="296"/>
      <c r="F15" s="391"/>
      <c r="G15" s="704"/>
      <c r="H15" s="157"/>
      <c r="I15" s="473"/>
      <c r="J15" s="1290"/>
      <c r="K15" s="1290"/>
      <c r="L15" s="706"/>
      <c r="M15" s="46"/>
      <c r="N15" s="46"/>
      <c r="T15" s="46"/>
      <c r="U15" s="47"/>
      <c r="X15" s="47"/>
      <c r="Z15" s="46"/>
      <c r="AA15" s="47"/>
      <c r="AD15" s="47"/>
      <c r="AJ15" s="47"/>
    </row>
    <row r="16" spans="1:36" ht="21.75" customHeight="1">
      <c r="A16" s="135"/>
      <c r="B16" s="1046" t="s">
        <v>1033</v>
      </c>
      <c r="C16" s="5" t="s">
        <v>4</v>
      </c>
      <c r="D16" s="471">
        <f>C43</f>
        <v>110000</v>
      </c>
      <c r="E16" s="296"/>
      <c r="F16" s="391"/>
      <c r="G16" s="706"/>
      <c r="H16" s="706"/>
      <c r="I16" s="706"/>
      <c r="J16" s="706"/>
      <c r="K16" s="1290"/>
      <c r="L16" s="706"/>
      <c r="M16" s="46"/>
      <c r="N16" s="46"/>
      <c r="T16" s="46"/>
      <c r="U16" s="47"/>
      <c r="X16" s="47"/>
      <c r="Z16" s="46"/>
      <c r="AA16" s="47"/>
      <c r="AD16" s="47"/>
      <c r="AJ16" s="47"/>
    </row>
    <row r="17" spans="1:36" ht="77.25" customHeight="1">
      <c r="A17" s="135"/>
      <c r="B17" s="720" t="s">
        <v>751</v>
      </c>
      <c r="C17" s="1044" t="s">
        <v>229</v>
      </c>
      <c r="D17" s="631">
        <f>'Coal &amp; Coke Data'!C18</f>
        <v>28023.843930635838</v>
      </c>
      <c r="E17" s="720" t="s">
        <v>1461</v>
      </c>
      <c r="F17" s="1047"/>
      <c r="G17" s="214"/>
      <c r="H17" s="706"/>
      <c r="I17" s="706"/>
      <c r="J17" s="706"/>
      <c r="K17" s="1290"/>
      <c r="L17" s="706"/>
      <c r="M17" s="46"/>
      <c r="N17" s="46"/>
      <c r="T17" s="46"/>
      <c r="U17" s="47"/>
      <c r="X17" s="47"/>
      <c r="Z17" s="46"/>
      <c r="AA17" s="47"/>
      <c r="AD17" s="47"/>
      <c r="AJ17" s="47"/>
    </row>
    <row r="18" spans="1:36" ht="98.25" customHeight="1">
      <c r="A18" s="135"/>
      <c r="B18" s="720" t="s">
        <v>585</v>
      </c>
      <c r="C18" s="1044" t="s">
        <v>229</v>
      </c>
      <c r="D18" s="471">
        <f>D17*70/67</f>
        <v>29278.642912604606</v>
      </c>
      <c r="E18" s="720" t="s">
        <v>1464</v>
      </c>
      <c r="F18" s="108"/>
      <c r="G18" s="706"/>
      <c r="H18" s="704"/>
      <c r="I18" s="704"/>
      <c r="J18" s="706"/>
      <c r="K18" s="1291"/>
      <c r="L18" s="706"/>
      <c r="M18" s="46"/>
      <c r="N18" s="46"/>
      <c r="O18" s="49"/>
      <c r="T18" s="46"/>
      <c r="W18" s="47"/>
      <c r="X18" s="47"/>
      <c r="Z18" s="46"/>
      <c r="AB18" s="47"/>
      <c r="AC18" s="47"/>
      <c r="AD18" s="47"/>
    </row>
    <row r="19" spans="1:36" ht="40.5" customHeight="1">
      <c r="A19" s="135"/>
      <c r="B19" s="420" t="s">
        <v>593</v>
      </c>
      <c r="C19" s="135" t="s">
        <v>4</v>
      </c>
      <c r="D19" s="471">
        <f>C40*1.02</f>
        <v>1020000</v>
      </c>
      <c r="E19" s="709"/>
      <c r="F19" s="108"/>
      <c r="G19" s="1292"/>
      <c r="H19" s="476"/>
      <c r="I19" s="1293"/>
      <c r="J19" s="1294"/>
      <c r="K19" s="1295"/>
      <c r="L19" s="1295"/>
      <c r="M19" s="403"/>
      <c r="N19" s="403"/>
      <c r="O19" s="400"/>
      <c r="T19" s="46"/>
      <c r="W19" s="47"/>
      <c r="X19" s="47"/>
      <c r="Z19" s="46"/>
      <c r="AB19" s="47"/>
      <c r="AC19" s="47"/>
      <c r="AD19" s="47"/>
    </row>
    <row r="20" spans="1:36" ht="56.25" customHeight="1">
      <c r="A20" s="135"/>
      <c r="B20" s="720" t="s">
        <v>1462</v>
      </c>
      <c r="C20" s="406" t="s">
        <v>586</v>
      </c>
      <c r="D20" s="631">
        <f>'Coal &amp; Coke Data'!F15</f>
        <v>13729.270947324805</v>
      </c>
      <c r="E20" s="1049" t="s">
        <v>1465</v>
      </c>
      <c r="F20" s="108"/>
      <c r="G20" s="136"/>
      <c r="H20" s="705"/>
      <c r="I20" s="155"/>
      <c r="J20" s="156"/>
      <c r="K20" s="392"/>
      <c r="L20" s="392"/>
      <c r="M20" s="136"/>
      <c r="N20" s="392"/>
      <c r="O20" s="393"/>
      <c r="T20" s="46"/>
      <c r="W20" s="47"/>
      <c r="X20" s="47"/>
      <c r="Z20" s="46"/>
      <c r="AB20" s="47"/>
      <c r="AC20" s="47"/>
      <c r="AD20" s="47"/>
    </row>
    <row r="21" spans="1:36" ht="39" customHeight="1">
      <c r="A21" s="135"/>
      <c r="B21" s="719" t="s">
        <v>587</v>
      </c>
      <c r="C21" s="406" t="s">
        <v>589</v>
      </c>
      <c r="D21" s="471">
        <f>D19*D20/D11</f>
        <v>21544.394409648157</v>
      </c>
      <c r="E21" s="1050"/>
      <c r="F21" s="108"/>
      <c r="G21" s="136"/>
      <c r="H21" s="705"/>
      <c r="I21" s="155"/>
      <c r="J21" s="156"/>
      <c r="K21" s="392"/>
      <c r="L21" s="392"/>
      <c r="M21" s="398"/>
      <c r="N21" s="395"/>
      <c r="O21" s="399"/>
      <c r="T21" s="46"/>
      <c r="W21" s="47"/>
      <c r="X21" s="47"/>
      <c r="Z21" s="46"/>
      <c r="AB21" s="47"/>
      <c r="AC21" s="47"/>
      <c r="AD21" s="47"/>
    </row>
    <row r="22" spans="1:36" ht="38.25" customHeight="1">
      <c r="A22" s="135"/>
      <c r="B22" s="420" t="s">
        <v>1469</v>
      </c>
      <c r="C22" s="406" t="s">
        <v>589</v>
      </c>
      <c r="D22" s="533">
        <f>2396.91+519.18+250.6</f>
        <v>3166.6899999999996</v>
      </c>
      <c r="E22" s="1748" t="s">
        <v>1468</v>
      </c>
      <c r="F22" s="108"/>
      <c r="G22" s="1287"/>
      <c r="H22" s="154"/>
      <c r="I22" s="155"/>
      <c r="J22" s="156"/>
      <c r="K22" s="392"/>
      <c r="L22" s="392"/>
      <c r="M22" s="398"/>
      <c r="N22" s="395"/>
      <c r="O22" s="399"/>
      <c r="P22" s="407"/>
      <c r="T22" s="46"/>
      <c r="W22" s="47"/>
      <c r="X22" s="47"/>
      <c r="Z22" s="46"/>
      <c r="AB22" s="47"/>
      <c r="AC22" s="47"/>
      <c r="AD22" s="47"/>
    </row>
    <row r="23" spans="1:36" ht="42.75" customHeight="1">
      <c r="A23" s="135"/>
      <c r="B23" s="420" t="s">
        <v>772</v>
      </c>
      <c r="C23" s="406" t="s">
        <v>589</v>
      </c>
      <c r="D23" s="532">
        <f>'Stamp TE 1'!G19</f>
        <v>1099.32</v>
      </c>
      <c r="E23" s="1748"/>
      <c r="F23" s="108"/>
      <c r="G23" s="493"/>
      <c r="H23" s="493"/>
      <c r="I23" s="156"/>
      <c r="J23" s="136"/>
      <c r="K23" s="1288"/>
      <c r="L23" s="1045"/>
      <c r="M23" s="136"/>
      <c r="N23" s="392"/>
      <c r="O23" s="393"/>
      <c r="T23" s="46"/>
      <c r="W23" s="47"/>
      <c r="X23" s="47"/>
      <c r="Z23" s="46"/>
      <c r="AB23" s="47"/>
      <c r="AC23" s="47"/>
      <c r="AD23" s="47"/>
    </row>
    <row r="24" spans="1:36" ht="39" customHeight="1">
      <c r="A24" s="135"/>
      <c r="B24" s="420" t="s">
        <v>590</v>
      </c>
      <c r="C24" s="406" t="s">
        <v>589</v>
      </c>
      <c r="D24" s="472">
        <f>D21+D22+D23</f>
        <v>25810.404409648156</v>
      </c>
      <c r="E24" s="709"/>
      <c r="F24" s="108"/>
      <c r="G24" s="493"/>
      <c r="H24" s="493"/>
      <c r="I24" s="156"/>
      <c r="J24" s="136"/>
      <c r="K24" s="1288"/>
      <c r="L24" s="1045"/>
      <c r="M24" s="136"/>
      <c r="N24" s="392"/>
      <c r="O24" s="393"/>
      <c r="T24" s="46"/>
      <c r="W24" s="47"/>
      <c r="X24" s="47"/>
      <c r="Z24" s="46"/>
      <c r="AB24" s="47"/>
      <c r="AC24" s="47"/>
      <c r="AD24" s="47"/>
    </row>
    <row r="25" spans="1:36" ht="33.75" customHeight="1">
      <c r="A25" s="135"/>
      <c r="B25" s="788" t="s">
        <v>597</v>
      </c>
      <c r="C25" s="135" t="s">
        <v>598</v>
      </c>
      <c r="D25" s="532">
        <f>'Stamp TE 1'!G22</f>
        <v>1338</v>
      </c>
      <c r="E25" s="1749" t="str">
        <f>E22</f>
        <v>As per Std Cost RSP 2021-22</v>
      </c>
      <c r="F25" s="108"/>
      <c r="K25" s="392"/>
      <c r="L25" s="392"/>
      <c r="M25" s="136"/>
      <c r="N25" s="392"/>
      <c r="O25" s="393"/>
      <c r="P25" s="405"/>
      <c r="T25" s="46"/>
      <c r="W25" s="47"/>
      <c r="X25" s="47"/>
      <c r="Z25" s="46"/>
      <c r="AB25" s="47"/>
      <c r="AC25" s="47"/>
      <c r="AD25" s="47"/>
    </row>
    <row r="26" spans="1:36" ht="30" customHeight="1">
      <c r="A26" s="135"/>
      <c r="B26" s="1046" t="s">
        <v>599</v>
      </c>
      <c r="C26" s="135" t="s">
        <v>598</v>
      </c>
      <c r="D26" s="532">
        <f>D25</f>
        <v>1338</v>
      </c>
      <c r="E26" s="1750"/>
      <c r="F26" s="108"/>
      <c r="G26" s="136"/>
      <c r="H26" s="154"/>
      <c r="I26" s="155"/>
      <c r="J26" s="156"/>
      <c r="K26" s="392"/>
      <c r="L26" s="392"/>
      <c r="M26" s="136"/>
      <c r="N26" s="392"/>
      <c r="O26" s="393"/>
      <c r="P26" s="405"/>
      <c r="T26" s="46"/>
      <c r="W26" s="47"/>
      <c r="X26" s="47"/>
      <c r="Z26" s="46"/>
      <c r="AB26" s="47"/>
      <c r="AC26" s="47"/>
      <c r="AD26" s="47"/>
    </row>
    <row r="27" spans="1:36" ht="27.75" customHeight="1">
      <c r="A27" s="135"/>
      <c r="B27" s="1051" t="s">
        <v>609</v>
      </c>
      <c r="C27" s="135" t="s">
        <v>229</v>
      </c>
      <c r="D27" s="532">
        <f>'Stamp TE 1'!G28</f>
        <v>1218</v>
      </c>
      <c r="E27" s="1750"/>
      <c r="F27" s="108"/>
      <c r="G27" s="136"/>
      <c r="H27" s="154"/>
      <c r="I27" s="155"/>
      <c r="J27" s="156"/>
      <c r="K27" s="392"/>
      <c r="L27" s="392"/>
      <c r="M27" s="136"/>
      <c r="N27" s="392"/>
      <c r="O27" s="393"/>
      <c r="P27" s="405"/>
      <c r="T27" s="46"/>
      <c r="W27" s="47"/>
      <c r="X27" s="47"/>
      <c r="Z27" s="46"/>
      <c r="AB27" s="47"/>
      <c r="AC27" s="47"/>
      <c r="AD27" s="47"/>
    </row>
    <row r="28" spans="1:36" ht="27.75" customHeight="1">
      <c r="A28" s="135"/>
      <c r="B28" s="1051" t="s">
        <v>1034</v>
      </c>
      <c r="C28" s="135" t="s">
        <v>339</v>
      </c>
      <c r="D28" s="534">
        <f>'Stamp TE 1'!G26</f>
        <v>6.6369999999999996</v>
      </c>
      <c r="E28" s="1750"/>
      <c r="F28" s="108"/>
      <c r="G28" s="136"/>
      <c r="H28" s="154"/>
      <c r="I28" s="155"/>
      <c r="J28" s="156"/>
      <c r="K28" s="392"/>
      <c r="L28" s="392"/>
      <c r="M28" s="136"/>
      <c r="N28" s="392"/>
      <c r="O28" s="393"/>
      <c r="P28" s="405"/>
      <c r="T28" s="46"/>
      <c r="W28" s="47"/>
      <c r="X28" s="47"/>
      <c r="Z28" s="46"/>
      <c r="AB28" s="47"/>
      <c r="AC28" s="47"/>
      <c r="AD28" s="47"/>
    </row>
    <row r="29" spans="1:36" ht="27" customHeight="1">
      <c r="A29" s="135"/>
      <c r="B29" s="1046" t="s">
        <v>1035</v>
      </c>
      <c r="C29" s="5" t="s">
        <v>229</v>
      </c>
      <c r="D29" s="631">
        <f>'Stamp TE 1'!G30</f>
        <v>11488</v>
      </c>
      <c r="E29" s="1751"/>
      <c r="F29" s="108"/>
      <c r="G29" s="136"/>
      <c r="H29" s="154"/>
      <c r="I29" s="155"/>
      <c r="J29" s="156"/>
      <c r="K29" s="392"/>
      <c r="L29" s="392"/>
      <c r="M29" s="136"/>
      <c r="N29" s="392"/>
      <c r="O29" s="393"/>
      <c r="P29" s="405"/>
      <c r="T29" s="46"/>
      <c r="W29" s="47"/>
      <c r="X29" s="47"/>
      <c r="Z29" s="46"/>
      <c r="AB29" s="47"/>
      <c r="AC29" s="47"/>
      <c r="AD29" s="47"/>
    </row>
    <row r="30" spans="1:36" s="150" customFormat="1" ht="21.75" customHeight="1">
      <c r="A30" s="141" t="s">
        <v>10</v>
      </c>
      <c r="B30" s="1043" t="s">
        <v>1036</v>
      </c>
      <c r="C30" s="149"/>
      <c r="D30" s="147"/>
      <c r="E30" s="473"/>
      <c r="F30" s="210"/>
      <c r="H30" s="158"/>
      <c r="T30" s="151"/>
      <c r="W30" s="152"/>
      <c r="X30" s="152"/>
      <c r="Z30" s="151"/>
      <c r="AB30" s="152"/>
      <c r="AC30" s="152"/>
      <c r="AD30" s="152"/>
    </row>
    <row r="31" spans="1:36" ht="37.5" customHeight="1">
      <c r="A31" s="135"/>
      <c r="B31" s="1052" t="s">
        <v>1037</v>
      </c>
      <c r="C31" s="135" t="s">
        <v>272</v>
      </c>
      <c r="D31" s="174">
        <f>D11*D18/10^7</f>
        <v>1903.1117893192993</v>
      </c>
      <c r="E31" s="474"/>
      <c r="T31" s="46"/>
      <c r="W31" s="47"/>
      <c r="X31" s="47"/>
      <c r="Z31" s="46"/>
      <c r="AB31" s="47"/>
      <c r="AC31" s="47"/>
      <c r="AD31" s="47"/>
    </row>
    <row r="32" spans="1:36" ht="26.25" customHeight="1">
      <c r="A32" s="135"/>
      <c r="B32" s="1053" t="s">
        <v>597</v>
      </c>
      <c r="C32" s="135" t="s">
        <v>272</v>
      </c>
      <c r="D32" s="174">
        <f>D12*C44/10^6*D25/10^7</f>
        <v>179.8272</v>
      </c>
      <c r="E32" s="474"/>
      <c r="T32" s="46"/>
      <c r="W32" s="47"/>
      <c r="X32" s="47"/>
      <c r="Z32" s="46"/>
      <c r="AB32" s="47"/>
      <c r="AC32" s="47"/>
      <c r="AD32" s="47"/>
    </row>
    <row r="33" spans="1:30" ht="26.25" customHeight="1">
      <c r="A33" s="135"/>
      <c r="B33" s="1053" t="s">
        <v>1038</v>
      </c>
      <c r="C33" s="135" t="s">
        <v>272</v>
      </c>
      <c r="D33" s="174">
        <f>D13*C45*D26/10^7</f>
        <v>36.821759999999998</v>
      </c>
      <c r="E33" s="474"/>
      <c r="T33" s="46"/>
      <c r="W33" s="47"/>
      <c r="X33" s="47"/>
      <c r="Z33" s="46"/>
      <c r="AB33" s="47"/>
      <c r="AC33" s="47"/>
      <c r="AD33" s="47"/>
    </row>
    <row r="34" spans="1:30" s="150" customFormat="1" ht="35.25" customHeight="1">
      <c r="A34" s="135"/>
      <c r="B34" s="1046" t="s">
        <v>1039</v>
      </c>
      <c r="C34" s="5" t="s">
        <v>226</v>
      </c>
      <c r="D34" s="174">
        <f>D15*D28/10^7</f>
        <v>27.477180000000001</v>
      </c>
      <c r="E34" s="475"/>
      <c r="F34" s="210"/>
      <c r="T34" s="151"/>
      <c r="W34" s="152"/>
      <c r="X34" s="152"/>
      <c r="Z34" s="151"/>
      <c r="AB34" s="152"/>
      <c r="AC34" s="152"/>
      <c r="AD34" s="152"/>
    </row>
    <row r="35" spans="1:30" s="150" customFormat="1" ht="35.25" customHeight="1">
      <c r="A35" s="135"/>
      <c r="B35" s="1046" t="s">
        <v>1040</v>
      </c>
      <c r="C35" s="5" t="s">
        <v>226</v>
      </c>
      <c r="D35" s="174">
        <f>D14*D27/10^7</f>
        <v>52.442208000000001</v>
      </c>
      <c r="E35" s="475"/>
      <c r="F35" s="210"/>
      <c r="T35" s="151"/>
      <c r="W35" s="152"/>
      <c r="X35" s="152"/>
      <c r="Z35" s="151"/>
      <c r="AB35" s="152"/>
      <c r="AC35" s="152"/>
      <c r="AD35" s="152"/>
    </row>
    <row r="36" spans="1:30" s="150" customFormat="1" ht="22.5" customHeight="1">
      <c r="A36" s="135"/>
      <c r="B36" s="1046" t="s">
        <v>1041</v>
      </c>
      <c r="C36" s="5" t="s">
        <v>226</v>
      </c>
      <c r="D36" s="174">
        <f>D16*D29/10^7</f>
        <v>126.36799999999999</v>
      </c>
      <c r="E36" s="216"/>
      <c r="F36" s="217"/>
      <c r="T36" s="151"/>
      <c r="W36" s="152"/>
      <c r="X36" s="152"/>
      <c r="Z36" s="151"/>
      <c r="AB36" s="152"/>
      <c r="AC36" s="152"/>
      <c r="AD36" s="152"/>
    </row>
    <row r="37" spans="1:30" s="150" customFormat="1" ht="21" customHeight="1">
      <c r="A37" s="135"/>
      <c r="B37" s="1046" t="s">
        <v>1042</v>
      </c>
      <c r="C37" s="135" t="s">
        <v>226</v>
      </c>
      <c r="D37" s="592">
        <f>-D11*D24/10^7</f>
        <v>-1677.6762866271301</v>
      </c>
      <c r="E37" s="1054">
        <f>(-D37-D32-D33-D34-D35-D36)*10^7/D11</f>
        <v>19303.691363494308</v>
      </c>
      <c r="F37" s="208"/>
      <c r="G37" s="208"/>
      <c r="H37" s="208"/>
      <c r="M37" s="151"/>
      <c r="N37" s="151"/>
      <c r="O37" s="161"/>
      <c r="T37" s="151"/>
      <c r="W37" s="152"/>
      <c r="X37" s="152"/>
      <c r="Z37" s="151"/>
      <c r="AB37" s="152"/>
      <c r="AC37" s="152"/>
      <c r="AD37" s="152"/>
    </row>
    <row r="38" spans="1:30" ht="48.75" customHeight="1">
      <c r="A38" s="296"/>
      <c r="B38" s="1055" t="s">
        <v>1043</v>
      </c>
      <c r="C38" s="143" t="s">
        <v>226</v>
      </c>
      <c r="D38" s="593">
        <f>SUM(D31:D37)</f>
        <v>648.37185069216866</v>
      </c>
      <c r="E38" s="477"/>
      <c r="F38" s="419"/>
      <c r="T38" s="46"/>
      <c r="W38" s="47"/>
      <c r="X38" s="47"/>
      <c r="Z38" s="46"/>
      <c r="AB38" s="47"/>
      <c r="AC38" s="47"/>
      <c r="AD38" s="47"/>
    </row>
    <row r="39" spans="1:30" s="150" customFormat="1" ht="30">
      <c r="B39" s="1056"/>
      <c r="E39" s="1057" t="s">
        <v>1044</v>
      </c>
      <c r="F39" s="212"/>
      <c r="G39" s="161">
        <f>E37-G41</f>
        <v>-5886.6774847096895</v>
      </c>
      <c r="T39" s="151"/>
      <c r="W39" s="152"/>
      <c r="X39" s="152"/>
      <c r="Z39" s="151"/>
      <c r="AB39" s="152"/>
      <c r="AC39" s="152"/>
      <c r="AD39" s="152"/>
    </row>
    <row r="40" spans="1:30">
      <c r="B40" s="45" t="s">
        <v>588</v>
      </c>
      <c r="C40" s="42">
        <f>1*10^6</f>
        <v>1000000</v>
      </c>
    </row>
    <row r="41" spans="1:30" s="150" customFormat="1" ht="30">
      <c r="B41" s="145" t="s">
        <v>1045</v>
      </c>
      <c r="C41" s="150">
        <f>C40*0.76</f>
        <v>760000</v>
      </c>
      <c r="E41" s="1057" t="s">
        <v>1046</v>
      </c>
      <c r="F41" s="210"/>
      <c r="G41" s="161">
        <f>D21*C41/C42</f>
        <v>25190.368848203998</v>
      </c>
    </row>
    <row r="42" spans="1:30">
      <c r="B42" s="45" t="s">
        <v>1047</v>
      </c>
      <c r="C42" s="390">
        <f>C40*0.65</f>
        <v>650000</v>
      </c>
    </row>
    <row r="43" spans="1:30">
      <c r="B43" s="45" t="s">
        <v>583</v>
      </c>
      <c r="C43" s="390">
        <f>C41-C42</f>
        <v>110000</v>
      </c>
    </row>
    <row r="44" spans="1:30">
      <c r="B44" s="126" t="s">
        <v>605</v>
      </c>
      <c r="C44" s="390">
        <f>4300*0+4200</f>
        <v>4200</v>
      </c>
      <c r="D44" s="411" t="s">
        <v>604</v>
      </c>
    </row>
    <row r="45" spans="1:30">
      <c r="B45" s="126" t="s">
        <v>610</v>
      </c>
      <c r="C45" s="390">
        <v>8.6</v>
      </c>
      <c r="D45" s="45" t="s">
        <v>611</v>
      </c>
    </row>
    <row r="46" spans="1:30">
      <c r="B46" s="126" t="s">
        <v>739</v>
      </c>
      <c r="C46" s="42">
        <f>C40*0.032</f>
        <v>32000</v>
      </c>
    </row>
    <row r="52" spans="1:77" s="17" customFormat="1">
      <c r="O52" s="114"/>
      <c r="P52" s="114"/>
    </row>
    <row r="53" spans="1:77" s="17" customFormat="1">
      <c r="O53" s="114"/>
      <c r="P53" s="114"/>
    </row>
    <row r="54" spans="1:77" s="17" customFormat="1">
      <c r="O54" s="114"/>
      <c r="P54" s="114"/>
    </row>
    <row r="55" spans="1:77" s="17" customFormat="1">
      <c r="O55" s="114"/>
      <c r="P55" s="114"/>
    </row>
    <row r="56" spans="1:77" s="17" customFormat="1" ht="20.100000000000001" customHeight="1">
      <c r="A56" s="38"/>
      <c r="B56" s="50" t="s">
        <v>230</v>
      </c>
      <c r="H56" s="38"/>
      <c r="N56" s="129" t="s">
        <v>379</v>
      </c>
      <c r="O56" s="114"/>
      <c r="P56" s="114"/>
      <c r="R56" s="51"/>
      <c r="X56" s="50" t="s">
        <v>306</v>
      </c>
      <c r="AH56" s="18" t="s">
        <v>323</v>
      </c>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row>
    <row r="57" spans="1:77" s="17" customFormat="1" ht="20.100000000000001" customHeight="1">
      <c r="B57" s="52" t="s">
        <v>231</v>
      </c>
      <c r="C57" s="52" t="s">
        <v>93</v>
      </c>
      <c r="D57" s="17" t="s">
        <v>232</v>
      </c>
      <c r="E57" s="32" t="s">
        <v>233</v>
      </c>
      <c r="F57" s="52" t="s">
        <v>95</v>
      </c>
      <c r="G57" s="32" t="s">
        <v>96</v>
      </c>
      <c r="H57" s="1665" t="s">
        <v>234</v>
      </c>
      <c r="I57" s="1665"/>
      <c r="J57" s="52" t="s">
        <v>868</v>
      </c>
      <c r="K57" s="52" t="s">
        <v>235</v>
      </c>
      <c r="L57" s="52"/>
      <c r="N57" s="129" t="str">
        <f>[1]TE!A7</f>
        <v xml:space="preserve">Installation of Tall Coke Oven Battery # 7 at RSP </v>
      </c>
      <c r="O57" s="114"/>
      <c r="P57" s="114"/>
      <c r="AH57" s="18" t="e">
        <f>#REF!</f>
        <v>#REF!</v>
      </c>
      <c r="AO57" s="53"/>
      <c r="AP57" s="54"/>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row>
    <row r="58" spans="1:77" s="17" customFormat="1" ht="20.100000000000001" customHeight="1">
      <c r="A58" s="38"/>
      <c r="B58" s="32"/>
      <c r="C58" s="52" t="s">
        <v>97</v>
      </c>
      <c r="D58" s="17" t="s">
        <v>236</v>
      </c>
      <c r="E58" s="32" t="s">
        <v>237</v>
      </c>
      <c r="F58" s="55" t="s">
        <v>898</v>
      </c>
      <c r="G58" s="32" t="s">
        <v>99</v>
      </c>
      <c r="H58" s="52" t="s">
        <v>94</v>
      </c>
      <c r="I58" s="52" t="s">
        <v>98</v>
      </c>
      <c r="J58" s="52" t="s">
        <v>1048</v>
      </c>
      <c r="K58" s="52" t="s">
        <v>899</v>
      </c>
      <c r="L58" s="35"/>
      <c r="O58" s="186"/>
      <c r="P58" s="186"/>
      <c r="Q58" s="57"/>
      <c r="R58" s="56"/>
      <c r="S58" s="56"/>
      <c r="T58" s="56"/>
      <c r="U58" s="56"/>
      <c r="V58" s="56"/>
      <c r="W58" s="56"/>
      <c r="X58" s="56"/>
      <c r="Y58" s="56"/>
      <c r="Z58" s="56"/>
      <c r="AA58" s="56"/>
      <c r="AB58" s="56"/>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row>
    <row r="59" spans="1:77" s="17" customFormat="1" ht="20.100000000000001" customHeight="1">
      <c r="A59" s="38"/>
      <c r="B59" s="58" t="s">
        <v>87</v>
      </c>
      <c r="C59" s="58" t="s">
        <v>87</v>
      </c>
      <c r="D59" s="58" t="s">
        <v>87</v>
      </c>
      <c r="E59" s="58" t="s">
        <v>87</v>
      </c>
      <c r="F59" s="58" t="s">
        <v>87</v>
      </c>
      <c r="G59" s="58" t="s">
        <v>87</v>
      </c>
      <c r="H59" s="58" t="s">
        <v>87</v>
      </c>
      <c r="I59" s="58" t="s">
        <v>87</v>
      </c>
      <c r="J59" s="58"/>
      <c r="K59" s="58"/>
      <c r="L59" s="59"/>
      <c r="N59" s="60" t="s">
        <v>238</v>
      </c>
      <c r="O59" s="186"/>
      <c r="P59" s="186"/>
      <c r="Q59" s="61"/>
      <c r="R59" s="56"/>
      <c r="S59" s="56"/>
      <c r="T59" s="56"/>
      <c r="U59" s="56"/>
      <c r="V59" s="56"/>
      <c r="W59" s="56"/>
      <c r="X59" s="56"/>
      <c r="Z59" s="56"/>
      <c r="AA59" s="56"/>
      <c r="AB59" s="56"/>
      <c r="AI59" s="60" t="s">
        <v>239</v>
      </c>
      <c r="AO59" s="38"/>
      <c r="AP59" s="62"/>
      <c r="AQ59" s="62"/>
      <c r="AR59" s="62"/>
      <c r="AS59" s="62"/>
      <c r="AT59" s="62"/>
      <c r="AU59" s="62"/>
      <c r="AV59" s="62"/>
      <c r="AW59" s="62"/>
      <c r="AX59" s="62"/>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row>
    <row r="60" spans="1:77" s="17" customFormat="1" ht="20.100000000000001" customHeight="1">
      <c r="A60" s="63"/>
      <c r="B60" s="32"/>
      <c r="C60" s="32"/>
      <c r="E60" s="32"/>
      <c r="F60" s="32"/>
      <c r="G60" s="32"/>
      <c r="H60" s="32"/>
      <c r="I60" s="32"/>
      <c r="J60" s="32"/>
      <c r="K60" s="32"/>
      <c r="L60" s="38"/>
      <c r="N60" s="64" t="s">
        <v>240</v>
      </c>
      <c r="O60" s="187" t="s">
        <v>241</v>
      </c>
      <c r="P60" s="187" t="s">
        <v>242</v>
      </c>
      <c r="Q60" s="65" t="s">
        <v>243</v>
      </c>
      <c r="R60" s="65" t="s">
        <v>244</v>
      </c>
      <c r="S60" s="65" t="s">
        <v>245</v>
      </c>
      <c r="T60" s="65" t="s">
        <v>246</v>
      </c>
      <c r="U60" s="65" t="s">
        <v>247</v>
      </c>
      <c r="V60" s="65" t="s">
        <v>248</v>
      </c>
      <c r="W60" s="65" t="s">
        <v>249</v>
      </c>
      <c r="X60" s="65" t="s">
        <v>250</v>
      </c>
      <c r="Y60" s="65" t="s">
        <v>251</v>
      </c>
      <c r="Z60" s="65" t="s">
        <v>252</v>
      </c>
      <c r="AA60" s="65" t="s">
        <v>253</v>
      </c>
      <c r="AB60" s="65" t="s">
        <v>254</v>
      </c>
      <c r="AC60" s="65" t="s">
        <v>255</v>
      </c>
      <c r="AD60" s="65" t="s">
        <v>256</v>
      </c>
      <c r="AE60" s="65" t="s">
        <v>257</v>
      </c>
      <c r="AF60" s="65" t="s">
        <v>258</v>
      </c>
      <c r="AG60" s="65" t="s">
        <v>259</v>
      </c>
      <c r="AH60" s="65" t="s">
        <v>260</v>
      </c>
      <c r="AI60" s="65" t="s">
        <v>261</v>
      </c>
      <c r="AJ60" s="65" t="s">
        <v>262</v>
      </c>
      <c r="AK60" s="65" t="s">
        <v>305</v>
      </c>
      <c r="AL60" s="65" t="s">
        <v>581</v>
      </c>
      <c r="AN60" s="221" t="s">
        <v>613</v>
      </c>
      <c r="AO60"/>
      <c r="AP60"/>
      <c r="AQ60"/>
      <c r="AR60"/>
      <c r="AS60"/>
      <c r="AT60"/>
      <c r="AU60"/>
      <c r="AV60"/>
      <c r="AW60"/>
      <c r="AX60"/>
      <c r="AY60"/>
      <c r="AZ60"/>
      <c r="BA60"/>
      <c r="BB60"/>
      <c r="BC60"/>
      <c r="BD60"/>
      <c r="BE60"/>
      <c r="BF60"/>
      <c r="BG60"/>
      <c r="BH60"/>
      <c r="BI60"/>
      <c r="BJ60"/>
      <c r="BK60"/>
      <c r="BL60"/>
      <c r="BM60"/>
      <c r="BN60" s="38"/>
      <c r="BO60" s="38"/>
      <c r="BP60" s="38"/>
      <c r="BQ60" s="38"/>
      <c r="BR60" s="38"/>
      <c r="BS60" s="38"/>
      <c r="BT60" s="38"/>
      <c r="BU60" s="38"/>
      <c r="BV60" s="38"/>
      <c r="BW60" s="38"/>
      <c r="BX60" s="38"/>
      <c r="BY60" s="38"/>
    </row>
    <row r="61" spans="1:77" s="17" customFormat="1" ht="20.100000000000001" customHeight="1">
      <c r="A61" s="38"/>
      <c r="B61" s="34" t="s">
        <v>138</v>
      </c>
      <c r="C61" s="17" t="e">
        <f>'Capcost Tall '!BJ10</f>
        <v>#REF!</v>
      </c>
      <c r="E61" s="32" t="e">
        <f>C61</f>
        <v>#REF!</v>
      </c>
      <c r="F61" s="32" t="e">
        <f>'Capcost Tall '!BM10</f>
        <v>#REF!</v>
      </c>
      <c r="G61" s="32">
        <f>'[1]capcost(GST)'!BN10</f>
        <v>202.18718596837977</v>
      </c>
      <c r="H61" s="32">
        <f>D61</f>
        <v>0</v>
      </c>
      <c r="I61" s="32" t="e">
        <f>E61+F61</f>
        <v>#REF!</v>
      </c>
      <c r="J61" s="32"/>
      <c r="K61" s="32"/>
      <c r="L61" s="38"/>
      <c r="N61" s="67" t="s">
        <v>263</v>
      </c>
      <c r="O61" s="187"/>
      <c r="P61" s="188"/>
      <c r="Q61" s="68">
        <f>70%/2*0</f>
        <v>0</v>
      </c>
      <c r="R61" s="68">
        <f>90%/2</f>
        <v>0.45</v>
      </c>
      <c r="S61" s="68">
        <v>1</v>
      </c>
      <c r="T61" s="68">
        <v>1</v>
      </c>
      <c r="U61" s="68">
        <v>1</v>
      </c>
      <c r="V61" s="68">
        <v>1</v>
      </c>
      <c r="W61" s="68">
        <v>1</v>
      </c>
      <c r="X61" s="68">
        <v>1</v>
      </c>
      <c r="Y61" s="68">
        <v>1</v>
      </c>
      <c r="Z61" s="68">
        <v>1</v>
      </c>
      <c r="AA61" s="68">
        <v>1</v>
      </c>
      <c r="AB61" s="68">
        <v>1</v>
      </c>
      <c r="AC61" s="68">
        <v>1</v>
      </c>
      <c r="AD61" s="68">
        <v>1</v>
      </c>
      <c r="AE61" s="68">
        <v>1</v>
      </c>
      <c r="AF61" s="68">
        <v>1</v>
      </c>
      <c r="AG61" s="68">
        <v>1</v>
      </c>
      <c r="AH61" s="68">
        <v>1</v>
      </c>
      <c r="AI61" s="68">
        <v>1</v>
      </c>
      <c r="AJ61" s="68">
        <v>1</v>
      </c>
      <c r="AK61" s="68">
        <v>1</v>
      </c>
      <c r="AL61" s="68">
        <v>1</v>
      </c>
      <c r="AN61"/>
      <c r="AO61" s="222">
        <v>0.15</v>
      </c>
      <c r="AP61"/>
      <c r="AQ61"/>
      <c r="AR61"/>
      <c r="AS61"/>
      <c r="AT61"/>
      <c r="AU61"/>
      <c r="AV61"/>
      <c r="AW61"/>
      <c r="AX61"/>
      <c r="AY61"/>
      <c r="AZ61"/>
      <c r="BA61"/>
      <c r="BB61"/>
      <c r="BC61"/>
      <c r="BD61"/>
      <c r="BE61"/>
      <c r="BF61"/>
      <c r="BG61"/>
      <c r="BH61"/>
      <c r="BI61"/>
      <c r="BJ61"/>
      <c r="BK61"/>
      <c r="BL61"/>
      <c r="BM61"/>
      <c r="BN61" s="38"/>
      <c r="BO61" s="38"/>
      <c r="BP61" s="38"/>
      <c r="BQ61" s="38"/>
      <c r="BR61" s="38"/>
      <c r="BS61" s="38"/>
      <c r="BT61" s="38"/>
      <c r="BU61" s="38"/>
      <c r="BV61" s="38"/>
      <c r="BW61" s="38"/>
      <c r="BX61" s="38"/>
      <c r="BY61" s="38"/>
    </row>
    <row r="62" spans="1:77" s="17" customFormat="1" ht="20.100000000000001" customHeight="1">
      <c r="A62" s="38"/>
      <c r="B62" s="34" t="s">
        <v>141</v>
      </c>
      <c r="C62" s="17" t="e">
        <f>'Capcost Tall '!BJ11</f>
        <v>#REF!</v>
      </c>
      <c r="E62" s="32" t="e">
        <f>C62</f>
        <v>#REF!</v>
      </c>
      <c r="F62" s="32" t="e">
        <f>'Capcost Tall '!BM11</f>
        <v>#REF!</v>
      </c>
      <c r="G62" s="32">
        <f>'[1]capcost(GST)'!BN11</f>
        <v>625.81748037831835</v>
      </c>
      <c r="H62" s="32">
        <f>D62</f>
        <v>0</v>
      </c>
      <c r="I62" s="32" t="e">
        <f>E62+F62</f>
        <v>#REF!</v>
      </c>
      <c r="J62" s="32"/>
      <c r="K62" s="32"/>
      <c r="L62" s="38"/>
      <c r="N62" s="56" t="s">
        <v>264</v>
      </c>
      <c r="O62" s="186">
        <v>0</v>
      </c>
      <c r="P62" s="186">
        <v>0</v>
      </c>
      <c r="Q62" s="56">
        <f t="shared" ref="Q62:AL62" si="0">+$D$68*Q61</f>
        <v>0</v>
      </c>
      <c r="R62" s="56">
        <f t="shared" si="0"/>
        <v>291.76733281147591</v>
      </c>
      <c r="S62" s="56">
        <f t="shared" si="0"/>
        <v>648.37185069216866</v>
      </c>
      <c r="T62" s="56">
        <f t="shared" si="0"/>
        <v>648.37185069216866</v>
      </c>
      <c r="U62" s="56">
        <f t="shared" si="0"/>
        <v>648.37185069216866</v>
      </c>
      <c r="V62" s="56">
        <f t="shared" si="0"/>
        <v>648.37185069216866</v>
      </c>
      <c r="W62" s="56">
        <f t="shared" si="0"/>
        <v>648.37185069216866</v>
      </c>
      <c r="X62" s="56">
        <f t="shared" si="0"/>
        <v>648.37185069216866</v>
      </c>
      <c r="Y62" s="56">
        <f t="shared" si="0"/>
        <v>648.37185069216866</v>
      </c>
      <c r="Z62" s="56">
        <f t="shared" si="0"/>
        <v>648.37185069216866</v>
      </c>
      <c r="AA62" s="56">
        <f t="shared" si="0"/>
        <v>648.37185069216866</v>
      </c>
      <c r="AB62" s="56">
        <f t="shared" si="0"/>
        <v>648.37185069216866</v>
      </c>
      <c r="AC62" s="56">
        <f t="shared" si="0"/>
        <v>648.37185069216866</v>
      </c>
      <c r="AD62" s="56">
        <f t="shared" si="0"/>
        <v>648.37185069216866</v>
      </c>
      <c r="AE62" s="56">
        <f t="shared" si="0"/>
        <v>648.37185069216866</v>
      </c>
      <c r="AF62" s="56">
        <f t="shared" si="0"/>
        <v>648.37185069216866</v>
      </c>
      <c r="AG62" s="56">
        <f t="shared" si="0"/>
        <v>648.37185069216866</v>
      </c>
      <c r="AH62" s="56">
        <f t="shared" si="0"/>
        <v>648.37185069216866</v>
      </c>
      <c r="AI62" s="56">
        <f t="shared" si="0"/>
        <v>648.37185069216866</v>
      </c>
      <c r="AJ62" s="56">
        <f t="shared" si="0"/>
        <v>648.37185069216866</v>
      </c>
      <c r="AK62" s="56">
        <f t="shared" si="0"/>
        <v>648.37185069216866</v>
      </c>
      <c r="AL62" s="56">
        <f t="shared" si="0"/>
        <v>648.37185069216866</v>
      </c>
      <c r="AN62" t="s">
        <v>265</v>
      </c>
      <c r="AO62" s="16">
        <v>1</v>
      </c>
      <c r="AP62" s="70">
        <v>2</v>
      </c>
      <c r="AQ62" s="70">
        <v>3</v>
      </c>
      <c r="AR62" s="70">
        <v>4</v>
      </c>
      <c r="AS62" s="70">
        <v>5</v>
      </c>
      <c r="AT62" s="70">
        <v>6</v>
      </c>
      <c r="AU62" s="70">
        <v>7</v>
      </c>
      <c r="AV62" s="70">
        <v>8</v>
      </c>
      <c r="AW62" s="70">
        <v>9</v>
      </c>
      <c r="AX62" s="70">
        <v>10</v>
      </c>
      <c r="AY62" s="70">
        <v>11</v>
      </c>
      <c r="AZ62" s="70">
        <v>12</v>
      </c>
      <c r="BA62" s="70">
        <v>13</v>
      </c>
      <c r="BB62" s="70">
        <v>14</v>
      </c>
      <c r="BC62" s="70">
        <v>15</v>
      </c>
      <c r="BD62" s="70">
        <v>16</v>
      </c>
      <c r="BE62" s="70">
        <v>17</v>
      </c>
      <c r="BF62" s="70">
        <v>18</v>
      </c>
      <c r="BG62" s="70">
        <v>19</v>
      </c>
      <c r="BH62" s="70">
        <v>20</v>
      </c>
      <c r="BI62" s="70">
        <v>21</v>
      </c>
      <c r="BJ62" s="71">
        <v>22</v>
      </c>
      <c r="BK62" s="71">
        <v>23</v>
      </c>
      <c r="BL62"/>
      <c r="BM62"/>
      <c r="BN62" s="38"/>
      <c r="BO62" s="38"/>
      <c r="BP62" s="38"/>
      <c r="BQ62" s="38"/>
      <c r="BR62" s="38"/>
      <c r="BS62" s="38"/>
      <c r="BT62" s="38"/>
      <c r="BU62" s="38"/>
      <c r="BV62" s="38"/>
      <c r="BW62" s="38"/>
      <c r="BX62" s="38"/>
      <c r="BY62" s="38"/>
    </row>
    <row r="63" spans="1:77" s="17" customFormat="1" ht="20.100000000000001" customHeight="1">
      <c r="A63" s="38"/>
      <c r="B63" s="34" t="s">
        <v>579</v>
      </c>
      <c r="C63" s="17" t="e">
        <f>'Capcost Tall '!BJ12</f>
        <v>#REF!</v>
      </c>
      <c r="E63" s="32" t="e">
        <f>C63</f>
        <v>#REF!</v>
      </c>
      <c r="F63" s="32" t="e">
        <f>'Capcost Tall '!BM12</f>
        <v>#REF!</v>
      </c>
      <c r="G63" s="32">
        <f>'[1]capcost(GST)'!BN12</f>
        <v>885.77243376623505</v>
      </c>
      <c r="H63" s="32">
        <f>D63</f>
        <v>0</v>
      </c>
      <c r="I63" s="32" t="e">
        <f>E63+F63</f>
        <v>#REF!</v>
      </c>
      <c r="L63" s="38"/>
      <c r="N63" s="56" t="s">
        <v>266</v>
      </c>
      <c r="O63" s="186">
        <f t="shared" ref="O63:AL63" si="1">+O83</f>
        <v>0</v>
      </c>
      <c r="P63" s="186">
        <f t="shared" si="1"/>
        <v>0</v>
      </c>
      <c r="Q63" s="186" t="e">
        <f t="shared" si="1"/>
        <v>#REF!</v>
      </c>
      <c r="R63" s="56" t="e">
        <f t="shared" si="1"/>
        <v>#REF!</v>
      </c>
      <c r="S63" s="56" t="e">
        <f t="shared" si="1"/>
        <v>#REF!</v>
      </c>
      <c r="T63" s="56" t="e">
        <f t="shared" si="1"/>
        <v>#REF!</v>
      </c>
      <c r="U63" s="56" t="e">
        <f t="shared" si="1"/>
        <v>#REF!</v>
      </c>
      <c r="V63" s="56" t="e">
        <f t="shared" si="1"/>
        <v>#REF!</v>
      </c>
      <c r="W63" s="56" t="e">
        <f t="shared" si="1"/>
        <v>#REF!</v>
      </c>
      <c r="X63" s="56" t="e">
        <f t="shared" si="1"/>
        <v>#REF!</v>
      </c>
      <c r="Y63" s="56" t="e">
        <f t="shared" si="1"/>
        <v>#REF!</v>
      </c>
      <c r="Z63" s="56" t="e">
        <f t="shared" si="1"/>
        <v>#REF!</v>
      </c>
      <c r="AA63" s="56" t="e">
        <f t="shared" si="1"/>
        <v>#REF!</v>
      </c>
      <c r="AB63" s="56" t="e">
        <f t="shared" si="1"/>
        <v>#REF!</v>
      </c>
      <c r="AC63" s="56" t="e">
        <f t="shared" si="1"/>
        <v>#REF!</v>
      </c>
      <c r="AD63" s="56" t="e">
        <f t="shared" si="1"/>
        <v>#REF!</v>
      </c>
      <c r="AE63" s="56" t="e">
        <f t="shared" si="1"/>
        <v>#REF!</v>
      </c>
      <c r="AF63" s="56" t="e">
        <f t="shared" si="1"/>
        <v>#REF!</v>
      </c>
      <c r="AG63" s="56" t="e">
        <f t="shared" si="1"/>
        <v>#REF!</v>
      </c>
      <c r="AH63" s="56" t="e">
        <f t="shared" si="1"/>
        <v>#REF!</v>
      </c>
      <c r="AI63" s="56" t="e">
        <f t="shared" si="1"/>
        <v>#REF!</v>
      </c>
      <c r="AJ63" s="56" t="e">
        <f t="shared" si="1"/>
        <v>#REF!</v>
      </c>
      <c r="AK63" s="56" t="e">
        <f t="shared" si="1"/>
        <v>#REF!</v>
      </c>
      <c r="AL63" s="56">
        <f t="shared" si="1"/>
        <v>0</v>
      </c>
      <c r="AN63" t="s">
        <v>267</v>
      </c>
      <c r="AO63" t="e">
        <f>+K66</f>
        <v>#REF!</v>
      </c>
      <c r="AP63" t="e">
        <f t="shared" ref="AP63:BK63" si="2">+AO65</f>
        <v>#REF!</v>
      </c>
      <c r="AQ63" t="e">
        <f t="shared" si="2"/>
        <v>#REF!</v>
      </c>
      <c r="AR63" t="e">
        <f t="shared" si="2"/>
        <v>#REF!</v>
      </c>
      <c r="AS63" t="e">
        <f t="shared" si="2"/>
        <v>#REF!</v>
      </c>
      <c r="AT63" t="e">
        <f t="shared" si="2"/>
        <v>#REF!</v>
      </c>
      <c r="AU63" t="e">
        <f t="shared" si="2"/>
        <v>#REF!</v>
      </c>
      <c r="AV63" t="e">
        <f t="shared" si="2"/>
        <v>#REF!</v>
      </c>
      <c r="AW63" t="e">
        <f t="shared" si="2"/>
        <v>#REF!</v>
      </c>
      <c r="AX63" t="e">
        <f t="shared" si="2"/>
        <v>#REF!</v>
      </c>
      <c r="AY63" t="e">
        <f t="shared" si="2"/>
        <v>#REF!</v>
      </c>
      <c r="AZ63" t="e">
        <f t="shared" si="2"/>
        <v>#REF!</v>
      </c>
      <c r="BA63" t="e">
        <f t="shared" si="2"/>
        <v>#REF!</v>
      </c>
      <c r="BB63" t="e">
        <f t="shared" si="2"/>
        <v>#REF!</v>
      </c>
      <c r="BC63" t="e">
        <f t="shared" si="2"/>
        <v>#REF!</v>
      </c>
      <c r="BD63" t="e">
        <f t="shared" si="2"/>
        <v>#REF!</v>
      </c>
      <c r="BE63" t="e">
        <f t="shared" si="2"/>
        <v>#REF!</v>
      </c>
      <c r="BF63" t="e">
        <f t="shared" si="2"/>
        <v>#REF!</v>
      </c>
      <c r="BG63" t="e">
        <f t="shared" si="2"/>
        <v>#REF!</v>
      </c>
      <c r="BH63" s="73" t="e">
        <f t="shared" si="2"/>
        <v>#REF!</v>
      </c>
      <c r="BI63" t="e">
        <f t="shared" si="2"/>
        <v>#REF!</v>
      </c>
      <c r="BJ63" t="e">
        <f t="shared" si="2"/>
        <v>#REF!</v>
      </c>
      <c r="BK63" t="e">
        <f t="shared" si="2"/>
        <v>#REF!</v>
      </c>
      <c r="BL63"/>
      <c r="BM63" t="s">
        <v>268</v>
      </c>
      <c r="BN63" s="38"/>
      <c r="BO63" s="38"/>
      <c r="BP63" s="38"/>
      <c r="BQ63" s="38"/>
      <c r="BR63" s="38"/>
      <c r="BS63" s="38"/>
      <c r="BT63" s="38"/>
      <c r="BU63" s="38"/>
      <c r="BV63" s="38"/>
      <c r="BW63" s="38"/>
      <c r="BX63" s="38"/>
      <c r="BY63" s="38"/>
    </row>
    <row r="64" spans="1:77" s="17" customFormat="1" ht="20.100000000000001" customHeight="1">
      <c r="A64" s="38"/>
      <c r="B64" s="34" t="s">
        <v>580</v>
      </c>
      <c r="C64" s="17" t="e">
        <f>'Capcost Tall '!BJ13</f>
        <v>#REF!</v>
      </c>
      <c r="E64" s="32" t="e">
        <f>C64</f>
        <v>#REF!</v>
      </c>
      <c r="F64" s="32" t="e">
        <f>'Capcost Tall '!BM13</f>
        <v>#REF!</v>
      </c>
      <c r="G64" s="32">
        <f>'[1]capcost(GST)'!BN13</f>
        <v>274.39689524280107</v>
      </c>
      <c r="H64" s="32">
        <f>D64</f>
        <v>0</v>
      </c>
      <c r="I64" s="32" t="e">
        <f>E64+F64</f>
        <v>#REF!</v>
      </c>
      <c r="L64" s="38"/>
      <c r="N64" s="56" t="s">
        <v>228</v>
      </c>
      <c r="O64" s="186">
        <v>0</v>
      </c>
      <c r="P64" s="189">
        <v>0</v>
      </c>
      <c r="Q64" s="189"/>
      <c r="R64" s="69" t="e">
        <f t="shared" ref="R64:AL64" si="3">AO64</f>
        <v>#REF!</v>
      </c>
      <c r="S64" s="69" t="e">
        <f t="shared" si="3"/>
        <v>#REF!</v>
      </c>
      <c r="T64" s="69" t="e">
        <f t="shared" si="3"/>
        <v>#REF!</v>
      </c>
      <c r="U64" s="69" t="e">
        <f t="shared" si="3"/>
        <v>#REF!</v>
      </c>
      <c r="V64" s="69" t="e">
        <f t="shared" si="3"/>
        <v>#REF!</v>
      </c>
      <c r="W64" s="69" t="e">
        <f t="shared" si="3"/>
        <v>#REF!</v>
      </c>
      <c r="X64" s="69" t="e">
        <f t="shared" si="3"/>
        <v>#REF!</v>
      </c>
      <c r="Y64" s="69" t="e">
        <f t="shared" si="3"/>
        <v>#REF!</v>
      </c>
      <c r="Z64" s="69" t="e">
        <f t="shared" si="3"/>
        <v>#REF!</v>
      </c>
      <c r="AA64" s="69" t="e">
        <f t="shared" si="3"/>
        <v>#REF!</v>
      </c>
      <c r="AB64" s="69" t="e">
        <f t="shared" si="3"/>
        <v>#REF!</v>
      </c>
      <c r="AC64" s="69" t="e">
        <f t="shared" si="3"/>
        <v>#REF!</v>
      </c>
      <c r="AD64" s="69" t="e">
        <f t="shared" si="3"/>
        <v>#REF!</v>
      </c>
      <c r="AE64" s="69" t="e">
        <f t="shared" si="3"/>
        <v>#REF!</v>
      </c>
      <c r="AF64" s="69" t="e">
        <f t="shared" si="3"/>
        <v>#REF!</v>
      </c>
      <c r="AG64" s="69" t="e">
        <f t="shared" si="3"/>
        <v>#REF!</v>
      </c>
      <c r="AH64" s="69" t="e">
        <f t="shared" si="3"/>
        <v>#REF!</v>
      </c>
      <c r="AI64" s="69" t="e">
        <f t="shared" si="3"/>
        <v>#REF!</v>
      </c>
      <c r="AJ64" s="69" t="e">
        <f t="shared" si="3"/>
        <v>#REF!</v>
      </c>
      <c r="AK64" s="69" t="e">
        <f t="shared" si="3"/>
        <v>#REF!</v>
      </c>
      <c r="AL64" s="69">
        <f t="shared" si="3"/>
        <v>0</v>
      </c>
      <c r="AM64" s="69" t="e">
        <f>SUM(O64:AL64)</f>
        <v>#REF!</v>
      </c>
      <c r="AN64" s="33" t="s">
        <v>612</v>
      </c>
      <c r="AO64" s="73" t="e">
        <f>+AO63*$AO$61/2</f>
        <v>#REF!</v>
      </c>
      <c r="AP64" s="73" t="e">
        <f t="shared" ref="AP64:BF64" si="4">+AP63*$AO$61</f>
        <v>#REF!</v>
      </c>
      <c r="AQ64" s="73" t="e">
        <f t="shared" si="4"/>
        <v>#REF!</v>
      </c>
      <c r="AR64" s="73" t="e">
        <f t="shared" si="4"/>
        <v>#REF!</v>
      </c>
      <c r="AS64" s="73" t="e">
        <f t="shared" si="4"/>
        <v>#REF!</v>
      </c>
      <c r="AT64" s="73" t="e">
        <f t="shared" si="4"/>
        <v>#REF!</v>
      </c>
      <c r="AU64" s="73" t="e">
        <f t="shared" si="4"/>
        <v>#REF!</v>
      </c>
      <c r="AV64" s="73" t="e">
        <f t="shared" si="4"/>
        <v>#REF!</v>
      </c>
      <c r="AW64" s="73" t="e">
        <f t="shared" si="4"/>
        <v>#REF!</v>
      </c>
      <c r="AX64" s="73" t="e">
        <f t="shared" si="4"/>
        <v>#REF!</v>
      </c>
      <c r="AY64" s="73" t="e">
        <f t="shared" si="4"/>
        <v>#REF!</v>
      </c>
      <c r="AZ64" s="73" t="e">
        <f t="shared" si="4"/>
        <v>#REF!</v>
      </c>
      <c r="BA64" s="73" t="e">
        <f t="shared" si="4"/>
        <v>#REF!</v>
      </c>
      <c r="BB64" s="73" t="e">
        <f t="shared" si="4"/>
        <v>#REF!</v>
      </c>
      <c r="BC64" s="73" t="e">
        <f t="shared" si="4"/>
        <v>#REF!</v>
      </c>
      <c r="BD64" s="73" t="e">
        <f t="shared" si="4"/>
        <v>#REF!</v>
      </c>
      <c r="BE64" s="73" t="e">
        <f t="shared" si="4"/>
        <v>#REF!</v>
      </c>
      <c r="BF64" s="73" t="e">
        <f t="shared" si="4"/>
        <v>#REF!</v>
      </c>
      <c r="BG64" s="73" t="e">
        <f>+BG63*$AO$61*0+AO63*0.95-SUM(AO64:BF64)</f>
        <v>#REF!</v>
      </c>
      <c r="BH64" s="73" t="e">
        <f>AO63*0.95-SUM(AO64:BG64)</f>
        <v>#REF!</v>
      </c>
      <c r="BI64" s="73"/>
      <c r="BJ64" s="73"/>
      <c r="BK64"/>
      <c r="BL64" t="e">
        <f>SUM(AO64:BK64)</f>
        <v>#REF!</v>
      </c>
      <c r="BM64" t="e">
        <f>+K66*0.95</f>
        <v>#REF!</v>
      </c>
      <c r="BN64" s="38"/>
      <c r="BO64" s="38"/>
      <c r="BP64" s="38"/>
      <c r="BQ64" s="38"/>
      <c r="BR64" s="38"/>
      <c r="BS64" s="38"/>
      <c r="BT64" s="38"/>
      <c r="BU64" s="38"/>
      <c r="BV64" s="38"/>
      <c r="BW64" s="38"/>
      <c r="BX64" s="38"/>
      <c r="BY64" s="38"/>
    </row>
    <row r="65" spans="1:77" s="17" customFormat="1" ht="20.100000000000001" customHeight="1">
      <c r="A65" s="38"/>
      <c r="B65" s="34" t="s">
        <v>180</v>
      </c>
      <c r="C65" s="17" t="e">
        <f>'Capcost Tall '!BJ14</f>
        <v>#REF!</v>
      </c>
      <c r="E65" s="32" t="e">
        <f>C65</f>
        <v>#REF!</v>
      </c>
      <c r="F65" s="32"/>
      <c r="G65" s="32">
        <f>'[1]capcost(GST)'!BN14</f>
        <v>192.55922473179024</v>
      </c>
      <c r="H65" s="32">
        <f>D65</f>
        <v>0</v>
      </c>
      <c r="I65" s="32" t="e">
        <f>E65+F65</f>
        <v>#REF!</v>
      </c>
      <c r="J65" s="72"/>
      <c r="K65" s="72"/>
      <c r="L65" s="38"/>
      <c r="N65" s="56" t="s">
        <v>269</v>
      </c>
      <c r="O65" s="186">
        <v>0</v>
      </c>
      <c r="P65" s="189">
        <f t="shared" ref="P65:AL65" si="5">+P62-P63-P64</f>
        <v>0</v>
      </c>
      <c r="Q65" s="189" t="e">
        <f t="shared" si="5"/>
        <v>#REF!</v>
      </c>
      <c r="R65" s="69" t="e">
        <f t="shared" si="5"/>
        <v>#REF!</v>
      </c>
      <c r="S65" s="69" t="e">
        <f t="shared" si="5"/>
        <v>#REF!</v>
      </c>
      <c r="T65" s="69" t="e">
        <f t="shared" si="5"/>
        <v>#REF!</v>
      </c>
      <c r="U65" s="69" t="e">
        <f t="shared" si="5"/>
        <v>#REF!</v>
      </c>
      <c r="V65" s="69" t="e">
        <f t="shared" si="5"/>
        <v>#REF!</v>
      </c>
      <c r="W65" s="69" t="e">
        <f t="shared" si="5"/>
        <v>#REF!</v>
      </c>
      <c r="X65" s="69" t="e">
        <f t="shared" si="5"/>
        <v>#REF!</v>
      </c>
      <c r="Y65" s="69" t="e">
        <f t="shared" si="5"/>
        <v>#REF!</v>
      </c>
      <c r="Z65" s="69" t="e">
        <f t="shared" si="5"/>
        <v>#REF!</v>
      </c>
      <c r="AA65" s="69" t="e">
        <f t="shared" si="5"/>
        <v>#REF!</v>
      </c>
      <c r="AB65" s="69" t="e">
        <f t="shared" si="5"/>
        <v>#REF!</v>
      </c>
      <c r="AC65" s="69" t="e">
        <f t="shared" si="5"/>
        <v>#REF!</v>
      </c>
      <c r="AD65" s="69" t="e">
        <f t="shared" si="5"/>
        <v>#REF!</v>
      </c>
      <c r="AE65" s="69" t="e">
        <f t="shared" si="5"/>
        <v>#REF!</v>
      </c>
      <c r="AF65" s="69" t="e">
        <f t="shared" si="5"/>
        <v>#REF!</v>
      </c>
      <c r="AG65" s="69" t="e">
        <f t="shared" si="5"/>
        <v>#REF!</v>
      </c>
      <c r="AH65" s="69" t="e">
        <f t="shared" si="5"/>
        <v>#REF!</v>
      </c>
      <c r="AI65" s="69" t="e">
        <f t="shared" si="5"/>
        <v>#REF!</v>
      </c>
      <c r="AJ65" s="69" t="e">
        <f t="shared" si="5"/>
        <v>#REF!</v>
      </c>
      <c r="AK65" s="69" t="e">
        <f t="shared" si="5"/>
        <v>#REF!</v>
      </c>
      <c r="AL65" s="69">
        <f t="shared" si="5"/>
        <v>648.37185069216866</v>
      </c>
      <c r="AN65" t="s">
        <v>270</v>
      </c>
      <c r="AO65" s="73" t="e">
        <f t="shared" ref="AO65:BK65" si="6">+AO63-AO64</f>
        <v>#REF!</v>
      </c>
      <c r="AP65" s="73" t="e">
        <f t="shared" si="6"/>
        <v>#REF!</v>
      </c>
      <c r="AQ65" s="73" t="e">
        <f t="shared" si="6"/>
        <v>#REF!</v>
      </c>
      <c r="AR65" s="73" t="e">
        <f t="shared" si="6"/>
        <v>#REF!</v>
      </c>
      <c r="AS65" s="73" t="e">
        <f t="shared" si="6"/>
        <v>#REF!</v>
      </c>
      <c r="AT65" s="73" t="e">
        <f t="shared" si="6"/>
        <v>#REF!</v>
      </c>
      <c r="AU65" s="73" t="e">
        <f t="shared" si="6"/>
        <v>#REF!</v>
      </c>
      <c r="AV65" s="73" t="e">
        <f t="shared" si="6"/>
        <v>#REF!</v>
      </c>
      <c r="AW65" s="73" t="e">
        <f t="shared" si="6"/>
        <v>#REF!</v>
      </c>
      <c r="AX65" s="73" t="e">
        <f t="shared" si="6"/>
        <v>#REF!</v>
      </c>
      <c r="AY65" s="73" t="e">
        <f t="shared" si="6"/>
        <v>#REF!</v>
      </c>
      <c r="AZ65" s="73" t="e">
        <f t="shared" si="6"/>
        <v>#REF!</v>
      </c>
      <c r="BA65" s="73" t="e">
        <f t="shared" si="6"/>
        <v>#REF!</v>
      </c>
      <c r="BB65" s="73" t="e">
        <f t="shared" si="6"/>
        <v>#REF!</v>
      </c>
      <c r="BC65" s="73" t="e">
        <f t="shared" si="6"/>
        <v>#REF!</v>
      </c>
      <c r="BD65" s="73" t="e">
        <f t="shared" si="6"/>
        <v>#REF!</v>
      </c>
      <c r="BE65" s="73" t="e">
        <f t="shared" si="6"/>
        <v>#REF!</v>
      </c>
      <c r="BF65" s="73" t="e">
        <f t="shared" si="6"/>
        <v>#REF!</v>
      </c>
      <c r="BG65" s="73" t="e">
        <f t="shared" si="6"/>
        <v>#REF!</v>
      </c>
      <c r="BH65" s="73" t="e">
        <f t="shared" si="6"/>
        <v>#REF!</v>
      </c>
      <c r="BI65" s="73" t="e">
        <f t="shared" si="6"/>
        <v>#REF!</v>
      </c>
      <c r="BJ65" s="73" t="e">
        <f t="shared" si="6"/>
        <v>#REF!</v>
      </c>
      <c r="BK65" s="73" t="e">
        <f t="shared" si="6"/>
        <v>#REF!</v>
      </c>
      <c r="BL65"/>
      <c r="BM65"/>
      <c r="BN65" s="38"/>
      <c r="BO65" s="38"/>
      <c r="BP65" s="38"/>
      <c r="BQ65" s="38"/>
      <c r="BR65" s="38"/>
      <c r="BS65" s="38"/>
      <c r="BT65" s="38"/>
      <c r="BU65" s="38"/>
      <c r="BV65" s="38"/>
      <c r="BW65" s="38"/>
      <c r="BX65" s="38"/>
      <c r="BY65" s="38"/>
    </row>
    <row r="66" spans="1:77" s="17" customFormat="1" ht="20.100000000000001" customHeight="1">
      <c r="A66" s="38"/>
      <c r="B66" s="74" t="s">
        <v>72</v>
      </c>
      <c r="C66" s="75" t="e">
        <f t="shared" ref="C66:I66" si="7">SUM(C61:C65)</f>
        <v>#REF!</v>
      </c>
      <c r="D66" s="75">
        <f t="shared" si="7"/>
        <v>0</v>
      </c>
      <c r="E66" s="75" t="e">
        <f t="shared" si="7"/>
        <v>#REF!</v>
      </c>
      <c r="F66" s="75" t="e">
        <f t="shared" si="7"/>
        <v>#REF!</v>
      </c>
      <c r="G66" s="75">
        <f t="shared" si="7"/>
        <v>2180.7332200875244</v>
      </c>
      <c r="H66" s="75">
        <f t="shared" si="7"/>
        <v>0</v>
      </c>
      <c r="I66" s="75" t="e">
        <f t="shared" si="7"/>
        <v>#REF!</v>
      </c>
      <c r="J66" s="75" t="e">
        <f>'Capcost Tall '!BN16</f>
        <v>#REF!</v>
      </c>
      <c r="K66" s="75" t="e">
        <f>I66-J66</f>
        <v>#REF!</v>
      </c>
      <c r="L66" s="38"/>
      <c r="M66" s="77">
        <f>0.3*1.12*1.04</f>
        <v>0.34944000000000003</v>
      </c>
      <c r="N66" s="56" t="s">
        <v>271</v>
      </c>
      <c r="O66" s="69">
        <f t="shared" ref="O66:AL66" si="8">IF(+O65*$M$66*$M$67&gt;0,O65*$M$66*$M$67,0)</f>
        <v>0</v>
      </c>
      <c r="P66" s="69">
        <f t="shared" si="8"/>
        <v>0</v>
      </c>
      <c r="Q66" s="69" t="e">
        <f t="shared" si="8"/>
        <v>#REF!</v>
      </c>
      <c r="R66" s="69" t="e">
        <f t="shared" si="8"/>
        <v>#REF!</v>
      </c>
      <c r="S66" s="69" t="e">
        <f t="shared" si="8"/>
        <v>#REF!</v>
      </c>
      <c r="T66" s="69" t="e">
        <f t="shared" si="8"/>
        <v>#REF!</v>
      </c>
      <c r="U66" s="69" t="e">
        <f t="shared" si="8"/>
        <v>#REF!</v>
      </c>
      <c r="V66" s="69" t="e">
        <f t="shared" si="8"/>
        <v>#REF!</v>
      </c>
      <c r="W66" s="69" t="e">
        <f t="shared" si="8"/>
        <v>#REF!</v>
      </c>
      <c r="X66" s="69" t="e">
        <f t="shared" si="8"/>
        <v>#REF!</v>
      </c>
      <c r="Y66" s="69" t="e">
        <f t="shared" si="8"/>
        <v>#REF!</v>
      </c>
      <c r="Z66" s="69" t="e">
        <f t="shared" si="8"/>
        <v>#REF!</v>
      </c>
      <c r="AA66" s="69" t="e">
        <f t="shared" si="8"/>
        <v>#REF!</v>
      </c>
      <c r="AB66" s="69" t="e">
        <f t="shared" si="8"/>
        <v>#REF!</v>
      </c>
      <c r="AC66" s="69" t="e">
        <f t="shared" si="8"/>
        <v>#REF!</v>
      </c>
      <c r="AD66" s="69" t="e">
        <f t="shared" si="8"/>
        <v>#REF!</v>
      </c>
      <c r="AE66" s="69" t="e">
        <f t="shared" si="8"/>
        <v>#REF!</v>
      </c>
      <c r="AF66" s="69" t="e">
        <f t="shared" si="8"/>
        <v>#REF!</v>
      </c>
      <c r="AG66" s="69" t="e">
        <f t="shared" si="8"/>
        <v>#REF!</v>
      </c>
      <c r="AH66" s="69" t="e">
        <f t="shared" si="8"/>
        <v>#REF!</v>
      </c>
      <c r="AI66" s="69" t="e">
        <f t="shared" si="8"/>
        <v>#REF!</v>
      </c>
      <c r="AJ66" s="69" t="e">
        <f t="shared" si="8"/>
        <v>#REF!</v>
      </c>
      <c r="AK66" s="69" t="e">
        <f t="shared" si="8"/>
        <v>#REF!</v>
      </c>
      <c r="AL66" s="69">
        <f t="shared" si="8"/>
        <v>226.56705950587144</v>
      </c>
      <c r="AO66" s="38"/>
      <c r="AP66" s="62"/>
      <c r="AQ66" s="62"/>
      <c r="AR66" s="62"/>
      <c r="AS66" s="62"/>
      <c r="AT66" s="62"/>
      <c r="AU66" s="62"/>
      <c r="AV66" s="62"/>
      <c r="AW66" s="62"/>
      <c r="AX66" s="62"/>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row>
    <row r="67" spans="1:77" s="17" customFormat="1" ht="20.100000000000001" customHeight="1">
      <c r="A67" s="41"/>
      <c r="B67" s="38"/>
      <c r="C67" s="38"/>
      <c r="D67" s="38"/>
      <c r="E67" s="38"/>
      <c r="F67" s="38"/>
      <c r="G67" s="38"/>
      <c r="H67" s="59"/>
      <c r="I67" s="59"/>
      <c r="J67" s="58"/>
      <c r="K67" s="58"/>
      <c r="L67" s="38"/>
      <c r="M67" s="17">
        <v>1</v>
      </c>
      <c r="O67" s="186"/>
      <c r="P67" s="189"/>
      <c r="Q67" s="189"/>
      <c r="R67" s="69"/>
      <c r="S67" s="69"/>
      <c r="T67" s="69"/>
      <c r="U67" s="69"/>
      <c r="V67" s="69"/>
      <c r="W67" s="69"/>
      <c r="X67" s="69"/>
      <c r="Y67" s="69"/>
      <c r="Z67" s="69"/>
      <c r="AA67" s="69"/>
      <c r="AB67" s="69"/>
      <c r="AC67" s="69"/>
      <c r="AD67" s="69"/>
      <c r="AE67" s="69"/>
      <c r="AF67" s="69"/>
      <c r="AG67" s="69"/>
      <c r="AH67" s="69"/>
      <c r="AI67" s="69"/>
      <c r="AJ67" s="69"/>
      <c r="AK67" s="69"/>
      <c r="AL67" s="69"/>
      <c r="AN67" s="17" t="e">
        <f>AO63*0.95</f>
        <v>#REF!</v>
      </c>
      <c r="AO67" s="38"/>
      <c r="AP67" s="62"/>
      <c r="AQ67" s="62"/>
      <c r="AR67" s="62"/>
      <c r="AS67" s="62"/>
      <c r="AT67" s="62"/>
      <c r="AU67" s="62"/>
      <c r="AV67" s="62"/>
      <c r="AW67" s="62"/>
      <c r="AX67" s="62"/>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row>
    <row r="68" spans="1:77" s="17" customFormat="1" ht="20.100000000000001" customHeight="1">
      <c r="A68" s="41"/>
      <c r="B68" s="78" t="s">
        <v>225</v>
      </c>
      <c r="C68" s="79" t="s">
        <v>272</v>
      </c>
      <c r="D68" s="721">
        <f>D38</f>
        <v>648.37185069216866</v>
      </c>
      <c r="E68" s="38"/>
      <c r="F68" s="38"/>
      <c r="G68" s="38"/>
      <c r="H68" s="38"/>
      <c r="I68" s="38"/>
      <c r="N68" s="56" t="s">
        <v>273</v>
      </c>
      <c r="O68" s="186">
        <v>0</v>
      </c>
      <c r="P68" s="189">
        <f t="shared" ref="P68:AL68" si="9">+P65-P66</f>
        <v>0</v>
      </c>
      <c r="Q68" s="189" t="e">
        <f t="shared" si="9"/>
        <v>#REF!</v>
      </c>
      <c r="R68" s="69" t="e">
        <f t="shared" si="9"/>
        <v>#REF!</v>
      </c>
      <c r="S68" s="69" t="e">
        <f t="shared" si="9"/>
        <v>#REF!</v>
      </c>
      <c r="T68" s="69" t="e">
        <f t="shared" si="9"/>
        <v>#REF!</v>
      </c>
      <c r="U68" s="69" t="e">
        <f t="shared" si="9"/>
        <v>#REF!</v>
      </c>
      <c r="V68" s="69" t="e">
        <f t="shared" si="9"/>
        <v>#REF!</v>
      </c>
      <c r="W68" s="69" t="e">
        <f t="shared" si="9"/>
        <v>#REF!</v>
      </c>
      <c r="X68" s="69" t="e">
        <f t="shared" si="9"/>
        <v>#REF!</v>
      </c>
      <c r="Y68" s="69" t="e">
        <f t="shared" si="9"/>
        <v>#REF!</v>
      </c>
      <c r="Z68" s="69" t="e">
        <f t="shared" si="9"/>
        <v>#REF!</v>
      </c>
      <c r="AA68" s="69" t="e">
        <f t="shared" si="9"/>
        <v>#REF!</v>
      </c>
      <c r="AB68" s="69" t="e">
        <f t="shared" si="9"/>
        <v>#REF!</v>
      </c>
      <c r="AC68" s="69" t="e">
        <f t="shared" si="9"/>
        <v>#REF!</v>
      </c>
      <c r="AD68" s="69" t="e">
        <f t="shared" si="9"/>
        <v>#REF!</v>
      </c>
      <c r="AE68" s="69" t="e">
        <f t="shared" si="9"/>
        <v>#REF!</v>
      </c>
      <c r="AF68" s="69" t="e">
        <f t="shared" si="9"/>
        <v>#REF!</v>
      </c>
      <c r="AG68" s="69" t="e">
        <f t="shared" si="9"/>
        <v>#REF!</v>
      </c>
      <c r="AH68" s="69" t="e">
        <f t="shared" si="9"/>
        <v>#REF!</v>
      </c>
      <c r="AI68" s="69" t="e">
        <f t="shared" si="9"/>
        <v>#REF!</v>
      </c>
      <c r="AJ68" s="69" t="e">
        <f t="shared" si="9"/>
        <v>#REF!</v>
      </c>
      <c r="AK68" s="69" t="e">
        <f t="shared" si="9"/>
        <v>#REF!</v>
      </c>
      <c r="AL68" s="69">
        <f t="shared" si="9"/>
        <v>421.80479118629722</v>
      </c>
      <c r="AO68" s="38"/>
      <c r="AP68" s="62"/>
      <c r="AQ68" s="62"/>
      <c r="AR68" s="62"/>
      <c r="AS68" s="62"/>
      <c r="AT68" s="62"/>
      <c r="AU68" s="62"/>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row>
    <row r="69" spans="1:77" s="17" customFormat="1" ht="20.100000000000001" customHeight="1">
      <c r="A69" s="41"/>
      <c r="B69" s="80"/>
      <c r="C69" s="35"/>
      <c r="D69" s="38"/>
      <c r="E69" s="40"/>
      <c r="F69" s="35"/>
      <c r="G69" s="40"/>
      <c r="H69" s="38"/>
      <c r="I69" s="38"/>
      <c r="N69" s="81" t="s">
        <v>274</v>
      </c>
      <c r="O69" s="190">
        <v>0</v>
      </c>
      <c r="P69" s="191">
        <f>+P68</f>
        <v>0</v>
      </c>
      <c r="Q69" s="191" t="e">
        <f>+Q68</f>
        <v>#REF!</v>
      </c>
      <c r="R69" s="82" t="e">
        <f t="shared" ref="R69:AG69" si="10">+R68+Q69</f>
        <v>#REF!</v>
      </c>
      <c r="S69" s="82" t="e">
        <f t="shared" si="10"/>
        <v>#REF!</v>
      </c>
      <c r="T69" s="82" t="e">
        <f t="shared" si="10"/>
        <v>#REF!</v>
      </c>
      <c r="U69" s="82" t="e">
        <f t="shared" si="10"/>
        <v>#REF!</v>
      </c>
      <c r="V69" s="82" t="e">
        <f t="shared" si="10"/>
        <v>#REF!</v>
      </c>
      <c r="W69" s="82" t="e">
        <f t="shared" si="10"/>
        <v>#REF!</v>
      </c>
      <c r="X69" s="82" t="e">
        <f t="shared" si="10"/>
        <v>#REF!</v>
      </c>
      <c r="Y69" s="82" t="e">
        <f t="shared" si="10"/>
        <v>#REF!</v>
      </c>
      <c r="Z69" s="82" t="e">
        <f t="shared" si="10"/>
        <v>#REF!</v>
      </c>
      <c r="AA69" s="82" t="e">
        <f t="shared" si="10"/>
        <v>#REF!</v>
      </c>
      <c r="AB69" s="82" t="e">
        <f t="shared" si="10"/>
        <v>#REF!</v>
      </c>
      <c r="AC69" s="82" t="e">
        <f t="shared" si="10"/>
        <v>#REF!</v>
      </c>
      <c r="AD69" s="82" t="e">
        <f t="shared" si="10"/>
        <v>#REF!</v>
      </c>
      <c r="AE69" s="82" t="e">
        <f t="shared" si="10"/>
        <v>#REF!</v>
      </c>
      <c r="AF69" s="82" t="e">
        <f t="shared" si="10"/>
        <v>#REF!</v>
      </c>
      <c r="AG69" s="82" t="e">
        <f t="shared" si="10"/>
        <v>#REF!</v>
      </c>
      <c r="AH69" s="82" t="e">
        <f>+AH68+AF69</f>
        <v>#REF!</v>
      </c>
      <c r="AI69" s="82" t="e">
        <f>+AI68+AH69</f>
        <v>#REF!</v>
      </c>
      <c r="AJ69" s="82" t="e">
        <f>+AJ68+AI69</f>
        <v>#REF!</v>
      </c>
      <c r="AK69" s="82" t="e">
        <f>+AK68+AJ69</f>
        <v>#REF!</v>
      </c>
      <c r="AL69" s="82" t="e">
        <f>+AL68+AK69</f>
        <v>#REF!</v>
      </c>
      <c r="AO69" s="38"/>
      <c r="AP69" s="62"/>
      <c r="AQ69" s="62"/>
      <c r="AR69" s="62"/>
      <c r="AS69" s="62"/>
      <c r="AT69" s="62"/>
      <c r="AU69" s="62"/>
      <c r="AV69" s="62"/>
      <c r="AW69" s="62"/>
      <c r="AX69" s="62"/>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row>
    <row r="70" spans="1:77" s="17" customFormat="1" ht="20.100000000000001" customHeight="1">
      <c r="A70" s="38"/>
      <c r="B70" s="20"/>
      <c r="C70" s="38"/>
      <c r="D70" s="38"/>
      <c r="E70" s="38"/>
      <c r="F70" s="38"/>
      <c r="G70" s="38"/>
      <c r="H70" s="38"/>
      <c r="I70" s="38"/>
      <c r="J70" s="38"/>
      <c r="K70" s="38"/>
      <c r="O70" s="114"/>
      <c r="P70" s="114"/>
      <c r="AJ70" s="69"/>
      <c r="AK70" s="69"/>
      <c r="AL70" s="69"/>
      <c r="AO70" s="38"/>
      <c r="AP70" s="62"/>
      <c r="AQ70" s="62"/>
      <c r="AR70" s="62"/>
      <c r="AS70" s="62"/>
      <c r="AT70" s="62"/>
      <c r="AU70" s="62"/>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row>
    <row r="71" spans="1:77" s="17" customFormat="1" ht="20.100000000000001" customHeight="1">
      <c r="A71" s="38"/>
      <c r="B71" s="20"/>
      <c r="C71" s="38"/>
      <c r="D71" s="38"/>
      <c r="E71" s="38"/>
      <c r="F71" s="38"/>
      <c r="G71" s="38"/>
      <c r="H71" s="1666"/>
      <c r="I71" s="1666"/>
      <c r="J71" s="35"/>
      <c r="K71" s="35"/>
      <c r="N71" s="83" t="s">
        <v>275</v>
      </c>
      <c r="O71" s="186"/>
      <c r="P71" s="186"/>
      <c r="Q71" s="56"/>
      <c r="R71" s="69"/>
      <c r="S71" s="69"/>
      <c r="T71" s="69"/>
      <c r="U71" s="69"/>
      <c r="V71" s="69"/>
      <c r="W71" s="69"/>
      <c r="X71" s="69"/>
      <c r="Y71" s="69"/>
      <c r="Z71" s="69"/>
      <c r="AA71" s="69"/>
      <c r="AB71" s="69"/>
      <c r="AC71" s="39"/>
      <c r="AD71" s="39"/>
      <c r="AE71" s="39"/>
      <c r="AF71" s="39"/>
      <c r="AG71" s="39"/>
      <c r="AH71" s="39"/>
      <c r="AJ71" s="69"/>
      <c r="AK71" s="69"/>
      <c r="AL71" s="69"/>
      <c r="AO71" s="38"/>
      <c r="AP71" s="62"/>
      <c r="AQ71" s="62"/>
      <c r="AR71" s="62"/>
      <c r="AS71" s="62"/>
      <c r="AT71" s="62"/>
      <c r="AU71" s="62"/>
      <c r="AV71" s="62"/>
      <c r="AW71" s="62"/>
      <c r="AX71" s="62"/>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row>
    <row r="72" spans="1:77" s="17" customFormat="1" ht="20.100000000000001" customHeight="1">
      <c r="A72" s="38"/>
      <c r="B72" s="38"/>
      <c r="C72" s="38"/>
      <c r="D72" s="38"/>
      <c r="E72" s="38"/>
      <c r="F72" s="38"/>
      <c r="G72" s="38"/>
      <c r="H72" s="35"/>
      <c r="I72" s="35"/>
      <c r="J72" s="35"/>
      <c r="K72" s="35"/>
      <c r="N72" s="83"/>
      <c r="O72" s="186"/>
      <c r="P72" s="186"/>
      <c r="Q72" s="56"/>
      <c r="R72" s="69"/>
      <c r="S72" s="69"/>
      <c r="T72" s="69"/>
      <c r="U72" s="69">
        <f>+U59</f>
        <v>0</v>
      </c>
      <c r="W72" s="69"/>
      <c r="X72" s="69"/>
      <c r="Y72" s="69"/>
      <c r="Z72" s="69"/>
      <c r="AA72" s="69"/>
      <c r="AB72" s="69"/>
      <c r="AC72" s="39"/>
      <c r="AD72" s="39"/>
      <c r="AE72" s="39"/>
      <c r="AF72" s="39"/>
      <c r="AG72" s="39"/>
      <c r="AH72" s="39">
        <f>+U72</f>
        <v>0</v>
      </c>
      <c r="AJ72" s="69"/>
      <c r="AK72" s="69"/>
      <c r="AL72" s="69"/>
      <c r="AO72" s="38"/>
      <c r="AP72" s="62"/>
      <c r="AQ72" s="62"/>
      <c r="AR72" s="62"/>
      <c r="AS72" s="62"/>
      <c r="AT72" s="62"/>
      <c r="AU72" s="62"/>
      <c r="AV72" s="62"/>
      <c r="AW72" s="62"/>
      <c r="AX72" s="62"/>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row>
    <row r="73" spans="1:77" s="17" customFormat="1" ht="20.100000000000001" customHeight="1">
      <c r="H73" s="35"/>
      <c r="I73" s="35"/>
      <c r="J73" s="35"/>
      <c r="K73" s="35"/>
      <c r="N73" s="84" t="s">
        <v>276</v>
      </c>
      <c r="O73" s="192" t="str">
        <f t="shared" ref="O73:T73" si="11">+O60</f>
        <v>Yr 1</v>
      </c>
      <c r="P73" s="192" t="str">
        <f t="shared" si="11"/>
        <v>Yr 2</v>
      </c>
      <c r="Q73" s="85" t="str">
        <f t="shared" si="11"/>
        <v>Yr 3</v>
      </c>
      <c r="R73" s="85" t="str">
        <f t="shared" si="11"/>
        <v>Yr 4</v>
      </c>
      <c r="S73" s="85" t="str">
        <f t="shared" si="11"/>
        <v>Yr 5</v>
      </c>
      <c r="T73" s="85" t="str">
        <f t="shared" si="11"/>
        <v>Yr 6</v>
      </c>
      <c r="U73" s="85" t="str">
        <f>+U60</f>
        <v>Yr 7</v>
      </c>
      <c r="V73" s="85" t="str">
        <f t="shared" ref="V73:AI73" si="12">+V60</f>
        <v>Yr 8</v>
      </c>
      <c r="W73" s="85" t="str">
        <f t="shared" si="12"/>
        <v>Yr 9</v>
      </c>
      <c r="X73" s="85" t="str">
        <f t="shared" si="12"/>
        <v>Yr 10</v>
      </c>
      <c r="Y73" s="85" t="str">
        <f t="shared" si="12"/>
        <v>Yr 11</v>
      </c>
      <c r="Z73" s="85" t="str">
        <f t="shared" si="12"/>
        <v>Yr 12</v>
      </c>
      <c r="AA73" s="85" t="str">
        <f t="shared" si="12"/>
        <v>Yr 13</v>
      </c>
      <c r="AB73" s="85" t="str">
        <f t="shared" si="12"/>
        <v>Yr 14</v>
      </c>
      <c r="AC73" s="85" t="str">
        <f t="shared" si="12"/>
        <v>Yr 15</v>
      </c>
      <c r="AD73" s="85" t="str">
        <f t="shared" si="12"/>
        <v>Yr 16</v>
      </c>
      <c r="AE73" s="85" t="str">
        <f t="shared" si="12"/>
        <v>Yr 17</v>
      </c>
      <c r="AF73" s="85" t="str">
        <f t="shared" si="12"/>
        <v>Yr 18</v>
      </c>
      <c r="AG73" s="85" t="str">
        <f t="shared" si="12"/>
        <v>Yr 19</v>
      </c>
      <c r="AH73" s="85" t="str">
        <f t="shared" si="12"/>
        <v>Yr 20</v>
      </c>
      <c r="AI73" s="86" t="str">
        <f t="shared" si="12"/>
        <v>Yr 21</v>
      </c>
      <c r="AJ73" s="65" t="s">
        <v>305</v>
      </c>
      <c r="AK73" s="65" t="str">
        <f>AK60</f>
        <v>Yr 23</v>
      </c>
      <c r="AL73" s="65" t="str">
        <f>AL60</f>
        <v>Yr 24</v>
      </c>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row>
    <row r="74" spans="1:77" s="17" customFormat="1" ht="20.100000000000001" customHeight="1">
      <c r="H74" s="59"/>
      <c r="I74" s="59"/>
      <c r="J74" s="59"/>
      <c r="K74" s="59"/>
      <c r="N74" s="56" t="s">
        <v>277</v>
      </c>
      <c r="O74" s="186">
        <v>0</v>
      </c>
      <c r="P74" s="186">
        <f t="shared" ref="P74:AL74" si="13">+P62</f>
        <v>0</v>
      </c>
      <c r="Q74" s="56">
        <f t="shared" si="13"/>
        <v>0</v>
      </c>
      <c r="R74" s="56">
        <f t="shared" si="13"/>
        <v>291.76733281147591</v>
      </c>
      <c r="S74" s="56">
        <f t="shared" si="13"/>
        <v>648.37185069216866</v>
      </c>
      <c r="T74" s="56">
        <f t="shared" si="13"/>
        <v>648.37185069216866</v>
      </c>
      <c r="U74" s="56">
        <f t="shared" si="13"/>
        <v>648.37185069216866</v>
      </c>
      <c r="V74" s="56">
        <f t="shared" si="13"/>
        <v>648.37185069216866</v>
      </c>
      <c r="W74" s="56">
        <f t="shared" si="13"/>
        <v>648.37185069216866</v>
      </c>
      <c r="X74" s="56">
        <f t="shared" si="13"/>
        <v>648.37185069216866</v>
      </c>
      <c r="Y74" s="56">
        <f t="shared" si="13"/>
        <v>648.37185069216866</v>
      </c>
      <c r="Z74" s="56">
        <f t="shared" si="13"/>
        <v>648.37185069216866</v>
      </c>
      <c r="AA74" s="56">
        <f t="shared" si="13"/>
        <v>648.37185069216866</v>
      </c>
      <c r="AB74" s="56">
        <f t="shared" si="13"/>
        <v>648.37185069216866</v>
      </c>
      <c r="AC74" s="56">
        <f t="shared" si="13"/>
        <v>648.37185069216866</v>
      </c>
      <c r="AD74" s="56">
        <f t="shared" si="13"/>
        <v>648.37185069216866</v>
      </c>
      <c r="AE74" s="56">
        <f t="shared" si="13"/>
        <v>648.37185069216866</v>
      </c>
      <c r="AF74" s="56">
        <f t="shared" si="13"/>
        <v>648.37185069216866</v>
      </c>
      <c r="AG74" s="56">
        <f t="shared" si="13"/>
        <v>648.37185069216866</v>
      </c>
      <c r="AH74" s="56">
        <f t="shared" si="13"/>
        <v>648.37185069216866</v>
      </c>
      <c r="AI74" s="56">
        <f t="shared" si="13"/>
        <v>648.37185069216866</v>
      </c>
      <c r="AJ74" s="56">
        <f t="shared" si="13"/>
        <v>648.37185069216866</v>
      </c>
      <c r="AK74" s="56">
        <f t="shared" si="13"/>
        <v>648.37185069216866</v>
      </c>
      <c r="AL74" s="56">
        <f t="shared" si="13"/>
        <v>648.37185069216866</v>
      </c>
      <c r="AM74" s="69">
        <f>SUM(O74:AI74)</f>
        <v>11314.088794578343</v>
      </c>
    </row>
    <row r="75" spans="1:77" s="17" customFormat="1" ht="20.100000000000001" customHeight="1">
      <c r="H75" s="40"/>
      <c r="I75" s="40"/>
      <c r="J75" s="40"/>
      <c r="K75" s="40"/>
      <c r="M75" s="17">
        <f>SUM(O75:R75)</f>
        <v>0</v>
      </c>
      <c r="N75" s="56" t="s">
        <v>278</v>
      </c>
      <c r="O75" s="189">
        <f>+H61</f>
        <v>0</v>
      </c>
      <c r="P75" s="189">
        <f>+H62</f>
        <v>0</v>
      </c>
      <c r="Q75" s="69">
        <f>H63</f>
        <v>0</v>
      </c>
      <c r="R75" s="69">
        <f>H64+H65</f>
        <v>0</v>
      </c>
      <c r="S75" s="69">
        <v>0</v>
      </c>
      <c r="T75" s="69">
        <v>0</v>
      </c>
      <c r="U75" s="69">
        <v>0</v>
      </c>
      <c r="V75" s="69">
        <v>0</v>
      </c>
      <c r="W75" s="69">
        <v>0</v>
      </c>
      <c r="X75" s="69">
        <v>0</v>
      </c>
      <c r="Y75" s="69">
        <v>0</v>
      </c>
      <c r="Z75" s="69">
        <v>0</v>
      </c>
      <c r="AA75" s="69">
        <v>0</v>
      </c>
      <c r="AB75" s="69">
        <v>0</v>
      </c>
      <c r="AC75" s="69">
        <v>0</v>
      </c>
      <c r="AD75" s="69">
        <v>0</v>
      </c>
      <c r="AE75" s="69">
        <v>0</v>
      </c>
      <c r="AF75" s="69">
        <v>0</v>
      </c>
      <c r="AG75" s="69">
        <v>0</v>
      </c>
      <c r="AH75" s="69">
        <v>0</v>
      </c>
      <c r="AI75" s="69">
        <v>0</v>
      </c>
      <c r="AM75" s="69">
        <f>SUM(O75:AI75)</f>
        <v>0</v>
      </c>
    </row>
    <row r="76" spans="1:77" s="17" customFormat="1" ht="20.100000000000001" customHeight="1">
      <c r="A76" s="41"/>
      <c r="B76" s="40"/>
      <c r="C76" s="35"/>
      <c r="D76" s="38"/>
      <c r="E76" s="40"/>
      <c r="F76" s="87"/>
      <c r="G76" s="40"/>
      <c r="H76" s="40"/>
      <c r="I76" s="40"/>
      <c r="J76" s="40"/>
      <c r="K76" s="40"/>
      <c r="M76" s="17" t="e">
        <f>SUM(O76:R76)</f>
        <v>#REF!</v>
      </c>
      <c r="N76" s="56" t="s">
        <v>279</v>
      </c>
      <c r="O76" s="189" t="e">
        <f>+I61</f>
        <v>#REF!</v>
      </c>
      <c r="P76" s="189" t="e">
        <f>+I62</f>
        <v>#REF!</v>
      </c>
      <c r="Q76" s="69" t="e">
        <f>I63</f>
        <v>#REF!</v>
      </c>
      <c r="R76" s="69" t="e">
        <f>I64+I65</f>
        <v>#REF!</v>
      </c>
      <c r="S76" s="69">
        <v>0</v>
      </c>
      <c r="T76" s="69">
        <v>0</v>
      </c>
      <c r="U76" s="69">
        <v>0</v>
      </c>
      <c r="V76" s="69">
        <v>0</v>
      </c>
      <c r="W76" s="69">
        <v>0</v>
      </c>
      <c r="X76" s="69">
        <v>0</v>
      </c>
      <c r="Y76" s="69">
        <v>0</v>
      </c>
      <c r="Z76" s="69">
        <v>0</v>
      </c>
      <c r="AA76" s="69">
        <v>0</v>
      </c>
      <c r="AB76" s="69">
        <v>0</v>
      </c>
      <c r="AC76" s="69">
        <v>0</v>
      </c>
      <c r="AD76" s="69">
        <v>0</v>
      </c>
      <c r="AE76" s="69">
        <v>0</v>
      </c>
      <c r="AF76" s="69">
        <v>0</v>
      </c>
      <c r="AG76" s="69">
        <v>0</v>
      </c>
      <c r="AH76" s="69">
        <v>0</v>
      </c>
      <c r="AI76" s="69">
        <v>0</v>
      </c>
      <c r="AM76" s="69" t="e">
        <f>SUM(O76:AI76)</f>
        <v>#REF!</v>
      </c>
    </row>
    <row r="77" spans="1:77" s="17" customFormat="1" ht="20.100000000000001" customHeight="1">
      <c r="A77" s="41"/>
      <c r="E77" s="38"/>
      <c r="F77" s="38"/>
      <c r="G77" s="59"/>
      <c r="H77" s="40"/>
      <c r="I77" s="40"/>
      <c r="J77" s="40"/>
      <c r="K77" s="40"/>
      <c r="M77" s="88" t="e">
        <f>+M76+M75</f>
        <v>#REF!</v>
      </c>
      <c r="N77" s="67" t="s">
        <v>72</v>
      </c>
      <c r="O77" s="193" t="e">
        <f t="shared" ref="O77:AL77" si="14">SUM(O74:O76)</f>
        <v>#REF!</v>
      </c>
      <c r="P77" s="193" t="e">
        <f t="shared" si="14"/>
        <v>#REF!</v>
      </c>
      <c r="Q77" s="89" t="e">
        <f t="shared" si="14"/>
        <v>#REF!</v>
      </c>
      <c r="R77" s="89" t="e">
        <f t="shared" si="14"/>
        <v>#REF!</v>
      </c>
      <c r="S77" s="89">
        <f t="shared" si="14"/>
        <v>648.37185069216866</v>
      </c>
      <c r="T77" s="89">
        <f t="shared" si="14"/>
        <v>648.37185069216866</v>
      </c>
      <c r="U77" s="89">
        <f t="shared" si="14"/>
        <v>648.37185069216866</v>
      </c>
      <c r="V77" s="89">
        <f t="shared" si="14"/>
        <v>648.37185069216866</v>
      </c>
      <c r="W77" s="89">
        <f t="shared" si="14"/>
        <v>648.37185069216866</v>
      </c>
      <c r="X77" s="89">
        <f t="shared" si="14"/>
        <v>648.37185069216866</v>
      </c>
      <c r="Y77" s="89">
        <f t="shared" si="14"/>
        <v>648.37185069216866</v>
      </c>
      <c r="Z77" s="89">
        <f t="shared" si="14"/>
        <v>648.37185069216866</v>
      </c>
      <c r="AA77" s="89">
        <f t="shared" si="14"/>
        <v>648.37185069216866</v>
      </c>
      <c r="AB77" s="89">
        <f t="shared" si="14"/>
        <v>648.37185069216866</v>
      </c>
      <c r="AC77" s="89">
        <f t="shared" si="14"/>
        <v>648.37185069216866</v>
      </c>
      <c r="AD77" s="89">
        <f t="shared" si="14"/>
        <v>648.37185069216866</v>
      </c>
      <c r="AE77" s="89">
        <f t="shared" si="14"/>
        <v>648.37185069216866</v>
      </c>
      <c r="AF77" s="89">
        <f t="shared" si="14"/>
        <v>648.37185069216866</v>
      </c>
      <c r="AG77" s="89">
        <f t="shared" si="14"/>
        <v>648.37185069216866</v>
      </c>
      <c r="AH77" s="89">
        <f t="shared" si="14"/>
        <v>648.37185069216866</v>
      </c>
      <c r="AI77" s="89">
        <f t="shared" si="14"/>
        <v>648.37185069216866</v>
      </c>
      <c r="AJ77" s="89">
        <f t="shared" si="14"/>
        <v>648.37185069216866</v>
      </c>
      <c r="AK77" s="89">
        <f t="shared" si="14"/>
        <v>648.37185069216866</v>
      </c>
      <c r="AL77" s="89">
        <f t="shared" si="14"/>
        <v>648.37185069216866</v>
      </c>
      <c r="AM77" s="69" t="e">
        <f>SUM(O77:AI77)</f>
        <v>#REF!</v>
      </c>
    </row>
    <row r="78" spans="1:77" s="17" customFormat="1" ht="20.100000000000001" customHeight="1">
      <c r="A78" s="41"/>
      <c r="B78" s="59"/>
      <c r="C78" s="35"/>
      <c r="D78" s="35"/>
      <c r="E78" s="35"/>
      <c r="F78" s="35"/>
      <c r="G78" s="40"/>
      <c r="H78" s="40"/>
      <c r="I78" s="40"/>
      <c r="J78" s="40"/>
      <c r="K78" s="40"/>
      <c r="O78" s="114"/>
      <c r="P78" s="114"/>
      <c r="AM78" s="69"/>
    </row>
    <row r="79" spans="1:77" s="17" customFormat="1" ht="20.100000000000001" customHeight="1">
      <c r="A79" s="41"/>
      <c r="B79" s="40"/>
      <c r="C79" s="90"/>
      <c r="D79" s="38"/>
      <c r="E79" s="40"/>
      <c r="F79" s="40"/>
      <c r="G79" s="40"/>
      <c r="H79" s="59"/>
      <c r="I79" s="59"/>
      <c r="J79" s="59"/>
      <c r="K79" s="59"/>
      <c r="N79" s="56" t="s">
        <v>280</v>
      </c>
      <c r="O79" s="189"/>
      <c r="P79" s="189"/>
      <c r="Q79" s="69"/>
      <c r="R79" s="69"/>
      <c r="S79" s="69"/>
      <c r="T79" s="91"/>
      <c r="U79" s="69"/>
      <c r="V79" s="69"/>
      <c r="W79" s="69"/>
      <c r="X79" s="69"/>
      <c r="Y79" s="69"/>
      <c r="Z79" s="69"/>
      <c r="AA79" s="69"/>
      <c r="AB79" s="69"/>
      <c r="AC79" s="69"/>
      <c r="AD79" s="69"/>
      <c r="AE79" s="69"/>
      <c r="AF79" s="69"/>
      <c r="AG79" s="69"/>
      <c r="AH79" s="69"/>
      <c r="AI79" s="69"/>
      <c r="AM79" s="69">
        <f>SUM(O79:AI79)</f>
        <v>0</v>
      </c>
    </row>
    <row r="80" spans="1:77" s="17" customFormat="1" ht="20.100000000000001" customHeight="1">
      <c r="A80" s="41"/>
      <c r="B80" s="35"/>
      <c r="C80" s="38"/>
      <c r="D80" s="40"/>
      <c r="E80" s="40"/>
      <c r="F80" s="40"/>
      <c r="G80" s="40"/>
      <c r="H80" s="40"/>
      <c r="I80" s="40"/>
      <c r="J80" s="40"/>
      <c r="K80" s="40"/>
      <c r="N80" s="56" t="s">
        <v>281</v>
      </c>
      <c r="O80" s="189"/>
      <c r="P80" s="189"/>
      <c r="Q80" s="69"/>
      <c r="R80" s="69"/>
      <c r="S80" s="69"/>
      <c r="T80" s="69"/>
      <c r="U80" s="69"/>
      <c r="V80" s="69"/>
      <c r="W80" s="69"/>
      <c r="X80" s="69"/>
      <c r="Y80" s="69"/>
      <c r="Z80" s="69"/>
      <c r="AA80" s="69"/>
      <c r="AB80" s="69"/>
      <c r="AC80" s="69"/>
      <c r="AD80" s="69"/>
      <c r="AE80" s="69"/>
      <c r="AF80" s="69"/>
      <c r="AG80" s="69"/>
      <c r="AH80" s="69"/>
      <c r="AI80" s="69"/>
      <c r="AM80" s="69"/>
    </row>
    <row r="81" spans="1:42" s="17" customFormat="1" ht="20.100000000000001" customHeight="1">
      <c r="A81" s="41"/>
      <c r="B81" s="80"/>
      <c r="C81" s="38"/>
      <c r="D81" s="40"/>
      <c r="E81" s="40"/>
      <c r="F81" s="40"/>
      <c r="G81" s="40"/>
      <c r="H81" s="59"/>
      <c r="I81" s="59"/>
      <c r="J81" s="59"/>
      <c r="K81" s="59"/>
      <c r="M81" s="17">
        <f>SUM(O81:R81)</f>
        <v>0</v>
      </c>
      <c r="N81" s="56" t="s">
        <v>282</v>
      </c>
      <c r="O81" s="189">
        <f t="shared" ref="O81:R82" si="15">+O75</f>
        <v>0</v>
      </c>
      <c r="P81" s="189">
        <f t="shared" si="15"/>
        <v>0</v>
      </c>
      <c r="Q81" s="69">
        <f t="shared" si="15"/>
        <v>0</v>
      </c>
      <c r="R81" s="69">
        <f t="shared" si="15"/>
        <v>0</v>
      </c>
      <c r="S81" s="69">
        <v>0</v>
      </c>
      <c r="T81" s="69">
        <v>0</v>
      </c>
      <c r="U81" s="69">
        <v>0</v>
      </c>
      <c r="V81" s="69">
        <v>0</v>
      </c>
      <c r="W81" s="69">
        <v>0</v>
      </c>
      <c r="X81" s="69">
        <v>0</v>
      </c>
      <c r="Y81" s="69">
        <v>0</v>
      </c>
      <c r="Z81" s="69">
        <v>0</v>
      </c>
      <c r="AA81" s="69">
        <v>0</v>
      </c>
      <c r="AB81" s="69">
        <v>0</v>
      </c>
      <c r="AC81" s="69">
        <v>0</v>
      </c>
      <c r="AD81" s="69">
        <v>0</v>
      </c>
      <c r="AE81" s="69">
        <v>0</v>
      </c>
      <c r="AF81" s="69">
        <v>0</v>
      </c>
      <c r="AG81" s="69">
        <v>0</v>
      </c>
      <c r="AH81" s="69">
        <v>0</v>
      </c>
      <c r="AI81" s="69">
        <v>0</v>
      </c>
      <c r="AM81" s="69">
        <f t="shared" ref="AM81:AM87" si="16">SUM(O81:AI81)</f>
        <v>0</v>
      </c>
    </row>
    <row r="82" spans="1:42" s="17" customFormat="1" ht="20.100000000000001" customHeight="1">
      <c r="A82" s="41"/>
      <c r="B82" s="35"/>
      <c r="C82" s="38"/>
      <c r="D82" s="40"/>
      <c r="E82" s="40"/>
      <c r="F82" s="40"/>
      <c r="G82" s="59"/>
      <c r="H82" s="38"/>
      <c r="I82" s="38"/>
      <c r="J82" s="38"/>
      <c r="K82" s="38"/>
      <c r="M82" s="17" t="e">
        <f>SUM(O82:R82)</f>
        <v>#REF!</v>
      </c>
      <c r="N82" s="56" t="s">
        <v>283</v>
      </c>
      <c r="O82" s="189" t="e">
        <f t="shared" si="15"/>
        <v>#REF!</v>
      </c>
      <c r="P82" s="189" t="e">
        <f t="shared" si="15"/>
        <v>#REF!</v>
      </c>
      <c r="Q82" s="69" t="e">
        <f t="shared" si="15"/>
        <v>#REF!</v>
      </c>
      <c r="R82" s="69" t="e">
        <f t="shared" si="15"/>
        <v>#REF!</v>
      </c>
      <c r="S82" s="69">
        <v>0</v>
      </c>
      <c r="T82" s="69">
        <v>0</v>
      </c>
      <c r="U82" s="69">
        <v>0</v>
      </c>
      <c r="V82" s="69">
        <v>0</v>
      </c>
      <c r="W82" s="69">
        <v>0</v>
      </c>
      <c r="X82" s="69">
        <v>0</v>
      </c>
      <c r="Y82" s="69">
        <v>0</v>
      </c>
      <c r="Z82" s="69">
        <v>0</v>
      </c>
      <c r="AA82" s="69">
        <v>0</v>
      </c>
      <c r="AB82" s="69">
        <v>0</v>
      </c>
      <c r="AC82" s="69">
        <v>0</v>
      </c>
      <c r="AD82" s="69">
        <v>0</v>
      </c>
      <c r="AE82" s="69">
        <v>0</v>
      </c>
      <c r="AF82" s="69">
        <v>0</v>
      </c>
      <c r="AG82" s="69">
        <v>0</v>
      </c>
      <c r="AH82" s="69">
        <v>0</v>
      </c>
      <c r="AI82" s="69">
        <v>0</v>
      </c>
      <c r="AM82" s="69" t="e">
        <f t="shared" si="16"/>
        <v>#REF!</v>
      </c>
    </row>
    <row r="83" spans="1:42" s="17" customFormat="1" ht="20.100000000000001" customHeight="1">
      <c r="A83" s="41"/>
      <c r="B83" s="40"/>
      <c r="C83" s="40"/>
      <c r="D83" s="40"/>
      <c r="E83" s="40"/>
      <c r="F83" s="40"/>
      <c r="G83" s="40"/>
      <c r="M83" s="92">
        <v>0.1</v>
      </c>
      <c r="N83" s="56" t="s">
        <v>284</v>
      </c>
      <c r="O83" s="189">
        <f>+AP66</f>
        <v>0</v>
      </c>
      <c r="P83" s="189">
        <v>0</v>
      </c>
      <c r="Q83" s="114" t="e">
        <f>M76*M83*6/12*0</f>
        <v>#REF!</v>
      </c>
      <c r="R83" s="189" t="e">
        <f>($M$76-SUM($Q84:Q$84))*$M$83*6/12</f>
        <v>#REF!</v>
      </c>
      <c r="S83" s="189" t="e">
        <f>($M$76-SUM($Q84:R$84))*$M$83</f>
        <v>#REF!</v>
      </c>
      <c r="T83" s="69" t="e">
        <f>($M$76-SUM($Q84:S$84))*$M$83</f>
        <v>#REF!</v>
      </c>
      <c r="U83" s="69" t="e">
        <f>($M$76-SUM($Q84:T$84))*$M$83</f>
        <v>#REF!</v>
      </c>
      <c r="V83" s="69" t="e">
        <f>($M$76-SUM($Q84:U$84))*$M$83</f>
        <v>#REF!</v>
      </c>
      <c r="W83" s="69" t="e">
        <f>($M$76-SUM($Q84:V$84))*$M$83</f>
        <v>#REF!</v>
      </c>
      <c r="X83" s="69" t="e">
        <f>($M$76-SUM($Q84:W$84))*$M$83</f>
        <v>#REF!</v>
      </c>
      <c r="Y83" s="69" t="e">
        <f>($M$76-SUM($Q84:X$84))*$M$83</f>
        <v>#REF!</v>
      </c>
      <c r="Z83" s="69" t="e">
        <f>($M$76-SUM($Q84:Y$84))*$M$83</f>
        <v>#REF!</v>
      </c>
      <c r="AA83" s="69" t="e">
        <f>($M$76-SUM($Q84:Z$84))*$M$83</f>
        <v>#REF!</v>
      </c>
      <c r="AB83" s="69" t="e">
        <f>($M$76-SUM($Q84:AA$84))*$M$83</f>
        <v>#REF!</v>
      </c>
      <c r="AC83" s="69" t="e">
        <f>($M$76-SUM($Q84:AB$84))*$M$83</f>
        <v>#REF!</v>
      </c>
      <c r="AD83" s="69" t="e">
        <f>($M$76-SUM($Q84:AC$84))*$M$83</f>
        <v>#REF!</v>
      </c>
      <c r="AE83" s="69" t="e">
        <f>($M$76-SUM($Q84:AD$84))*$M$83</f>
        <v>#REF!</v>
      </c>
      <c r="AF83" s="69" t="e">
        <f>($M$76-SUM($Q84:AE$84))*$M$83</f>
        <v>#REF!</v>
      </c>
      <c r="AG83" s="69" t="e">
        <f>($M$76-SUM($Q84:AF$84))*$M$83</f>
        <v>#REF!</v>
      </c>
      <c r="AH83" s="69" t="e">
        <f>($M$76-SUM($Q84:AG$84))*$M$83</f>
        <v>#REF!</v>
      </c>
      <c r="AI83" s="69" t="e">
        <f>($M$76-SUM($Q84:AH$84))*$M$83</f>
        <v>#REF!</v>
      </c>
      <c r="AJ83" s="69" t="e">
        <f>($M$76-SUM($Q84:AI$84))*$M$83</f>
        <v>#REF!</v>
      </c>
      <c r="AK83" s="69" t="e">
        <f>($M$76-SUM($Q84:AJ$84))*$M$83</f>
        <v>#REF!</v>
      </c>
      <c r="AM83" s="69" t="e">
        <f t="shared" si="16"/>
        <v>#REF!</v>
      </c>
    </row>
    <row r="84" spans="1:42" s="17" customFormat="1" ht="20.100000000000001" customHeight="1">
      <c r="A84" s="41"/>
      <c r="B84" s="59"/>
      <c r="C84" s="59"/>
      <c r="D84" s="59"/>
      <c r="E84" s="59"/>
      <c r="F84" s="40"/>
      <c r="G84" s="59"/>
      <c r="M84" s="17" t="e">
        <f>SUM(P84:AL84)</f>
        <v>#REF!</v>
      </c>
      <c r="N84" s="56" t="s">
        <v>285</v>
      </c>
      <c r="O84" s="189">
        <f>+AP69</f>
        <v>0</v>
      </c>
      <c r="P84" s="189">
        <v>0</v>
      </c>
      <c r="Q84" s="69" t="e">
        <f>+$M$82/10*0</f>
        <v>#REF!</v>
      </c>
      <c r="R84" s="69" t="e">
        <f>+$M$82/10*0</f>
        <v>#REF!</v>
      </c>
      <c r="S84" s="69"/>
      <c r="T84" s="69" t="e">
        <f>+$M$82/16</f>
        <v>#REF!</v>
      </c>
      <c r="U84" s="69" t="e">
        <f t="shared" ref="U84:AI84" si="17">+$M$82/16</f>
        <v>#REF!</v>
      </c>
      <c r="V84" s="69" t="e">
        <f t="shared" si="17"/>
        <v>#REF!</v>
      </c>
      <c r="W84" s="69" t="e">
        <f t="shared" si="17"/>
        <v>#REF!</v>
      </c>
      <c r="X84" s="69" t="e">
        <f t="shared" si="17"/>
        <v>#REF!</v>
      </c>
      <c r="Y84" s="69" t="e">
        <f t="shared" si="17"/>
        <v>#REF!</v>
      </c>
      <c r="Z84" s="69" t="e">
        <f t="shared" si="17"/>
        <v>#REF!</v>
      </c>
      <c r="AA84" s="69" t="e">
        <f t="shared" si="17"/>
        <v>#REF!</v>
      </c>
      <c r="AB84" s="69" t="e">
        <f t="shared" si="17"/>
        <v>#REF!</v>
      </c>
      <c r="AC84" s="69" t="e">
        <f t="shared" si="17"/>
        <v>#REF!</v>
      </c>
      <c r="AD84" s="69" t="e">
        <f t="shared" si="17"/>
        <v>#REF!</v>
      </c>
      <c r="AE84" s="69" t="e">
        <f t="shared" si="17"/>
        <v>#REF!</v>
      </c>
      <c r="AF84" s="69" t="e">
        <f t="shared" si="17"/>
        <v>#REF!</v>
      </c>
      <c r="AG84" s="69" t="e">
        <f t="shared" si="17"/>
        <v>#REF!</v>
      </c>
      <c r="AH84" s="69" t="e">
        <f>+$M$82/16</f>
        <v>#REF!</v>
      </c>
      <c r="AI84" s="69" t="e">
        <f t="shared" si="17"/>
        <v>#REF!</v>
      </c>
      <c r="AM84" s="69" t="e">
        <f t="shared" si="16"/>
        <v>#REF!</v>
      </c>
    </row>
    <row r="85" spans="1:42" s="17" customFormat="1" ht="20.100000000000001" customHeight="1">
      <c r="A85" s="41"/>
      <c r="B85" s="38"/>
      <c r="C85" s="38"/>
      <c r="D85" s="38"/>
      <c r="E85" s="38"/>
      <c r="F85" s="38"/>
      <c r="G85" s="38"/>
      <c r="N85" s="81" t="s">
        <v>286</v>
      </c>
      <c r="O85" s="191">
        <f t="shared" ref="O85:AL85" si="18">+O66</f>
        <v>0</v>
      </c>
      <c r="P85" s="191">
        <f t="shared" si="18"/>
        <v>0</v>
      </c>
      <c r="Q85" s="82" t="e">
        <f t="shared" si="18"/>
        <v>#REF!</v>
      </c>
      <c r="R85" s="82" t="e">
        <f t="shared" si="18"/>
        <v>#REF!</v>
      </c>
      <c r="S85" s="82" t="e">
        <f t="shared" si="18"/>
        <v>#REF!</v>
      </c>
      <c r="T85" s="82" t="e">
        <f t="shared" si="18"/>
        <v>#REF!</v>
      </c>
      <c r="U85" s="82" t="e">
        <f t="shared" si="18"/>
        <v>#REF!</v>
      </c>
      <c r="V85" s="82" t="e">
        <f t="shared" si="18"/>
        <v>#REF!</v>
      </c>
      <c r="W85" s="82" t="e">
        <f t="shared" si="18"/>
        <v>#REF!</v>
      </c>
      <c r="X85" s="82" t="e">
        <f t="shared" si="18"/>
        <v>#REF!</v>
      </c>
      <c r="Y85" s="82" t="e">
        <f t="shared" si="18"/>
        <v>#REF!</v>
      </c>
      <c r="Z85" s="82" t="e">
        <f t="shared" si="18"/>
        <v>#REF!</v>
      </c>
      <c r="AA85" s="82" t="e">
        <f t="shared" si="18"/>
        <v>#REF!</v>
      </c>
      <c r="AB85" s="82" t="e">
        <f t="shared" si="18"/>
        <v>#REF!</v>
      </c>
      <c r="AC85" s="82" t="e">
        <f t="shared" si="18"/>
        <v>#REF!</v>
      </c>
      <c r="AD85" s="82" t="e">
        <f t="shared" si="18"/>
        <v>#REF!</v>
      </c>
      <c r="AE85" s="82" t="e">
        <f t="shared" si="18"/>
        <v>#REF!</v>
      </c>
      <c r="AF85" s="82" t="e">
        <f t="shared" si="18"/>
        <v>#REF!</v>
      </c>
      <c r="AG85" s="82" t="e">
        <f t="shared" si="18"/>
        <v>#REF!</v>
      </c>
      <c r="AH85" s="82" t="e">
        <f t="shared" si="18"/>
        <v>#REF!</v>
      </c>
      <c r="AI85" s="82" t="e">
        <f t="shared" si="18"/>
        <v>#REF!</v>
      </c>
      <c r="AJ85" s="82" t="e">
        <f t="shared" si="18"/>
        <v>#REF!</v>
      </c>
      <c r="AK85" s="82" t="e">
        <f t="shared" si="18"/>
        <v>#REF!</v>
      </c>
      <c r="AL85" s="82">
        <f t="shared" si="18"/>
        <v>226.56705950587144</v>
      </c>
      <c r="AM85" s="69" t="e">
        <f t="shared" si="16"/>
        <v>#REF!</v>
      </c>
    </row>
    <row r="86" spans="1:42" s="17" customFormat="1" ht="20.100000000000001" customHeight="1">
      <c r="A86" s="93"/>
      <c r="B86" s="80"/>
      <c r="C86" s="35"/>
      <c r="D86" s="38"/>
      <c r="E86" s="40"/>
      <c r="F86" s="94"/>
      <c r="G86" s="40"/>
      <c r="N86" s="56" t="s">
        <v>72</v>
      </c>
      <c r="O86" s="189" t="e">
        <f t="shared" ref="O86:AL86" si="19">SUM(O80:O85)</f>
        <v>#REF!</v>
      </c>
      <c r="P86" s="189" t="e">
        <f t="shared" si="19"/>
        <v>#REF!</v>
      </c>
      <c r="Q86" s="69" t="e">
        <f t="shared" si="19"/>
        <v>#REF!</v>
      </c>
      <c r="R86" s="69" t="e">
        <f t="shared" si="19"/>
        <v>#REF!</v>
      </c>
      <c r="S86" s="69" t="e">
        <f t="shared" si="19"/>
        <v>#REF!</v>
      </c>
      <c r="T86" s="69" t="e">
        <f t="shared" si="19"/>
        <v>#REF!</v>
      </c>
      <c r="U86" s="69" t="e">
        <f t="shared" si="19"/>
        <v>#REF!</v>
      </c>
      <c r="V86" s="69" t="e">
        <f t="shared" si="19"/>
        <v>#REF!</v>
      </c>
      <c r="W86" s="69" t="e">
        <f t="shared" si="19"/>
        <v>#REF!</v>
      </c>
      <c r="X86" s="69" t="e">
        <f t="shared" si="19"/>
        <v>#REF!</v>
      </c>
      <c r="Y86" s="69" t="e">
        <f t="shared" si="19"/>
        <v>#REF!</v>
      </c>
      <c r="Z86" s="69" t="e">
        <f t="shared" si="19"/>
        <v>#REF!</v>
      </c>
      <c r="AA86" s="69" t="e">
        <f t="shared" si="19"/>
        <v>#REF!</v>
      </c>
      <c r="AB86" s="69" t="e">
        <f t="shared" si="19"/>
        <v>#REF!</v>
      </c>
      <c r="AC86" s="69" t="e">
        <f t="shared" si="19"/>
        <v>#REF!</v>
      </c>
      <c r="AD86" s="69" t="e">
        <f t="shared" si="19"/>
        <v>#REF!</v>
      </c>
      <c r="AE86" s="69" t="e">
        <f t="shared" si="19"/>
        <v>#REF!</v>
      </c>
      <c r="AF86" s="69" t="e">
        <f t="shared" si="19"/>
        <v>#REF!</v>
      </c>
      <c r="AG86" s="69" t="e">
        <f t="shared" si="19"/>
        <v>#REF!</v>
      </c>
      <c r="AH86" s="69" t="e">
        <f t="shared" si="19"/>
        <v>#REF!</v>
      </c>
      <c r="AI86" s="69" t="e">
        <f t="shared" si="19"/>
        <v>#REF!</v>
      </c>
      <c r="AJ86" s="69" t="e">
        <f t="shared" si="19"/>
        <v>#REF!</v>
      </c>
      <c r="AK86" s="69" t="e">
        <f t="shared" si="19"/>
        <v>#REF!</v>
      </c>
      <c r="AL86" s="69">
        <f t="shared" si="19"/>
        <v>226.56705950587144</v>
      </c>
      <c r="AM86" s="69" t="e">
        <f t="shared" si="16"/>
        <v>#REF!</v>
      </c>
    </row>
    <row r="87" spans="1:42" s="17" customFormat="1" ht="20.100000000000001" customHeight="1" thickBot="1">
      <c r="A87" s="38"/>
      <c r="B87" s="38"/>
      <c r="C87" s="38"/>
      <c r="D87" s="38"/>
      <c r="E87" s="38"/>
      <c r="F87" s="38"/>
      <c r="G87" s="38"/>
      <c r="N87" s="95" t="s">
        <v>287</v>
      </c>
      <c r="O87" s="194" t="e">
        <f t="shared" ref="O87:AL87" si="20">+O77-O86</f>
        <v>#REF!</v>
      </c>
      <c r="P87" s="194" t="e">
        <f t="shared" si="20"/>
        <v>#REF!</v>
      </c>
      <c r="Q87" s="96" t="e">
        <f t="shared" si="20"/>
        <v>#REF!</v>
      </c>
      <c r="R87" s="96" t="e">
        <f t="shared" si="20"/>
        <v>#REF!</v>
      </c>
      <c r="S87" s="96" t="e">
        <f t="shared" si="20"/>
        <v>#REF!</v>
      </c>
      <c r="T87" s="96" t="e">
        <f t="shared" si="20"/>
        <v>#REF!</v>
      </c>
      <c r="U87" s="96" t="e">
        <f t="shared" si="20"/>
        <v>#REF!</v>
      </c>
      <c r="V87" s="96" t="e">
        <f t="shared" si="20"/>
        <v>#REF!</v>
      </c>
      <c r="W87" s="96" t="e">
        <f t="shared" si="20"/>
        <v>#REF!</v>
      </c>
      <c r="X87" s="96" t="e">
        <f t="shared" si="20"/>
        <v>#REF!</v>
      </c>
      <c r="Y87" s="96" t="e">
        <f t="shared" si="20"/>
        <v>#REF!</v>
      </c>
      <c r="Z87" s="96" t="e">
        <f t="shared" si="20"/>
        <v>#REF!</v>
      </c>
      <c r="AA87" s="96" t="e">
        <f t="shared" si="20"/>
        <v>#REF!</v>
      </c>
      <c r="AB87" s="96" t="e">
        <f t="shared" si="20"/>
        <v>#REF!</v>
      </c>
      <c r="AC87" s="96" t="e">
        <f t="shared" si="20"/>
        <v>#REF!</v>
      </c>
      <c r="AD87" s="96" t="e">
        <f t="shared" si="20"/>
        <v>#REF!</v>
      </c>
      <c r="AE87" s="96" t="e">
        <f t="shared" si="20"/>
        <v>#REF!</v>
      </c>
      <c r="AF87" s="96" t="e">
        <f t="shared" si="20"/>
        <v>#REF!</v>
      </c>
      <c r="AG87" s="96" t="e">
        <f t="shared" si="20"/>
        <v>#REF!</v>
      </c>
      <c r="AH87" s="96" t="e">
        <f t="shared" si="20"/>
        <v>#REF!</v>
      </c>
      <c r="AI87" s="96" t="e">
        <f t="shared" si="20"/>
        <v>#REF!</v>
      </c>
      <c r="AJ87" s="96" t="e">
        <f t="shared" si="20"/>
        <v>#REF!</v>
      </c>
      <c r="AK87" s="96" t="e">
        <f t="shared" si="20"/>
        <v>#REF!</v>
      </c>
      <c r="AL87" s="96">
        <f t="shared" si="20"/>
        <v>421.80479118629722</v>
      </c>
      <c r="AM87" s="69" t="e">
        <f t="shared" si="16"/>
        <v>#REF!</v>
      </c>
    </row>
    <row r="88" spans="1:42" s="17" customFormat="1" ht="20.100000000000001" customHeight="1" thickBot="1">
      <c r="A88" s="38"/>
      <c r="B88" s="38"/>
      <c r="C88" s="38"/>
      <c r="D88" s="38"/>
      <c r="E88" s="38"/>
      <c r="F88" s="38"/>
      <c r="G88" s="38"/>
      <c r="N88" s="97" t="s">
        <v>288</v>
      </c>
      <c r="O88" s="195" t="e">
        <f>SUM($O$87:O87)</f>
        <v>#REF!</v>
      </c>
      <c r="P88" s="195" t="e">
        <f>SUM($O$87:P87)</f>
        <v>#REF!</v>
      </c>
      <c r="Q88" s="98" t="e">
        <f>SUM($O$87:Q87)</f>
        <v>#REF!</v>
      </c>
      <c r="R88" s="98" t="e">
        <f>SUM($O$87:R87)</f>
        <v>#REF!</v>
      </c>
      <c r="S88" s="98" t="e">
        <f>SUM($O$87:S87)</f>
        <v>#REF!</v>
      </c>
      <c r="T88" s="98" t="e">
        <f>SUM($O$87:T87)</f>
        <v>#REF!</v>
      </c>
      <c r="U88" s="98" t="e">
        <f>SUM($O$87:U87)</f>
        <v>#REF!</v>
      </c>
      <c r="V88" s="98" t="e">
        <f>SUM($O$87:V87)</f>
        <v>#REF!</v>
      </c>
      <c r="W88" s="98" t="e">
        <f>SUM($O$87:W87)</f>
        <v>#REF!</v>
      </c>
      <c r="X88" s="98" t="e">
        <f>SUM($O$87:X87)</f>
        <v>#REF!</v>
      </c>
      <c r="Y88" s="98" t="e">
        <f>SUM($O$87:Y87)</f>
        <v>#REF!</v>
      </c>
      <c r="Z88" s="98" t="e">
        <f>SUM($O$87:Z87)</f>
        <v>#REF!</v>
      </c>
      <c r="AA88" s="98" t="e">
        <f>SUM($O$87:AA87)</f>
        <v>#REF!</v>
      </c>
      <c r="AB88" s="98" t="e">
        <f>SUM($O$87:AB87)</f>
        <v>#REF!</v>
      </c>
      <c r="AC88" s="98" t="e">
        <f>SUM($O$87:AC87)</f>
        <v>#REF!</v>
      </c>
      <c r="AD88" s="98" t="e">
        <f>SUM($O$87:AD87)</f>
        <v>#REF!</v>
      </c>
      <c r="AE88" s="98" t="e">
        <f>SUM($O$87:AE87)</f>
        <v>#REF!</v>
      </c>
      <c r="AF88" s="98" t="e">
        <f>SUM($O$87:AF87)</f>
        <v>#REF!</v>
      </c>
      <c r="AG88" s="98" t="e">
        <f>SUM($O$87:AG87)</f>
        <v>#REF!</v>
      </c>
      <c r="AH88" s="98" t="e">
        <f>SUM($O$87:AH87)</f>
        <v>#REF!</v>
      </c>
      <c r="AI88" s="98" t="e">
        <f>SUM($O$87:AI87)</f>
        <v>#REF!</v>
      </c>
      <c r="AJ88" s="98" t="e">
        <f>SUM($O$87:AJ87)</f>
        <v>#REF!</v>
      </c>
      <c r="AK88" s="98" t="e">
        <f>SUM($O$87:AK87)</f>
        <v>#REF!</v>
      </c>
      <c r="AL88" s="98" t="e">
        <f>SUM($O$87:AL87)</f>
        <v>#REF!</v>
      </c>
      <c r="AM88" s="69"/>
    </row>
    <row r="89" spans="1:42" s="17" customFormat="1" ht="20.100000000000001" customHeight="1">
      <c r="A89" s="38"/>
      <c r="B89" s="38"/>
      <c r="C89" s="38"/>
      <c r="D89" s="38"/>
      <c r="E89" s="38"/>
      <c r="F89" s="38"/>
      <c r="G89" s="38"/>
      <c r="O89" s="114"/>
      <c r="P89" s="114"/>
      <c r="V89" s="17">
        <f>+V70</f>
        <v>0</v>
      </c>
      <c r="AH89" s="17">
        <f>+V89</f>
        <v>0</v>
      </c>
    </row>
    <row r="90" spans="1:42" s="17" customFormat="1" ht="20.100000000000001" customHeight="1">
      <c r="N90" s="18" t="s">
        <v>289</v>
      </c>
      <c r="O90" s="114"/>
      <c r="P90" s="114"/>
      <c r="Q90" s="32"/>
      <c r="T90" s="38"/>
      <c r="U90" s="39"/>
      <c r="V90" s="39"/>
      <c r="W90" s="39"/>
      <c r="X90" s="39"/>
      <c r="Y90" s="39"/>
      <c r="Z90" s="39"/>
      <c r="AA90" s="39"/>
      <c r="AB90" s="39"/>
      <c r="AC90" s="39"/>
      <c r="AD90" s="39"/>
      <c r="AM90" s="69"/>
    </row>
    <row r="91" spans="1:42" s="17" customFormat="1" ht="20.100000000000001" customHeight="1">
      <c r="A91" s="38"/>
      <c r="B91" s="35"/>
      <c r="C91" s="38"/>
      <c r="D91" s="38"/>
      <c r="E91" s="40"/>
      <c r="F91" s="40"/>
      <c r="G91" s="40"/>
      <c r="N91" s="18"/>
      <c r="O91" s="114"/>
      <c r="P91" s="114"/>
      <c r="Q91" s="32"/>
      <c r="T91" s="38"/>
      <c r="U91" s="39">
        <f>+U72</f>
        <v>0</v>
      </c>
      <c r="V91" s="39"/>
      <c r="W91" s="39"/>
      <c r="X91" s="39"/>
      <c r="Y91" s="39"/>
      <c r="Z91" s="39"/>
      <c r="AA91" s="39"/>
      <c r="AB91" s="39"/>
      <c r="AC91" s="39"/>
      <c r="AD91" s="39"/>
      <c r="AH91" s="17">
        <f>+U91</f>
        <v>0</v>
      </c>
      <c r="AM91" s="69"/>
    </row>
    <row r="92" spans="1:42" s="17" customFormat="1" ht="20.100000000000001" customHeight="1">
      <c r="A92" s="38"/>
      <c r="B92" s="59"/>
      <c r="C92" s="59"/>
      <c r="D92" s="59"/>
      <c r="E92" s="59"/>
      <c r="F92" s="59"/>
      <c r="G92" s="59"/>
      <c r="N92" s="25" t="s">
        <v>1</v>
      </c>
      <c r="O92" s="187" t="str">
        <f t="shared" ref="O92:AL92" si="21">+O60</f>
        <v>Yr 1</v>
      </c>
      <c r="P92" s="187" t="str">
        <f t="shared" si="21"/>
        <v>Yr 2</v>
      </c>
      <c r="Q92" s="65" t="str">
        <f t="shared" si="21"/>
        <v>Yr 3</v>
      </c>
      <c r="R92" s="65" t="str">
        <f t="shared" si="21"/>
        <v>Yr 4</v>
      </c>
      <c r="S92" s="65" t="str">
        <f t="shared" si="21"/>
        <v>Yr 5</v>
      </c>
      <c r="T92" s="65" t="str">
        <f t="shared" si="21"/>
        <v>Yr 6</v>
      </c>
      <c r="U92" s="65" t="str">
        <f t="shared" si="21"/>
        <v>Yr 7</v>
      </c>
      <c r="V92" s="65" t="str">
        <f t="shared" si="21"/>
        <v>Yr 8</v>
      </c>
      <c r="W92" s="65" t="str">
        <f t="shared" si="21"/>
        <v>Yr 9</v>
      </c>
      <c r="X92" s="65" t="str">
        <f t="shared" si="21"/>
        <v>Yr 10</v>
      </c>
      <c r="Y92" s="65" t="str">
        <f t="shared" si="21"/>
        <v>Yr 11</v>
      </c>
      <c r="Z92" s="65" t="str">
        <f t="shared" si="21"/>
        <v>Yr 12</v>
      </c>
      <c r="AA92" s="65" t="str">
        <f t="shared" si="21"/>
        <v>Yr 13</v>
      </c>
      <c r="AB92" s="65" t="str">
        <f t="shared" si="21"/>
        <v>Yr 14</v>
      </c>
      <c r="AC92" s="65" t="str">
        <f t="shared" si="21"/>
        <v>Yr 15</v>
      </c>
      <c r="AD92" s="65" t="str">
        <f t="shared" si="21"/>
        <v>Yr 16</v>
      </c>
      <c r="AE92" s="65" t="str">
        <f t="shared" si="21"/>
        <v>Yr 17</v>
      </c>
      <c r="AF92" s="65" t="str">
        <f t="shared" si="21"/>
        <v>Yr 18</v>
      </c>
      <c r="AG92" s="65" t="str">
        <f t="shared" si="21"/>
        <v>Yr 19</v>
      </c>
      <c r="AH92" s="65" t="str">
        <f t="shared" si="21"/>
        <v>Yr 20</v>
      </c>
      <c r="AI92" s="65" t="str">
        <f t="shared" si="21"/>
        <v>Yr 21</v>
      </c>
      <c r="AJ92" s="65" t="str">
        <f t="shared" si="21"/>
        <v>Yr 22</v>
      </c>
      <c r="AK92" s="65" t="str">
        <f t="shared" si="21"/>
        <v>Yr 23</v>
      </c>
      <c r="AL92" s="65" t="str">
        <f t="shared" si="21"/>
        <v>Yr 24</v>
      </c>
      <c r="AM92" s="99" t="s">
        <v>951</v>
      </c>
      <c r="AN92" s="26" t="s">
        <v>952</v>
      </c>
      <c r="AO92" s="26" t="s">
        <v>952</v>
      </c>
      <c r="AP92" s="26" t="s">
        <v>953</v>
      </c>
    </row>
    <row r="93" spans="1:42" s="17" customFormat="1" ht="20.100000000000001" customHeight="1">
      <c r="A93" s="38"/>
      <c r="B93" s="40"/>
      <c r="C93" s="40"/>
      <c r="D93" s="40"/>
      <c r="E93" s="40"/>
      <c r="F93" s="40"/>
      <c r="G93" s="40"/>
      <c r="M93" s="27" t="s">
        <v>9</v>
      </c>
      <c r="N93" s="18" t="s">
        <v>290</v>
      </c>
      <c r="O93" s="196"/>
      <c r="P93" s="196"/>
      <c r="Q93" s="100"/>
      <c r="R93" s="100"/>
      <c r="S93" s="100"/>
      <c r="T93" s="100"/>
      <c r="U93" s="100"/>
      <c r="V93" s="100"/>
      <c r="W93" s="100"/>
      <c r="X93" s="100"/>
      <c r="Y93" s="100"/>
      <c r="Z93" s="100"/>
      <c r="AA93" s="100"/>
      <c r="AB93" s="100"/>
      <c r="AC93" s="100"/>
      <c r="AD93" s="100"/>
      <c r="AE93" s="100"/>
      <c r="AF93" s="100"/>
      <c r="AG93" s="100"/>
      <c r="AH93" s="100"/>
      <c r="AI93" s="100"/>
      <c r="AM93" s="99"/>
      <c r="AN93" s="26"/>
      <c r="AO93" s="26"/>
      <c r="AP93" s="26"/>
    </row>
    <row r="94" spans="1:42" s="17" customFormat="1" ht="20.100000000000001" customHeight="1">
      <c r="A94" s="38"/>
      <c r="B94" s="59"/>
      <c r="C94" s="59"/>
      <c r="D94" s="59"/>
      <c r="E94" s="59"/>
      <c r="F94" s="59"/>
      <c r="G94" s="59"/>
      <c r="K94" s="17" t="e">
        <f>+C66</f>
        <v>#REF!</v>
      </c>
      <c r="L94" s="17" t="e">
        <f>SUM(O94:R94)</f>
        <v>#REF!</v>
      </c>
      <c r="M94" s="101">
        <v>1</v>
      </c>
      <c r="N94" s="17" t="s">
        <v>291</v>
      </c>
      <c r="O94" s="197" t="e">
        <f>+C61</f>
        <v>#REF!</v>
      </c>
      <c r="P94" s="197" t="e">
        <f>+C62</f>
        <v>#REF!</v>
      </c>
      <c r="Q94" s="102" t="e">
        <f>C63</f>
        <v>#REF!</v>
      </c>
      <c r="R94" s="102" t="e">
        <f>C64+C65</f>
        <v>#REF!</v>
      </c>
      <c r="S94" s="102">
        <f t="shared" ref="S94:AI94" si="22">+S81+S82</f>
        <v>0</v>
      </c>
      <c r="T94" s="102">
        <f t="shared" si="22"/>
        <v>0</v>
      </c>
      <c r="U94" s="102">
        <f t="shared" si="22"/>
        <v>0</v>
      </c>
      <c r="V94" s="102">
        <f t="shared" si="22"/>
        <v>0</v>
      </c>
      <c r="W94" s="102">
        <f t="shared" si="22"/>
        <v>0</v>
      </c>
      <c r="X94" s="102">
        <f t="shared" si="22"/>
        <v>0</v>
      </c>
      <c r="Y94" s="102">
        <f t="shared" si="22"/>
        <v>0</v>
      </c>
      <c r="Z94" s="102">
        <f t="shared" si="22"/>
        <v>0</v>
      </c>
      <c r="AA94" s="102">
        <f t="shared" si="22"/>
        <v>0</v>
      </c>
      <c r="AB94" s="102">
        <f t="shared" si="22"/>
        <v>0</v>
      </c>
      <c r="AC94" s="102">
        <f t="shared" si="22"/>
        <v>0</v>
      </c>
      <c r="AD94" s="102">
        <f t="shared" si="22"/>
        <v>0</v>
      </c>
      <c r="AE94" s="102">
        <f t="shared" si="22"/>
        <v>0</v>
      </c>
      <c r="AF94" s="102">
        <f t="shared" si="22"/>
        <v>0</v>
      </c>
      <c r="AG94" s="102">
        <f t="shared" si="22"/>
        <v>0</v>
      </c>
      <c r="AH94" s="102">
        <f t="shared" si="22"/>
        <v>0</v>
      </c>
      <c r="AI94" s="102">
        <f t="shared" si="22"/>
        <v>0</v>
      </c>
      <c r="AM94" s="69" t="e">
        <f>NPV(0.1,O94:AJ94)</f>
        <v>#REF!</v>
      </c>
      <c r="AP94" s="17" t="e">
        <f>+AM98/AM94</f>
        <v>#REF!</v>
      </c>
    </row>
    <row r="95" spans="1:42" s="17" customFormat="1" ht="20.100000000000001" customHeight="1">
      <c r="B95" s="38"/>
      <c r="C95" s="38"/>
      <c r="D95" s="38"/>
      <c r="E95" s="38"/>
      <c r="F95" s="38"/>
      <c r="G95" s="38"/>
      <c r="M95" s="101">
        <v>2</v>
      </c>
      <c r="N95" s="17" t="s">
        <v>286</v>
      </c>
      <c r="O95" s="197">
        <f t="shared" ref="O95:AL95" si="23">+O66</f>
        <v>0</v>
      </c>
      <c r="P95" s="197">
        <f t="shared" si="23"/>
        <v>0</v>
      </c>
      <c r="Q95" s="102" t="e">
        <f t="shared" si="23"/>
        <v>#REF!</v>
      </c>
      <c r="R95" s="102" t="e">
        <f t="shared" si="23"/>
        <v>#REF!</v>
      </c>
      <c r="S95" s="102" t="e">
        <f t="shared" si="23"/>
        <v>#REF!</v>
      </c>
      <c r="T95" s="102" t="e">
        <f t="shared" si="23"/>
        <v>#REF!</v>
      </c>
      <c r="U95" s="102" t="e">
        <f t="shared" si="23"/>
        <v>#REF!</v>
      </c>
      <c r="V95" s="102" t="e">
        <f t="shared" si="23"/>
        <v>#REF!</v>
      </c>
      <c r="W95" s="102" t="e">
        <f t="shared" si="23"/>
        <v>#REF!</v>
      </c>
      <c r="X95" s="102" t="e">
        <f t="shared" si="23"/>
        <v>#REF!</v>
      </c>
      <c r="Y95" s="102" t="e">
        <f t="shared" si="23"/>
        <v>#REF!</v>
      </c>
      <c r="Z95" s="102" t="e">
        <f t="shared" si="23"/>
        <v>#REF!</v>
      </c>
      <c r="AA95" s="102" t="e">
        <f t="shared" si="23"/>
        <v>#REF!</v>
      </c>
      <c r="AB95" s="102" t="e">
        <f t="shared" si="23"/>
        <v>#REF!</v>
      </c>
      <c r="AC95" s="102" t="e">
        <f t="shared" si="23"/>
        <v>#REF!</v>
      </c>
      <c r="AD95" s="102" t="e">
        <f t="shared" si="23"/>
        <v>#REF!</v>
      </c>
      <c r="AE95" s="102" t="e">
        <f t="shared" si="23"/>
        <v>#REF!</v>
      </c>
      <c r="AF95" s="102" t="e">
        <f t="shared" si="23"/>
        <v>#REF!</v>
      </c>
      <c r="AG95" s="102" t="e">
        <f t="shared" si="23"/>
        <v>#REF!</v>
      </c>
      <c r="AH95" s="102" t="e">
        <f t="shared" si="23"/>
        <v>#REF!</v>
      </c>
      <c r="AI95" s="102" t="e">
        <f t="shared" si="23"/>
        <v>#REF!</v>
      </c>
      <c r="AJ95" s="102" t="e">
        <f t="shared" si="23"/>
        <v>#REF!</v>
      </c>
      <c r="AK95" s="102" t="e">
        <f t="shared" si="23"/>
        <v>#REF!</v>
      </c>
      <c r="AL95" s="102">
        <f t="shared" si="23"/>
        <v>226.56705950587144</v>
      </c>
      <c r="AM95" s="69" t="e">
        <f>NPV(0.1,O95:AJ95)</f>
        <v>#REF!</v>
      </c>
    </row>
    <row r="96" spans="1:42" s="17" customFormat="1" ht="20.100000000000001" customHeight="1">
      <c r="A96" s="38"/>
      <c r="B96" s="76"/>
      <c r="C96" s="38"/>
      <c r="D96" s="38"/>
      <c r="M96" s="101"/>
      <c r="N96" s="103" t="s">
        <v>292</v>
      </c>
      <c r="O96" s="197" t="e">
        <f t="shared" ref="O96:AL96" si="24">SUM(O94:O95)</f>
        <v>#REF!</v>
      </c>
      <c r="P96" s="197" t="e">
        <f t="shared" si="24"/>
        <v>#REF!</v>
      </c>
      <c r="Q96" s="102" t="e">
        <f t="shared" si="24"/>
        <v>#REF!</v>
      </c>
      <c r="R96" s="102" t="e">
        <f t="shared" si="24"/>
        <v>#REF!</v>
      </c>
      <c r="S96" s="102" t="e">
        <f t="shared" si="24"/>
        <v>#REF!</v>
      </c>
      <c r="T96" s="102" t="e">
        <f t="shared" si="24"/>
        <v>#REF!</v>
      </c>
      <c r="U96" s="102" t="e">
        <f t="shared" si="24"/>
        <v>#REF!</v>
      </c>
      <c r="V96" s="102" t="e">
        <f t="shared" si="24"/>
        <v>#REF!</v>
      </c>
      <c r="W96" s="102" t="e">
        <f t="shared" si="24"/>
        <v>#REF!</v>
      </c>
      <c r="X96" s="102" t="e">
        <f t="shared" si="24"/>
        <v>#REF!</v>
      </c>
      <c r="Y96" s="102" t="e">
        <f t="shared" si="24"/>
        <v>#REF!</v>
      </c>
      <c r="Z96" s="102" t="e">
        <f t="shared" si="24"/>
        <v>#REF!</v>
      </c>
      <c r="AA96" s="102" t="e">
        <f t="shared" si="24"/>
        <v>#REF!</v>
      </c>
      <c r="AB96" s="102" t="e">
        <f t="shared" si="24"/>
        <v>#REF!</v>
      </c>
      <c r="AC96" s="102" t="e">
        <f t="shared" si="24"/>
        <v>#REF!</v>
      </c>
      <c r="AD96" s="102" t="e">
        <f t="shared" si="24"/>
        <v>#REF!</v>
      </c>
      <c r="AE96" s="102" t="e">
        <f t="shared" si="24"/>
        <v>#REF!</v>
      </c>
      <c r="AF96" s="102" t="e">
        <f t="shared" si="24"/>
        <v>#REF!</v>
      </c>
      <c r="AG96" s="102" t="e">
        <f t="shared" si="24"/>
        <v>#REF!</v>
      </c>
      <c r="AH96" s="102" t="e">
        <f t="shared" si="24"/>
        <v>#REF!</v>
      </c>
      <c r="AI96" s="102" t="e">
        <f t="shared" si="24"/>
        <v>#REF!</v>
      </c>
      <c r="AJ96" s="102" t="e">
        <f t="shared" si="24"/>
        <v>#REF!</v>
      </c>
      <c r="AK96" s="102" t="e">
        <f t="shared" si="24"/>
        <v>#REF!</v>
      </c>
      <c r="AL96" s="102">
        <f t="shared" si="24"/>
        <v>226.56705950587144</v>
      </c>
      <c r="AM96" s="69"/>
    </row>
    <row r="97" spans="1:41" s="17" customFormat="1" ht="20.100000000000001" customHeight="1">
      <c r="B97" s="35"/>
      <c r="C97" s="35"/>
      <c r="D97" s="38"/>
      <c r="E97" s="32"/>
      <c r="F97" s="52"/>
      <c r="G97" s="32"/>
      <c r="M97" s="27" t="s">
        <v>10</v>
      </c>
      <c r="N97" s="18" t="s">
        <v>293</v>
      </c>
      <c r="O97" s="197"/>
      <c r="P97" s="197"/>
      <c r="Q97" s="102"/>
      <c r="R97" s="102"/>
      <c r="S97" s="102"/>
      <c r="T97" s="102"/>
      <c r="U97" s="102"/>
      <c r="V97" s="102"/>
      <c r="W97" s="102"/>
      <c r="X97" s="102"/>
      <c r="Y97" s="102"/>
      <c r="Z97" s="102"/>
      <c r="AA97" s="102"/>
      <c r="AB97" s="102"/>
      <c r="AC97" s="102"/>
      <c r="AD97" s="102"/>
      <c r="AE97" s="102"/>
      <c r="AF97" s="102"/>
      <c r="AG97" s="102"/>
      <c r="AH97" s="102"/>
      <c r="AI97" s="102"/>
      <c r="AJ97" s="102"/>
      <c r="AK97" s="102"/>
      <c r="AL97" s="102"/>
      <c r="AM97" s="69"/>
    </row>
    <row r="98" spans="1:41" s="17" customFormat="1" ht="20.100000000000001" customHeight="1">
      <c r="A98" s="38"/>
      <c r="B98" s="40"/>
      <c r="C98" s="35"/>
      <c r="D98" s="38"/>
      <c r="E98" s="32"/>
      <c r="F98" s="55"/>
      <c r="G98" s="32"/>
      <c r="M98" s="101">
        <v>1</v>
      </c>
      <c r="N98" s="17" t="s">
        <v>294</v>
      </c>
      <c r="O98" s="185">
        <f t="shared" ref="O98:AL98" si="25">+O74</f>
        <v>0</v>
      </c>
      <c r="P98" s="185">
        <f t="shared" si="25"/>
        <v>0</v>
      </c>
      <c r="Q98" s="104">
        <f t="shared" si="25"/>
        <v>0</v>
      </c>
      <c r="R98" s="104">
        <f t="shared" si="25"/>
        <v>291.76733281147591</v>
      </c>
      <c r="S98" s="104">
        <f t="shared" si="25"/>
        <v>648.37185069216866</v>
      </c>
      <c r="T98" s="104">
        <f t="shared" si="25"/>
        <v>648.37185069216866</v>
      </c>
      <c r="U98" s="104">
        <f t="shared" si="25"/>
        <v>648.37185069216866</v>
      </c>
      <c r="V98" s="104">
        <f t="shared" si="25"/>
        <v>648.37185069216866</v>
      </c>
      <c r="W98" s="104">
        <f t="shared" si="25"/>
        <v>648.37185069216866</v>
      </c>
      <c r="X98" s="104">
        <f t="shared" si="25"/>
        <v>648.37185069216866</v>
      </c>
      <c r="Y98" s="104">
        <f t="shared" si="25"/>
        <v>648.37185069216866</v>
      </c>
      <c r="Z98" s="104">
        <f t="shared" si="25"/>
        <v>648.37185069216866</v>
      </c>
      <c r="AA98" s="104">
        <f t="shared" si="25"/>
        <v>648.37185069216866</v>
      </c>
      <c r="AB98" s="104">
        <f t="shared" si="25"/>
        <v>648.37185069216866</v>
      </c>
      <c r="AC98" s="104">
        <f t="shared" si="25"/>
        <v>648.37185069216866</v>
      </c>
      <c r="AD98" s="104">
        <f t="shared" si="25"/>
        <v>648.37185069216866</v>
      </c>
      <c r="AE98" s="104">
        <f t="shared" si="25"/>
        <v>648.37185069216866</v>
      </c>
      <c r="AF98" s="104">
        <f t="shared" si="25"/>
        <v>648.37185069216866</v>
      </c>
      <c r="AG98" s="104">
        <f t="shared" si="25"/>
        <v>648.37185069216866</v>
      </c>
      <c r="AH98" s="104">
        <f t="shared" si="25"/>
        <v>648.37185069216866</v>
      </c>
      <c r="AI98" s="104">
        <f t="shared" si="25"/>
        <v>648.37185069216866</v>
      </c>
      <c r="AJ98" s="104">
        <f t="shared" si="25"/>
        <v>648.37185069216866</v>
      </c>
      <c r="AK98" s="104">
        <f t="shared" si="25"/>
        <v>648.37185069216866</v>
      </c>
      <c r="AL98" s="104">
        <f t="shared" si="25"/>
        <v>648.37185069216866</v>
      </c>
      <c r="AM98" s="69">
        <f>NPV(0.1,O98:AJ98)</f>
        <v>3831.2492828128197</v>
      </c>
    </row>
    <row r="99" spans="1:41" s="17" customFormat="1" ht="20.100000000000001" customHeight="1">
      <c r="A99" s="38"/>
      <c r="B99" s="40"/>
      <c r="C99" s="35"/>
      <c r="D99" s="38"/>
      <c r="E99" s="32"/>
      <c r="F99" s="55"/>
      <c r="G99" s="32"/>
      <c r="L99" s="17" t="e">
        <f>SUM(O99:R99)</f>
        <v>#REF!</v>
      </c>
      <c r="M99" s="101">
        <v>2</v>
      </c>
      <c r="N99" s="17" t="s">
        <v>1049</v>
      </c>
      <c r="O99" s="185"/>
      <c r="P99" s="185"/>
      <c r="Q99" s="185" t="e">
        <f>+J66/2</f>
        <v>#REF!</v>
      </c>
      <c r="R99" s="185" t="e">
        <f>+J66/2</f>
        <v>#REF!</v>
      </c>
      <c r="S99" s="104"/>
      <c r="T99" s="104"/>
      <c r="U99" s="104"/>
      <c r="V99" s="104"/>
      <c r="W99" s="104"/>
      <c r="X99" s="104"/>
      <c r="Y99" s="104"/>
      <c r="Z99" s="104"/>
      <c r="AA99" s="104"/>
      <c r="AB99" s="104"/>
      <c r="AC99" s="104"/>
      <c r="AD99" s="104"/>
      <c r="AE99" s="104"/>
      <c r="AF99" s="104"/>
      <c r="AG99" s="104"/>
      <c r="AH99" s="104"/>
      <c r="AI99" s="104"/>
      <c r="AJ99" s="104"/>
      <c r="AK99" s="104"/>
      <c r="AL99" s="104" t="e">
        <f>AO63*0.05</f>
        <v>#REF!</v>
      </c>
      <c r="AM99" s="69"/>
    </row>
    <row r="100" spans="1:41" s="17" customFormat="1" ht="20.100000000000001" customHeight="1">
      <c r="A100" s="38"/>
      <c r="B100" s="40"/>
      <c r="C100" s="35"/>
      <c r="D100" s="38"/>
      <c r="E100" s="32"/>
      <c r="F100" s="55"/>
      <c r="G100" s="32"/>
      <c r="M100" s="101"/>
      <c r="N100" s="31" t="s">
        <v>295</v>
      </c>
      <c r="O100" s="185">
        <f t="shared" ref="O100:AL100" si="26">SUM(O98:O99)</f>
        <v>0</v>
      </c>
      <c r="P100" s="185">
        <f t="shared" si="26"/>
        <v>0</v>
      </c>
      <c r="Q100" s="104" t="e">
        <f t="shared" si="26"/>
        <v>#REF!</v>
      </c>
      <c r="R100" s="104" t="e">
        <f t="shared" si="26"/>
        <v>#REF!</v>
      </c>
      <c r="S100" s="104">
        <f t="shared" si="26"/>
        <v>648.37185069216866</v>
      </c>
      <c r="T100" s="104">
        <f t="shared" si="26"/>
        <v>648.37185069216866</v>
      </c>
      <c r="U100" s="104">
        <f t="shared" si="26"/>
        <v>648.37185069216866</v>
      </c>
      <c r="V100" s="104">
        <f t="shared" si="26"/>
        <v>648.37185069216866</v>
      </c>
      <c r="W100" s="104">
        <f t="shared" si="26"/>
        <v>648.37185069216866</v>
      </c>
      <c r="X100" s="104">
        <f t="shared" si="26"/>
        <v>648.37185069216866</v>
      </c>
      <c r="Y100" s="104">
        <f t="shared" si="26"/>
        <v>648.37185069216866</v>
      </c>
      <c r="Z100" s="104">
        <f t="shared" si="26"/>
        <v>648.37185069216866</v>
      </c>
      <c r="AA100" s="104">
        <f t="shared" si="26"/>
        <v>648.37185069216866</v>
      </c>
      <c r="AB100" s="104">
        <f t="shared" si="26"/>
        <v>648.37185069216866</v>
      </c>
      <c r="AC100" s="104">
        <f t="shared" si="26"/>
        <v>648.37185069216866</v>
      </c>
      <c r="AD100" s="104">
        <f t="shared" si="26"/>
        <v>648.37185069216866</v>
      </c>
      <c r="AE100" s="104">
        <f t="shared" si="26"/>
        <v>648.37185069216866</v>
      </c>
      <c r="AF100" s="104">
        <f t="shared" si="26"/>
        <v>648.37185069216866</v>
      </c>
      <c r="AG100" s="104">
        <f t="shared" si="26"/>
        <v>648.37185069216866</v>
      </c>
      <c r="AH100" s="104">
        <f t="shared" si="26"/>
        <v>648.37185069216866</v>
      </c>
      <c r="AI100" s="104">
        <f t="shared" si="26"/>
        <v>648.37185069216866</v>
      </c>
      <c r="AJ100" s="104">
        <f t="shared" si="26"/>
        <v>648.37185069216866</v>
      </c>
      <c r="AK100" s="104">
        <f t="shared" si="26"/>
        <v>648.37185069216866</v>
      </c>
      <c r="AL100" s="104" t="e">
        <f t="shared" si="26"/>
        <v>#REF!</v>
      </c>
      <c r="AM100" s="69"/>
    </row>
    <row r="101" spans="1:41" s="17" customFormat="1" ht="20.100000000000001" customHeight="1">
      <c r="A101" s="38"/>
      <c r="B101" s="40"/>
      <c r="C101" s="40"/>
      <c r="D101" s="59"/>
      <c r="E101" s="58"/>
      <c r="F101" s="58"/>
      <c r="G101" s="58"/>
      <c r="M101" s="27" t="s">
        <v>11</v>
      </c>
      <c r="N101" s="18" t="s">
        <v>296</v>
      </c>
      <c r="O101" s="185"/>
      <c r="P101" s="185"/>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4"/>
      <c r="AM101" s="69"/>
    </row>
    <row r="102" spans="1:41" s="19" customFormat="1" ht="20.100000000000001" customHeight="1">
      <c r="A102" s="137"/>
      <c r="B102" s="1058"/>
      <c r="C102" s="137"/>
      <c r="D102" s="137"/>
      <c r="E102" s="761"/>
      <c r="F102" s="761"/>
      <c r="G102" s="761"/>
      <c r="M102" s="328">
        <v>1</v>
      </c>
      <c r="N102" s="19" t="s">
        <v>297</v>
      </c>
      <c r="O102" s="1059" t="e">
        <f t="shared" ref="O102:AL102" si="27">+O100-O96+O95</f>
        <v>#REF!</v>
      </c>
      <c r="P102" s="1059" t="e">
        <f t="shared" si="27"/>
        <v>#REF!</v>
      </c>
      <c r="Q102" s="596" t="e">
        <f t="shared" si="27"/>
        <v>#REF!</v>
      </c>
      <c r="R102" s="596" t="e">
        <f t="shared" si="27"/>
        <v>#REF!</v>
      </c>
      <c r="S102" s="596" t="e">
        <f t="shared" si="27"/>
        <v>#REF!</v>
      </c>
      <c r="T102" s="596" t="e">
        <f t="shared" si="27"/>
        <v>#REF!</v>
      </c>
      <c r="U102" s="596" t="e">
        <f t="shared" si="27"/>
        <v>#REF!</v>
      </c>
      <c r="V102" s="596" t="e">
        <f t="shared" si="27"/>
        <v>#REF!</v>
      </c>
      <c r="W102" s="596" t="e">
        <f t="shared" si="27"/>
        <v>#REF!</v>
      </c>
      <c r="X102" s="596" t="e">
        <f t="shared" si="27"/>
        <v>#REF!</v>
      </c>
      <c r="Y102" s="596" t="e">
        <f t="shared" si="27"/>
        <v>#REF!</v>
      </c>
      <c r="Z102" s="596" t="e">
        <f t="shared" si="27"/>
        <v>#REF!</v>
      </c>
      <c r="AA102" s="596" t="e">
        <f t="shared" si="27"/>
        <v>#REF!</v>
      </c>
      <c r="AB102" s="596" t="e">
        <f t="shared" si="27"/>
        <v>#REF!</v>
      </c>
      <c r="AC102" s="596" t="e">
        <f t="shared" si="27"/>
        <v>#REF!</v>
      </c>
      <c r="AD102" s="596" t="e">
        <f t="shared" si="27"/>
        <v>#REF!</v>
      </c>
      <c r="AE102" s="596" t="e">
        <f t="shared" si="27"/>
        <v>#REF!</v>
      </c>
      <c r="AF102" s="596" t="e">
        <f t="shared" si="27"/>
        <v>#REF!</v>
      </c>
      <c r="AG102" s="596" t="e">
        <f t="shared" si="27"/>
        <v>#REF!</v>
      </c>
      <c r="AH102" s="596" t="e">
        <f t="shared" si="27"/>
        <v>#REF!</v>
      </c>
      <c r="AI102" s="596" t="e">
        <f t="shared" si="27"/>
        <v>#REF!</v>
      </c>
      <c r="AJ102" s="596" t="e">
        <f t="shared" si="27"/>
        <v>#REF!</v>
      </c>
      <c r="AK102" s="596" t="e">
        <f t="shared" si="27"/>
        <v>#REF!</v>
      </c>
      <c r="AL102" s="596" t="e">
        <f t="shared" si="27"/>
        <v>#REF!</v>
      </c>
      <c r="AM102" s="766"/>
      <c r="AN102" s="1060"/>
      <c r="AO102" s="1060"/>
    </row>
    <row r="103" spans="1:41" s="19" customFormat="1" ht="20.100000000000001" customHeight="1">
      <c r="A103" s="137"/>
      <c r="B103" s="1058"/>
      <c r="C103" s="137"/>
      <c r="D103" s="137"/>
      <c r="E103" s="761"/>
      <c r="F103" s="761"/>
      <c r="G103" s="761"/>
      <c r="M103" s="328">
        <v>2</v>
      </c>
      <c r="N103" s="19" t="s">
        <v>298</v>
      </c>
      <c r="O103" s="138" t="e">
        <f t="shared" ref="O103:AL103" si="28">+O100-O96</f>
        <v>#REF!</v>
      </c>
      <c r="P103" s="138" t="e">
        <f t="shared" si="28"/>
        <v>#REF!</v>
      </c>
      <c r="Q103" s="19" t="e">
        <f t="shared" si="28"/>
        <v>#REF!</v>
      </c>
      <c r="R103" s="19" t="e">
        <f t="shared" si="28"/>
        <v>#REF!</v>
      </c>
      <c r="S103" s="19" t="e">
        <f t="shared" si="28"/>
        <v>#REF!</v>
      </c>
      <c r="T103" s="19" t="e">
        <f t="shared" si="28"/>
        <v>#REF!</v>
      </c>
      <c r="U103" s="19" t="e">
        <f t="shared" si="28"/>
        <v>#REF!</v>
      </c>
      <c r="V103" s="19" t="e">
        <f t="shared" si="28"/>
        <v>#REF!</v>
      </c>
      <c r="W103" s="19" t="e">
        <f t="shared" si="28"/>
        <v>#REF!</v>
      </c>
      <c r="X103" s="19" t="e">
        <f t="shared" si="28"/>
        <v>#REF!</v>
      </c>
      <c r="Y103" s="19" t="e">
        <f t="shared" si="28"/>
        <v>#REF!</v>
      </c>
      <c r="Z103" s="19" t="e">
        <f t="shared" si="28"/>
        <v>#REF!</v>
      </c>
      <c r="AA103" s="19" t="e">
        <f t="shared" si="28"/>
        <v>#REF!</v>
      </c>
      <c r="AB103" s="19" t="e">
        <f t="shared" si="28"/>
        <v>#REF!</v>
      </c>
      <c r="AC103" s="19" t="e">
        <f t="shared" si="28"/>
        <v>#REF!</v>
      </c>
      <c r="AD103" s="19" t="e">
        <f t="shared" si="28"/>
        <v>#REF!</v>
      </c>
      <c r="AE103" s="19" t="e">
        <f t="shared" si="28"/>
        <v>#REF!</v>
      </c>
      <c r="AF103" s="19" t="e">
        <f t="shared" si="28"/>
        <v>#REF!</v>
      </c>
      <c r="AG103" s="19" t="e">
        <f t="shared" si="28"/>
        <v>#REF!</v>
      </c>
      <c r="AH103" s="19" t="e">
        <f t="shared" si="28"/>
        <v>#REF!</v>
      </c>
      <c r="AI103" s="19" t="e">
        <f t="shared" si="28"/>
        <v>#REF!</v>
      </c>
      <c r="AJ103" s="19" t="e">
        <f t="shared" si="28"/>
        <v>#REF!</v>
      </c>
      <c r="AK103" s="19" t="e">
        <f t="shared" si="28"/>
        <v>#REF!</v>
      </c>
      <c r="AL103" s="19" t="e">
        <f t="shared" si="28"/>
        <v>#REF!</v>
      </c>
      <c r="AM103" s="766"/>
      <c r="AN103" s="1060"/>
    </row>
    <row r="104" spans="1:41" s="19" customFormat="1" ht="20.100000000000001" customHeight="1">
      <c r="A104" s="137"/>
      <c r="B104" s="1058"/>
      <c r="C104" s="137"/>
      <c r="D104" s="137"/>
      <c r="E104" s="761"/>
      <c r="F104" s="761"/>
      <c r="G104" s="761"/>
      <c r="M104" s="1061" t="s">
        <v>12</v>
      </c>
      <c r="N104" s="131" t="s">
        <v>738</v>
      </c>
      <c r="O104" s="138"/>
      <c r="P104" s="138"/>
      <c r="AJ104" s="766"/>
      <c r="AK104" s="766"/>
      <c r="AL104" s="766"/>
      <c r="AN104" s="1060"/>
    </row>
    <row r="105" spans="1:41" s="19" customFormat="1" ht="20.100000000000001" customHeight="1">
      <c r="A105" s="137"/>
      <c r="B105" s="596"/>
      <c r="C105" s="596"/>
      <c r="D105" s="137"/>
      <c r="E105" s="761"/>
      <c r="F105" s="761"/>
      <c r="G105" s="761"/>
      <c r="M105" s="1062">
        <v>1</v>
      </c>
      <c r="N105" s="19" t="s">
        <v>297</v>
      </c>
      <c r="O105" s="138" t="e">
        <f>NPV(0.1,O102:AL102)</f>
        <v>#REF!</v>
      </c>
      <c r="P105" s="138"/>
      <c r="AJ105" s="766"/>
      <c r="AK105" s="766"/>
      <c r="AL105" s="766"/>
      <c r="AN105" s="1060"/>
    </row>
    <row r="106" spans="1:41" s="19" customFormat="1" ht="20.100000000000001" customHeight="1">
      <c r="A106" s="137"/>
      <c r="B106" s="137"/>
      <c r="C106" s="137"/>
      <c r="D106" s="1063"/>
      <c r="E106" s="1064"/>
      <c r="F106" s="1064"/>
      <c r="G106" s="1064"/>
      <c r="M106" s="328">
        <v>2</v>
      </c>
      <c r="N106" s="19" t="s">
        <v>299</v>
      </c>
      <c r="O106" s="138" t="e">
        <f>NPV(0.1,O103:AL103)</f>
        <v>#REF!</v>
      </c>
      <c r="P106" s="138"/>
      <c r="AJ106" s="766"/>
      <c r="AK106" s="766"/>
      <c r="AL106" s="766"/>
      <c r="AN106" s="1060"/>
    </row>
    <row r="107" spans="1:41" s="17" customFormat="1" ht="20.100000000000001" customHeight="1">
      <c r="A107" s="38"/>
      <c r="B107" s="76"/>
      <c r="C107" s="38"/>
      <c r="D107" s="38"/>
      <c r="E107" s="32"/>
      <c r="F107" s="32"/>
      <c r="G107" s="32"/>
      <c r="M107" s="27" t="s">
        <v>13</v>
      </c>
      <c r="N107" s="18" t="s">
        <v>300</v>
      </c>
      <c r="O107" s="114"/>
      <c r="P107" s="114"/>
      <c r="AJ107" s="69"/>
      <c r="AK107" s="69"/>
      <c r="AL107" s="69"/>
      <c r="AN107" s="105"/>
    </row>
    <row r="108" spans="1:41" s="19" customFormat="1" ht="20.100000000000001" customHeight="1">
      <c r="A108" s="137"/>
      <c r="B108" s="1065"/>
      <c r="C108" s="1065"/>
      <c r="D108" s="137"/>
      <c r="E108" s="1064"/>
      <c r="F108" s="1064"/>
      <c r="G108" s="1064"/>
      <c r="M108" s="328">
        <v>1</v>
      </c>
      <c r="N108" s="19" t="s">
        <v>297</v>
      </c>
      <c r="O108" s="1066" t="e">
        <f>IRR(O102:AL102)</f>
        <v>#VALUE!</v>
      </c>
      <c r="P108" s="138"/>
      <c r="AJ108" s="766"/>
      <c r="AK108" s="766"/>
      <c r="AL108" s="766"/>
      <c r="AN108" s="1060"/>
    </row>
    <row r="109" spans="1:41" s="19" customFormat="1" ht="20.100000000000001" customHeight="1">
      <c r="B109" s="761"/>
      <c r="C109" s="1065"/>
      <c r="D109" s="137"/>
      <c r="M109" s="1067">
        <v>2</v>
      </c>
      <c r="N109" s="19" t="s">
        <v>299</v>
      </c>
      <c r="O109" s="1066" t="e">
        <f>IRR(O103:AL103)</f>
        <v>#VALUE!</v>
      </c>
      <c r="P109" s="1068"/>
      <c r="AJ109" s="766"/>
      <c r="AK109" s="766"/>
      <c r="AL109" s="766"/>
    </row>
    <row r="110" spans="1:41" s="17" customFormat="1">
      <c r="A110" s="38"/>
      <c r="B110" s="32"/>
      <c r="C110" s="32"/>
      <c r="D110" s="59"/>
      <c r="M110" s="41"/>
      <c r="O110" s="198"/>
      <c r="P110" s="144"/>
    </row>
    <row r="111" spans="1:41" s="17" customFormat="1">
      <c r="B111" s="52"/>
      <c r="C111" s="38"/>
      <c r="D111" s="38"/>
      <c r="N111" s="66"/>
      <c r="O111" s="199"/>
      <c r="P111" s="199"/>
      <c r="Q111" s="107"/>
      <c r="R111" s="107"/>
      <c r="S111" s="107"/>
      <c r="T111" s="107"/>
      <c r="U111" s="107"/>
      <c r="V111" s="107"/>
      <c r="W111" s="107"/>
      <c r="X111" s="107"/>
      <c r="Y111" s="107"/>
      <c r="Z111" s="107"/>
      <c r="AA111" s="107"/>
      <c r="AB111" s="107"/>
      <c r="AC111" s="107"/>
      <c r="AD111" s="107"/>
      <c r="AE111" s="107"/>
      <c r="AF111" s="107"/>
      <c r="AG111" s="107"/>
      <c r="AH111" s="107"/>
      <c r="AI111" s="107"/>
      <c r="AJ111" s="107"/>
      <c r="AK111" s="107"/>
      <c r="AL111" s="107"/>
    </row>
    <row r="112" spans="1:41" s="17" customFormat="1">
      <c r="A112" s="38"/>
      <c r="B112" s="52"/>
      <c r="C112" s="38"/>
      <c r="D112" s="38"/>
      <c r="O112" s="200"/>
      <c r="P112" s="200"/>
      <c r="Q112" s="39"/>
      <c r="R112" s="39"/>
      <c r="S112" s="39"/>
      <c r="T112" s="39"/>
      <c r="U112" s="39"/>
      <c r="V112" s="39"/>
      <c r="W112" s="39"/>
      <c r="X112" s="39"/>
      <c r="Y112" s="39"/>
      <c r="Z112" s="39"/>
      <c r="AA112" s="39"/>
      <c r="AB112" s="39"/>
      <c r="AC112" s="39"/>
      <c r="AD112" s="39"/>
      <c r="AE112" s="39"/>
      <c r="AF112" s="39"/>
      <c r="AG112" s="39"/>
      <c r="AH112" s="39"/>
      <c r="AI112" s="39"/>
      <c r="AJ112" s="39"/>
      <c r="AK112" s="39"/>
      <c r="AL112" s="39"/>
    </row>
  </sheetData>
  <mergeCells count="8">
    <mergeCell ref="H57:I57"/>
    <mergeCell ref="H71:I71"/>
    <mergeCell ref="A5:E5"/>
    <mergeCell ref="A6:E6"/>
    <mergeCell ref="A7:E7"/>
    <mergeCell ref="A8:E8"/>
    <mergeCell ref="E22:E23"/>
    <mergeCell ref="E25:E29"/>
  </mergeCells>
  <hyperlinks>
    <hyperlink ref="AG66" r:id="rId1" display="=@if(+N10*$K$11*$K$12&gt;0,n10*$K$11*$K$12,0)"/>
    <hyperlink ref="AJ66" r:id="rId2" display="=@if(+N10*$K$11*$K$12&gt;0,n10*$K$11*$K$12,0)"/>
    <hyperlink ref="AK66" r:id="rId3" display="=@if(+N10*$K$11*$K$12&gt;0,n10*$K$11*$K$12,0)"/>
    <hyperlink ref="AL66" r:id="rId4" display="=@if(+N10*$K$11*$K$12&gt;0,n10*$K$11*$K$12,0)"/>
  </hyperlinks>
  <printOptions horizontalCentered="1" verticalCentered="1"/>
  <pageMargins left="0.11811023622047245" right="0.11811023622047245" top="0.35433070866141736" bottom="0.19685039370078741" header="0.31496062992125984" footer="0.31496062992125984"/>
  <pageSetup paperSize="9" scale="77"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Y112"/>
  <sheetViews>
    <sheetView showZeros="0" topLeftCell="A31" workbookViewId="0">
      <selection activeCell="J38" sqref="J38"/>
    </sheetView>
  </sheetViews>
  <sheetFormatPr defaultColWidth="10.1796875" defaultRowHeight="15"/>
  <cols>
    <col min="1" max="1" width="5.54296875" style="42" customWidth="1"/>
    <col min="2" max="2" width="36.08984375" style="42" customWidth="1"/>
    <col min="3" max="3" width="10" style="42" customWidth="1"/>
    <col min="4" max="4" width="11.90625" style="42" customWidth="1"/>
    <col min="5" max="5" width="21.1796875" style="42" customWidth="1"/>
    <col min="6" max="6" width="7.36328125" style="383" customWidth="1"/>
    <col min="7" max="7" width="10.453125" style="42" customWidth="1"/>
    <col min="8" max="8" width="11.6328125" style="42" customWidth="1"/>
    <col min="9" max="9" width="9" style="42" customWidth="1"/>
    <col min="10" max="10" width="8" style="42" customWidth="1"/>
    <col min="11" max="15" width="10.1796875" style="42"/>
    <col min="16" max="16" width="11.54296875" style="42" customWidth="1"/>
    <col min="17" max="16384" width="10.1796875" style="42"/>
  </cols>
  <sheetData>
    <row r="4" spans="1:36" ht="15.6">
      <c r="D4" s="43" t="s">
        <v>322</v>
      </c>
      <c r="E4" s="43"/>
      <c r="F4" s="413"/>
    </row>
    <row r="5" spans="1:36" s="219" customFormat="1" ht="21" customHeight="1">
      <c r="A5" s="1692" t="s">
        <v>81</v>
      </c>
      <c r="B5" s="1692"/>
      <c r="C5" s="1692"/>
      <c r="D5" s="1692"/>
      <c r="E5" s="1692"/>
      <c r="F5" s="414"/>
    </row>
    <row r="6" spans="1:36" s="219" customFormat="1" ht="21.75" customHeight="1">
      <c r="A6" s="1693" t="s">
        <v>509</v>
      </c>
      <c r="B6" s="1693"/>
      <c r="C6" s="1693"/>
      <c r="D6" s="1693"/>
      <c r="E6" s="1693"/>
      <c r="F6" s="415"/>
    </row>
    <row r="7" spans="1:36" s="219" customFormat="1" ht="22.5" customHeight="1">
      <c r="A7" s="1694" t="s">
        <v>989</v>
      </c>
      <c r="B7" s="1694"/>
      <c r="C7" s="1694"/>
      <c r="D7" s="1694"/>
      <c r="E7" s="1694"/>
      <c r="F7" s="414"/>
    </row>
    <row r="8" spans="1:36" ht="18" customHeight="1">
      <c r="A8" s="1695" t="s">
        <v>222</v>
      </c>
      <c r="B8" s="1695"/>
      <c r="C8" s="1695"/>
      <c r="D8" s="1695"/>
      <c r="E8" s="1695"/>
    </row>
    <row r="9" spans="1:36" s="150" customFormat="1" ht="21" customHeight="1">
      <c r="B9" s="145"/>
      <c r="C9" s="145"/>
      <c r="D9" s="182" t="str">
        <f>'Capcost Tall '!O4</f>
        <v>Base date: 3rd Qtr 2021</v>
      </c>
      <c r="E9" s="145"/>
      <c r="F9" s="210"/>
    </row>
    <row r="10" spans="1:36" s="150" customFormat="1" ht="18" customHeight="1">
      <c r="A10" s="141" t="s">
        <v>9</v>
      </c>
      <c r="B10" s="1043" t="s">
        <v>223</v>
      </c>
      <c r="C10" s="141" t="s">
        <v>2</v>
      </c>
      <c r="D10" s="209" t="s">
        <v>584</v>
      </c>
      <c r="E10" s="786" t="s">
        <v>603</v>
      </c>
      <c r="F10" s="410"/>
      <c r="T10" s="151"/>
      <c r="U10" s="152"/>
      <c r="X10" s="152"/>
      <c r="Z10" s="151"/>
      <c r="AA10" s="152"/>
      <c r="AD10" s="152"/>
      <c r="AG10" s="150" t="s">
        <v>225</v>
      </c>
      <c r="AI10" s="150" t="s">
        <v>226</v>
      </c>
      <c r="AJ10" s="152" t="e">
        <f>#REF!</f>
        <v>#REF!</v>
      </c>
    </row>
    <row r="11" spans="1:36" ht="33" customHeight="1">
      <c r="A11" s="135"/>
      <c r="B11" s="720" t="s">
        <v>1030</v>
      </c>
      <c r="C11" s="1044" t="s">
        <v>4</v>
      </c>
      <c r="D11" s="471">
        <f>C42</f>
        <v>650000</v>
      </c>
      <c r="E11" s="720" t="str">
        <f>'TE Tall 5'!E11</f>
        <v>Considering 65% yield of 1 Mt coal charge</v>
      </c>
      <c r="F11" s="108"/>
      <c r="H11" s="150"/>
      <c r="M11" s="46"/>
      <c r="N11" s="46"/>
      <c r="T11" s="46"/>
      <c r="U11" s="47"/>
      <c r="X11" s="47"/>
      <c r="Z11" s="46"/>
      <c r="AA11" s="47"/>
      <c r="AD11" s="47"/>
      <c r="AG11" s="42" t="s">
        <v>227</v>
      </c>
      <c r="AI11" s="42" t="s">
        <v>226</v>
      </c>
      <c r="AJ11" s="47">
        <v>8.7878353006035521</v>
      </c>
    </row>
    <row r="12" spans="1:36" ht="33.75" customHeight="1">
      <c r="A12" s="135"/>
      <c r="B12" s="718" t="s">
        <v>1050</v>
      </c>
      <c r="C12" s="406" t="s">
        <v>591</v>
      </c>
      <c r="D12" s="472">
        <f>320*C40</f>
        <v>320000000</v>
      </c>
      <c r="E12" s="9"/>
      <c r="F12" s="108"/>
      <c r="M12" s="46"/>
      <c r="N12" s="46"/>
      <c r="T12" s="46"/>
      <c r="U12" s="47"/>
      <c r="X12" s="47"/>
      <c r="Z12" s="46"/>
      <c r="AA12" s="47"/>
      <c r="AD12" s="47"/>
      <c r="AJ12" s="47"/>
    </row>
    <row r="13" spans="1:36" ht="34.5" customHeight="1">
      <c r="A13" s="135"/>
      <c r="B13" s="720" t="s">
        <v>1051</v>
      </c>
      <c r="C13" s="406" t="s">
        <v>4</v>
      </c>
      <c r="D13" s="472">
        <f>C46</f>
        <v>32000</v>
      </c>
      <c r="E13" s="296"/>
      <c r="F13" s="391"/>
      <c r="M13" s="46"/>
      <c r="N13" s="46"/>
      <c r="T13" s="46"/>
      <c r="U13" s="47"/>
      <c r="X13" s="47"/>
      <c r="Z13" s="46"/>
      <c r="AA13" s="47"/>
      <c r="AD13" s="47"/>
      <c r="AJ13" s="47"/>
    </row>
    <row r="14" spans="1:36" ht="31.5" customHeight="1">
      <c r="A14" s="135"/>
      <c r="B14" s="720" t="s">
        <v>1031</v>
      </c>
      <c r="C14" s="406" t="s">
        <v>4</v>
      </c>
      <c r="D14" s="472">
        <f>52*24*345</f>
        <v>430560</v>
      </c>
      <c r="E14" s="296"/>
      <c r="F14" s="391"/>
      <c r="G14" s="509"/>
      <c r="H14" s="509"/>
      <c r="I14" s="510"/>
      <c r="J14" s="141"/>
      <c r="K14" s="1045"/>
      <c r="M14" s="46"/>
      <c r="N14" s="46"/>
      <c r="T14" s="46"/>
      <c r="U14" s="47"/>
      <c r="X14" s="47"/>
      <c r="Z14" s="46"/>
      <c r="AA14" s="47"/>
      <c r="AD14" s="47"/>
      <c r="AJ14" s="47"/>
    </row>
    <row r="15" spans="1:36" ht="34.5" customHeight="1">
      <c r="A15" s="135"/>
      <c r="B15" s="1046" t="s">
        <v>1032</v>
      </c>
      <c r="C15" s="135" t="s">
        <v>600</v>
      </c>
      <c r="D15" s="150">
        <f>5*10^3*24*345</f>
        <v>41400000</v>
      </c>
      <c r="E15" s="296"/>
      <c r="F15" s="391"/>
      <c r="G15" s="630"/>
      <c r="H15" s="175"/>
      <c r="I15" s="149"/>
      <c r="J15" s="512"/>
      <c r="K15" s="1045"/>
      <c r="M15" s="46"/>
      <c r="N15" s="46"/>
      <c r="T15" s="46"/>
      <c r="U15" s="47"/>
      <c r="X15" s="47"/>
      <c r="Z15" s="46"/>
      <c r="AA15" s="47"/>
      <c r="AD15" s="47"/>
      <c r="AJ15" s="47"/>
    </row>
    <row r="16" spans="1:36" ht="21.75" customHeight="1">
      <c r="A16" s="135"/>
      <c r="B16" s="1046" t="s">
        <v>1033</v>
      </c>
      <c r="C16" s="5" t="s">
        <v>4</v>
      </c>
      <c r="D16" s="471">
        <f>C43</f>
        <v>110000</v>
      </c>
      <c r="E16" s="296"/>
      <c r="F16" s="391"/>
      <c r="K16" s="1045"/>
      <c r="M16" s="46"/>
      <c r="N16" s="46"/>
      <c r="T16" s="46"/>
      <c r="U16" s="47"/>
      <c r="X16" s="47"/>
      <c r="Z16" s="46"/>
      <c r="AA16" s="47"/>
      <c r="AD16" s="47"/>
      <c r="AJ16" s="47"/>
    </row>
    <row r="17" spans="1:36" ht="77.25" customHeight="1">
      <c r="A17" s="135"/>
      <c r="B17" s="720" t="s">
        <v>751</v>
      </c>
      <c r="C17" s="1044" t="s">
        <v>229</v>
      </c>
      <c r="D17" s="631">
        <f>'Coal &amp; Coke Data'!G18</f>
        <v>25545.454545454544</v>
      </c>
      <c r="E17" s="720" t="s">
        <v>1461</v>
      </c>
      <c r="F17" s="1047"/>
      <c r="G17" s="1048"/>
      <c r="K17" s="1045"/>
      <c r="M17" s="46"/>
      <c r="N17" s="46"/>
      <c r="T17" s="46"/>
      <c r="U17" s="47"/>
      <c r="X17" s="47"/>
      <c r="Z17" s="46"/>
      <c r="AA17" s="47"/>
      <c r="AD17" s="47"/>
      <c r="AJ17" s="47"/>
    </row>
    <row r="18" spans="1:36" ht="98.25" customHeight="1">
      <c r="A18" s="135"/>
      <c r="B18" s="720" t="s">
        <v>585</v>
      </c>
      <c r="C18" s="1044" t="s">
        <v>229</v>
      </c>
      <c r="D18" s="471">
        <f>D17*70/67</f>
        <v>26689.280868385344</v>
      </c>
      <c r="E18" s="720" t="s">
        <v>1464</v>
      </c>
      <c r="F18" s="108"/>
      <c r="H18" s="156"/>
      <c r="I18" s="156"/>
      <c r="K18" s="215"/>
      <c r="M18" s="46"/>
      <c r="N18" s="46"/>
      <c r="O18" s="49"/>
      <c r="T18" s="46"/>
      <c r="W18" s="47"/>
      <c r="X18" s="47"/>
      <c r="Z18" s="46"/>
      <c r="AB18" s="47"/>
      <c r="AC18" s="47"/>
      <c r="AD18" s="47"/>
    </row>
    <row r="19" spans="1:36" ht="40.5" customHeight="1">
      <c r="A19" s="135"/>
      <c r="B19" s="420" t="s">
        <v>593</v>
      </c>
      <c r="C19" s="135" t="s">
        <v>4</v>
      </c>
      <c r="D19" s="471">
        <f>C40*1.02</f>
        <v>1020000</v>
      </c>
      <c r="E19" s="709"/>
      <c r="F19" s="108"/>
      <c r="G19" s="184"/>
      <c r="H19" s="471"/>
      <c r="I19" s="401"/>
      <c r="J19" s="402"/>
      <c r="K19" s="400"/>
      <c r="L19" s="400"/>
      <c r="M19" s="403"/>
      <c r="N19" s="403"/>
      <c r="O19" s="400"/>
      <c r="T19" s="46"/>
      <c r="W19" s="47"/>
      <c r="X19" s="47"/>
      <c r="Z19" s="46"/>
      <c r="AB19" s="47"/>
      <c r="AC19" s="47"/>
      <c r="AD19" s="47"/>
    </row>
    <row r="20" spans="1:36" ht="56.25" customHeight="1">
      <c r="A20" s="135"/>
      <c r="B20" s="720" t="s">
        <v>1462</v>
      </c>
      <c r="C20" s="406" t="s">
        <v>586</v>
      </c>
      <c r="D20" s="631">
        <f>'Coal &amp; Coke Data'!J15</f>
        <v>11019.885058333333</v>
      </c>
      <c r="E20" s="1049" t="s">
        <v>1465</v>
      </c>
      <c r="F20" s="108"/>
      <c r="G20" s="136"/>
      <c r="H20" s="1216"/>
      <c r="I20" s="155"/>
      <c r="J20" s="156"/>
      <c r="K20" s="392"/>
      <c r="L20" s="392"/>
      <c r="M20" s="136"/>
      <c r="N20" s="392"/>
      <c r="O20" s="393"/>
      <c r="T20" s="46"/>
      <c r="W20" s="47"/>
      <c r="X20" s="47"/>
      <c r="Z20" s="46"/>
      <c r="AB20" s="47"/>
      <c r="AC20" s="47"/>
      <c r="AD20" s="47"/>
    </row>
    <row r="21" spans="1:36" ht="39" customHeight="1">
      <c r="A21" s="135"/>
      <c r="B21" s="719" t="s">
        <v>587</v>
      </c>
      <c r="C21" s="406" t="s">
        <v>589</v>
      </c>
      <c r="D21" s="471">
        <f>D19*D20/D11</f>
        <v>17292.742706923076</v>
      </c>
      <c r="E21" s="1050"/>
      <c r="F21" s="108"/>
      <c r="G21" s="398"/>
      <c r="H21" s="472"/>
      <c r="I21" s="396"/>
      <c r="J21" s="397"/>
      <c r="K21" s="395"/>
      <c r="L21" s="395"/>
      <c r="M21" s="398"/>
      <c r="N21" s="395"/>
      <c r="O21" s="399"/>
      <c r="T21" s="46"/>
      <c r="W21" s="47"/>
      <c r="X21" s="47"/>
      <c r="Z21" s="46"/>
      <c r="AB21" s="47"/>
      <c r="AC21" s="47"/>
      <c r="AD21" s="47"/>
    </row>
    <row r="22" spans="1:36" ht="38.25" customHeight="1">
      <c r="A22" s="135"/>
      <c r="B22" s="420" t="s">
        <v>1469</v>
      </c>
      <c r="C22" s="406" t="s">
        <v>589</v>
      </c>
      <c r="D22" s="533">
        <f>2396.91+519.18+250.6</f>
        <v>3166.6899999999996</v>
      </c>
      <c r="E22" s="1748" t="s">
        <v>1468</v>
      </c>
      <c r="F22" s="108"/>
      <c r="G22" s="409"/>
      <c r="H22" s="394"/>
      <c r="I22" s="396"/>
      <c r="J22" s="397"/>
      <c r="K22" s="395"/>
      <c r="L22" s="395"/>
      <c r="M22" s="398"/>
      <c r="N22" s="395"/>
      <c r="O22" s="399"/>
      <c r="P22" s="407"/>
      <c r="T22" s="46"/>
      <c r="W22" s="47"/>
      <c r="X22" s="47"/>
      <c r="Z22" s="46"/>
      <c r="AB22" s="47"/>
      <c r="AC22" s="47"/>
      <c r="AD22" s="47"/>
    </row>
    <row r="23" spans="1:36" ht="42.75" customHeight="1">
      <c r="A23" s="135"/>
      <c r="B23" s="420" t="s">
        <v>772</v>
      </c>
      <c r="C23" s="406" t="s">
        <v>589</v>
      </c>
      <c r="D23" s="532">
        <f>'Stamp TE 1'!G19</f>
        <v>1099.32</v>
      </c>
      <c r="E23" s="1748"/>
      <c r="F23" s="108"/>
      <c r="I23" s="397"/>
      <c r="J23" s="398"/>
      <c r="K23" s="213"/>
      <c r="L23" s="404"/>
      <c r="M23" s="136"/>
      <c r="N23" s="392"/>
      <c r="O23" s="393"/>
      <c r="T23" s="46"/>
      <c r="W23" s="47"/>
      <c r="X23" s="47"/>
      <c r="Z23" s="46"/>
      <c r="AB23" s="47"/>
      <c r="AC23" s="47"/>
      <c r="AD23" s="47"/>
    </row>
    <row r="24" spans="1:36" ht="39" customHeight="1">
      <c r="A24" s="135"/>
      <c r="B24" s="420" t="s">
        <v>590</v>
      </c>
      <c r="C24" s="406" t="s">
        <v>589</v>
      </c>
      <c r="D24" s="472">
        <f>D21+D22+D23</f>
        <v>21558.752706923075</v>
      </c>
      <c r="E24" s="709"/>
      <c r="F24" s="108"/>
      <c r="I24" s="397"/>
      <c r="J24" s="398"/>
      <c r="K24" s="213"/>
      <c r="L24" s="404"/>
      <c r="M24" s="136"/>
      <c r="N24" s="392"/>
      <c r="O24" s="393"/>
      <c r="T24" s="46"/>
      <c r="W24" s="47"/>
      <c r="X24" s="47"/>
      <c r="Z24" s="46"/>
      <c r="AB24" s="47"/>
      <c r="AC24" s="47"/>
      <c r="AD24" s="47"/>
    </row>
    <row r="25" spans="1:36" ht="33.75" customHeight="1">
      <c r="A25" s="135"/>
      <c r="B25" s="788" t="s">
        <v>597</v>
      </c>
      <c r="C25" s="135" t="s">
        <v>598</v>
      </c>
      <c r="D25" s="532">
        <f>'Stamp TE 1'!G22</f>
        <v>1338</v>
      </c>
      <c r="E25" s="1749" t="str">
        <f>E22</f>
        <v>As per Std Cost RSP 2021-22</v>
      </c>
      <c r="F25" s="108"/>
      <c r="K25" s="392"/>
      <c r="L25" s="392"/>
      <c r="M25" s="136"/>
      <c r="N25" s="392"/>
      <c r="O25" s="393"/>
      <c r="P25" s="405"/>
      <c r="T25" s="46"/>
      <c r="W25" s="47"/>
      <c r="X25" s="47"/>
      <c r="Z25" s="46"/>
      <c r="AB25" s="47"/>
      <c r="AC25" s="47"/>
      <c r="AD25" s="47"/>
    </row>
    <row r="26" spans="1:36" ht="30" customHeight="1">
      <c r="A26" s="135"/>
      <c r="B26" s="1046" t="s">
        <v>599</v>
      </c>
      <c r="C26" s="135" t="s">
        <v>598</v>
      </c>
      <c r="D26" s="532">
        <f>D25</f>
        <v>1338</v>
      </c>
      <c r="E26" s="1750"/>
      <c r="F26" s="108"/>
      <c r="G26" s="136"/>
      <c r="H26" s="154"/>
      <c r="I26" s="155"/>
      <c r="J26" s="156"/>
      <c r="K26" s="392"/>
      <c r="L26" s="392"/>
      <c r="M26" s="136"/>
      <c r="N26" s="392"/>
      <c r="O26" s="393"/>
      <c r="P26" s="405"/>
      <c r="T26" s="46"/>
      <c r="W26" s="47"/>
      <c r="X26" s="47"/>
      <c r="Z26" s="46"/>
      <c r="AB26" s="47"/>
      <c r="AC26" s="47"/>
      <c r="AD26" s="47"/>
    </row>
    <row r="27" spans="1:36" ht="27.75" customHeight="1">
      <c r="A27" s="135"/>
      <c r="B27" s="1051" t="s">
        <v>609</v>
      </c>
      <c r="C27" s="135" t="s">
        <v>229</v>
      </c>
      <c r="D27" s="532">
        <f>'Stamp TE 1'!G28</f>
        <v>1218</v>
      </c>
      <c r="E27" s="1750"/>
      <c r="F27" s="108"/>
      <c r="G27" s="136"/>
      <c r="H27" s="154"/>
      <c r="I27" s="155"/>
      <c r="J27" s="156"/>
      <c r="K27" s="392"/>
      <c r="L27" s="392"/>
      <c r="M27" s="136"/>
      <c r="N27" s="392"/>
      <c r="O27" s="393"/>
      <c r="P27" s="405"/>
      <c r="T27" s="46"/>
      <c r="W27" s="47"/>
      <c r="X27" s="47"/>
      <c r="Z27" s="46"/>
      <c r="AB27" s="47"/>
      <c r="AC27" s="47"/>
      <c r="AD27" s="47"/>
    </row>
    <row r="28" spans="1:36" ht="27.75" customHeight="1">
      <c r="A28" s="135"/>
      <c r="B28" s="1051" t="s">
        <v>1034</v>
      </c>
      <c r="C28" s="135" t="s">
        <v>339</v>
      </c>
      <c r="D28" s="534">
        <f>'Stamp TE 1'!G26</f>
        <v>6.6369999999999996</v>
      </c>
      <c r="E28" s="1750"/>
      <c r="F28" s="108"/>
      <c r="G28" s="136"/>
      <c r="H28" s="154"/>
      <c r="I28" s="155"/>
      <c r="J28" s="156"/>
      <c r="K28" s="392"/>
      <c r="L28" s="392"/>
      <c r="M28" s="136"/>
      <c r="N28" s="392"/>
      <c r="O28" s="393"/>
      <c r="P28" s="405"/>
      <c r="T28" s="46"/>
      <c r="W28" s="47"/>
      <c r="X28" s="47"/>
      <c r="Z28" s="46"/>
      <c r="AB28" s="47"/>
      <c r="AC28" s="47"/>
      <c r="AD28" s="47"/>
    </row>
    <row r="29" spans="1:36" ht="27" customHeight="1">
      <c r="A29" s="135"/>
      <c r="B29" s="1046" t="s">
        <v>1035</v>
      </c>
      <c r="C29" s="5" t="s">
        <v>229</v>
      </c>
      <c r="D29" s="631">
        <f>'Stamp TE 1'!G30</f>
        <v>11488</v>
      </c>
      <c r="E29" s="1751"/>
      <c r="F29" s="108"/>
      <c r="G29" s="136"/>
      <c r="H29" s="154"/>
      <c r="I29" s="155"/>
      <c r="J29" s="156"/>
      <c r="K29" s="392"/>
      <c r="L29" s="392"/>
      <c r="M29" s="136"/>
      <c r="N29" s="392"/>
      <c r="O29" s="393"/>
      <c r="P29" s="405"/>
      <c r="T29" s="46"/>
      <c r="W29" s="47"/>
      <c r="X29" s="47"/>
      <c r="Z29" s="46"/>
      <c r="AB29" s="47"/>
      <c r="AC29" s="47"/>
      <c r="AD29" s="47"/>
    </row>
    <row r="30" spans="1:36" s="150" customFormat="1" ht="21.75" customHeight="1">
      <c r="A30" s="141" t="s">
        <v>10</v>
      </c>
      <c r="B30" s="1043" t="s">
        <v>1036</v>
      </c>
      <c r="C30" s="149"/>
      <c r="D30" s="147"/>
      <c r="E30" s="473"/>
      <c r="F30" s="210"/>
      <c r="H30" s="158"/>
      <c r="T30" s="151"/>
      <c r="W30" s="152"/>
      <c r="X30" s="152"/>
      <c r="Z30" s="151"/>
      <c r="AB30" s="152"/>
      <c r="AC30" s="152"/>
      <c r="AD30" s="152"/>
    </row>
    <row r="31" spans="1:36" ht="37.5" customHeight="1">
      <c r="A31" s="135"/>
      <c r="B31" s="1052" t="s">
        <v>1037</v>
      </c>
      <c r="C31" s="135" t="s">
        <v>272</v>
      </c>
      <c r="D31" s="174">
        <f>D11*D18/10^7</f>
        <v>1734.8032564450473</v>
      </c>
      <c r="E31" s="474"/>
      <c r="T31" s="46"/>
      <c r="W31" s="47"/>
      <c r="X31" s="47"/>
      <c r="Z31" s="46"/>
      <c r="AB31" s="47"/>
      <c r="AC31" s="47"/>
      <c r="AD31" s="47"/>
    </row>
    <row r="32" spans="1:36" ht="26.25" customHeight="1">
      <c r="A32" s="135"/>
      <c r="B32" s="1053" t="s">
        <v>597</v>
      </c>
      <c r="C32" s="135" t="s">
        <v>272</v>
      </c>
      <c r="D32" s="174">
        <f>D12*C44/10^6*D25/10^7</f>
        <v>179.8272</v>
      </c>
      <c r="E32" s="474"/>
      <c r="T32" s="46"/>
      <c r="W32" s="47"/>
      <c r="X32" s="47"/>
      <c r="Z32" s="46"/>
      <c r="AB32" s="47"/>
      <c r="AC32" s="47"/>
      <c r="AD32" s="47"/>
    </row>
    <row r="33" spans="1:30" ht="26.25" customHeight="1">
      <c r="A33" s="135"/>
      <c r="B33" s="1053" t="s">
        <v>1038</v>
      </c>
      <c r="C33" s="135" t="s">
        <v>272</v>
      </c>
      <c r="D33" s="174">
        <f>D13*C45*D26/10^7</f>
        <v>36.821759999999998</v>
      </c>
      <c r="E33" s="474"/>
      <c r="T33" s="46"/>
      <c r="W33" s="47"/>
      <c r="X33" s="47"/>
      <c r="Z33" s="46"/>
      <c r="AB33" s="47"/>
      <c r="AC33" s="47"/>
      <c r="AD33" s="47"/>
    </row>
    <row r="34" spans="1:30" s="150" customFormat="1" ht="35.25" customHeight="1">
      <c r="A34" s="135"/>
      <c r="B34" s="1046" t="s">
        <v>1039</v>
      </c>
      <c r="C34" s="5" t="s">
        <v>226</v>
      </c>
      <c r="D34" s="174">
        <f>D15*D28/10^7</f>
        <v>27.477180000000001</v>
      </c>
      <c r="E34" s="475"/>
      <c r="F34" s="210"/>
      <c r="T34" s="151"/>
      <c r="W34" s="152"/>
      <c r="X34" s="152"/>
      <c r="Z34" s="151"/>
      <c r="AB34" s="152"/>
      <c r="AC34" s="152"/>
      <c r="AD34" s="152"/>
    </row>
    <row r="35" spans="1:30" s="150" customFormat="1" ht="35.25" customHeight="1">
      <c r="A35" s="135"/>
      <c r="B35" s="1046" t="s">
        <v>1040</v>
      </c>
      <c r="C35" s="5" t="s">
        <v>226</v>
      </c>
      <c r="D35" s="174">
        <f>D14*D27/10^7</f>
        <v>52.442208000000001</v>
      </c>
      <c r="E35" s="475"/>
      <c r="F35" s="210"/>
      <c r="T35" s="151"/>
      <c r="W35" s="152"/>
      <c r="X35" s="152"/>
      <c r="Z35" s="151"/>
      <c r="AB35" s="152"/>
      <c r="AC35" s="152"/>
      <c r="AD35" s="152"/>
    </row>
    <row r="36" spans="1:30" s="150" customFormat="1" ht="22.5" customHeight="1">
      <c r="A36" s="135"/>
      <c r="B36" s="1046" t="s">
        <v>1041</v>
      </c>
      <c r="C36" s="5" t="s">
        <v>226</v>
      </c>
      <c r="D36" s="174">
        <f>D16*D29/10^7</f>
        <v>126.36799999999999</v>
      </c>
      <c r="E36" s="216"/>
      <c r="F36" s="217"/>
      <c r="T36" s="151"/>
      <c r="W36" s="152"/>
      <c r="X36" s="152"/>
      <c r="Z36" s="151"/>
      <c r="AB36" s="152"/>
      <c r="AC36" s="152"/>
      <c r="AD36" s="152"/>
    </row>
    <row r="37" spans="1:30" s="150" customFormat="1" ht="21" customHeight="1">
      <c r="A37" s="135"/>
      <c r="B37" s="1046" t="s">
        <v>1042</v>
      </c>
      <c r="C37" s="135" t="s">
        <v>226</v>
      </c>
      <c r="D37" s="592">
        <f>-D11*D24/10^7</f>
        <v>-1401.3189259499998</v>
      </c>
      <c r="E37" s="1054">
        <f>(-D37-D32-D33-D34-D35)*10^7/D11</f>
        <v>16996.162737692306</v>
      </c>
      <c r="F37" s="208"/>
      <c r="G37" s="208"/>
      <c r="H37" s="208"/>
      <c r="M37" s="151"/>
      <c r="N37" s="151"/>
      <c r="O37" s="161"/>
      <c r="T37" s="151"/>
      <c r="W37" s="152"/>
      <c r="X37" s="152"/>
      <c r="Z37" s="151"/>
      <c r="AB37" s="152"/>
      <c r="AC37" s="152"/>
      <c r="AD37" s="152"/>
    </row>
    <row r="38" spans="1:30" ht="48.75" customHeight="1">
      <c r="A38" s="296"/>
      <c r="B38" s="1055" t="s">
        <v>1043</v>
      </c>
      <c r="C38" s="143" t="s">
        <v>226</v>
      </c>
      <c r="D38" s="593">
        <f>SUM(D31:D37)</f>
        <v>756.4206784950477</v>
      </c>
      <c r="E38" s="477"/>
      <c r="F38" s="419"/>
      <c r="T38" s="46"/>
      <c r="W38" s="47"/>
      <c r="X38" s="47"/>
      <c r="Z38" s="46"/>
      <c r="AB38" s="47"/>
      <c r="AC38" s="47"/>
      <c r="AD38" s="47"/>
    </row>
    <row r="39" spans="1:30" s="150" customFormat="1" ht="30">
      <c r="B39" s="1056"/>
      <c r="E39" s="1057" t="s">
        <v>1044</v>
      </c>
      <c r="F39" s="212"/>
      <c r="G39" s="161">
        <f>E37-G41</f>
        <v>-3223.0441196331376</v>
      </c>
      <c r="T39" s="151"/>
      <c r="W39" s="152"/>
      <c r="X39" s="152"/>
      <c r="Z39" s="151"/>
      <c r="AB39" s="152"/>
      <c r="AC39" s="152"/>
      <c r="AD39" s="152"/>
    </row>
    <row r="40" spans="1:30">
      <c r="B40" s="45" t="s">
        <v>588</v>
      </c>
      <c r="C40" s="42">
        <f>1*10^6</f>
        <v>1000000</v>
      </c>
    </row>
    <row r="41" spans="1:30" s="150" customFormat="1" ht="30">
      <c r="B41" s="145" t="s">
        <v>1045</v>
      </c>
      <c r="C41" s="150">
        <f>C40*0.76</f>
        <v>760000</v>
      </c>
      <c r="E41" s="1057" t="s">
        <v>1046</v>
      </c>
      <c r="F41" s="210"/>
      <c r="G41" s="161">
        <f>D21*C41/C42</f>
        <v>20219.206857325444</v>
      </c>
    </row>
    <row r="42" spans="1:30">
      <c r="B42" s="45" t="s">
        <v>1047</v>
      </c>
      <c r="C42" s="390">
        <f>C40*0.65</f>
        <v>650000</v>
      </c>
    </row>
    <row r="43" spans="1:30">
      <c r="B43" s="45" t="s">
        <v>583</v>
      </c>
      <c r="C43" s="390">
        <f>C41-C42</f>
        <v>110000</v>
      </c>
    </row>
    <row r="44" spans="1:30">
      <c r="B44" s="126" t="s">
        <v>605</v>
      </c>
      <c r="C44" s="390">
        <f>4300*0+4200</f>
        <v>4200</v>
      </c>
      <c r="D44" s="411" t="s">
        <v>604</v>
      </c>
    </row>
    <row r="45" spans="1:30">
      <c r="B45" s="126" t="s">
        <v>610</v>
      </c>
      <c r="C45" s="390">
        <v>8.6</v>
      </c>
      <c r="D45" s="45" t="s">
        <v>611</v>
      </c>
    </row>
    <row r="46" spans="1:30">
      <c r="B46" s="126" t="s">
        <v>739</v>
      </c>
      <c r="C46" s="42">
        <f>C40*0.032</f>
        <v>32000</v>
      </c>
    </row>
    <row r="52" spans="1:77" s="17" customFormat="1">
      <c r="O52" s="114"/>
      <c r="P52" s="114"/>
    </row>
    <row r="53" spans="1:77" s="17" customFormat="1">
      <c r="O53" s="114"/>
      <c r="P53" s="114"/>
    </row>
    <row r="54" spans="1:77" s="17" customFormat="1">
      <c r="O54" s="114"/>
      <c r="P54" s="114"/>
    </row>
    <row r="55" spans="1:77" s="17" customFormat="1">
      <c r="O55" s="114"/>
      <c r="P55" s="114"/>
    </row>
    <row r="56" spans="1:77" s="17" customFormat="1" ht="20.100000000000001" customHeight="1">
      <c r="A56" s="38"/>
      <c r="B56" s="50" t="s">
        <v>230</v>
      </c>
      <c r="H56" s="38"/>
      <c r="N56" s="129" t="s">
        <v>379</v>
      </c>
      <c r="O56" s="114"/>
      <c r="P56" s="114"/>
      <c r="R56" s="51"/>
      <c r="X56" s="50" t="s">
        <v>306</v>
      </c>
      <c r="AH56" s="18" t="s">
        <v>323</v>
      </c>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row>
    <row r="57" spans="1:77" s="17" customFormat="1" ht="20.100000000000001" customHeight="1">
      <c r="B57" s="52" t="s">
        <v>231</v>
      </c>
      <c r="C57" s="52" t="s">
        <v>93</v>
      </c>
      <c r="D57" s="17" t="s">
        <v>232</v>
      </c>
      <c r="E57" s="32" t="s">
        <v>233</v>
      </c>
      <c r="F57" s="52" t="s">
        <v>95</v>
      </c>
      <c r="G57" s="32" t="s">
        <v>96</v>
      </c>
      <c r="H57" s="1665" t="s">
        <v>234</v>
      </c>
      <c r="I57" s="1665"/>
      <c r="J57" s="52" t="s">
        <v>868</v>
      </c>
      <c r="K57" s="52" t="s">
        <v>235</v>
      </c>
      <c r="L57" s="52"/>
      <c r="N57" s="129" t="str">
        <f>[1]TE!A7</f>
        <v xml:space="preserve">Installation of Tall Coke Oven Battery # 7 at RSP </v>
      </c>
      <c r="O57" s="114"/>
      <c r="P57" s="114"/>
      <c r="AH57" s="18" t="e">
        <f>#REF!</f>
        <v>#REF!</v>
      </c>
      <c r="AO57" s="53"/>
      <c r="AP57" s="54"/>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row>
    <row r="58" spans="1:77" s="17" customFormat="1" ht="20.100000000000001" customHeight="1">
      <c r="A58" s="38"/>
      <c r="B58" s="32"/>
      <c r="C58" s="52" t="s">
        <v>97</v>
      </c>
      <c r="D58" s="17" t="s">
        <v>236</v>
      </c>
      <c r="E58" s="32" t="s">
        <v>237</v>
      </c>
      <c r="F58" s="55" t="s">
        <v>898</v>
      </c>
      <c r="G58" s="32" t="s">
        <v>99</v>
      </c>
      <c r="H58" s="52" t="s">
        <v>94</v>
      </c>
      <c r="I58" s="52" t="s">
        <v>98</v>
      </c>
      <c r="J58" s="52" t="s">
        <v>1048</v>
      </c>
      <c r="K58" s="52" t="s">
        <v>899</v>
      </c>
      <c r="L58" s="35"/>
      <c r="O58" s="186"/>
      <c r="P58" s="186"/>
      <c r="Q58" s="57"/>
      <c r="R58" s="56"/>
      <c r="S58" s="56"/>
      <c r="T58" s="56"/>
      <c r="U58" s="56"/>
      <c r="V58" s="56"/>
      <c r="W58" s="56"/>
      <c r="X58" s="56"/>
      <c r="Y58" s="56"/>
      <c r="Z58" s="56"/>
      <c r="AA58" s="56"/>
      <c r="AB58" s="56"/>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row>
    <row r="59" spans="1:77" s="17" customFormat="1" ht="20.100000000000001" customHeight="1">
      <c r="A59" s="38"/>
      <c r="B59" s="58" t="s">
        <v>87</v>
      </c>
      <c r="C59" s="58" t="s">
        <v>87</v>
      </c>
      <c r="D59" s="58" t="s">
        <v>87</v>
      </c>
      <c r="E59" s="58" t="s">
        <v>87</v>
      </c>
      <c r="F59" s="58" t="s">
        <v>87</v>
      </c>
      <c r="G59" s="58" t="s">
        <v>87</v>
      </c>
      <c r="H59" s="58" t="s">
        <v>87</v>
      </c>
      <c r="I59" s="58" t="s">
        <v>87</v>
      </c>
      <c r="J59" s="58"/>
      <c r="K59" s="58"/>
      <c r="L59" s="59"/>
      <c r="N59" s="60" t="s">
        <v>238</v>
      </c>
      <c r="O59" s="186"/>
      <c r="P59" s="186"/>
      <c r="Q59" s="61"/>
      <c r="R59" s="56"/>
      <c r="S59" s="56"/>
      <c r="T59" s="56"/>
      <c r="U59" s="56"/>
      <c r="V59" s="56"/>
      <c r="W59" s="56"/>
      <c r="X59" s="56"/>
      <c r="Z59" s="56"/>
      <c r="AA59" s="56"/>
      <c r="AB59" s="56"/>
      <c r="AI59" s="60" t="s">
        <v>239</v>
      </c>
      <c r="AO59" s="38"/>
      <c r="AP59" s="62"/>
      <c r="AQ59" s="62"/>
      <c r="AR59" s="62"/>
      <c r="AS59" s="62"/>
      <c r="AT59" s="62"/>
      <c r="AU59" s="62"/>
      <c r="AV59" s="62"/>
      <c r="AW59" s="62"/>
      <c r="AX59" s="62"/>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row>
    <row r="60" spans="1:77" s="17" customFormat="1" ht="20.100000000000001" customHeight="1">
      <c r="A60" s="63"/>
      <c r="B60" s="32"/>
      <c r="C60" s="32"/>
      <c r="E60" s="32"/>
      <c r="F60" s="32"/>
      <c r="G60" s="32"/>
      <c r="H60" s="32"/>
      <c r="I60" s="32"/>
      <c r="J60" s="32"/>
      <c r="K60" s="32"/>
      <c r="L60" s="38"/>
      <c r="N60" s="64" t="s">
        <v>240</v>
      </c>
      <c r="O60" s="187" t="s">
        <v>241</v>
      </c>
      <c r="P60" s="187" t="s">
        <v>242</v>
      </c>
      <c r="Q60" s="65" t="s">
        <v>243</v>
      </c>
      <c r="R60" s="65" t="s">
        <v>244</v>
      </c>
      <c r="S60" s="65" t="s">
        <v>245</v>
      </c>
      <c r="T60" s="65" t="s">
        <v>246</v>
      </c>
      <c r="U60" s="65" t="s">
        <v>247</v>
      </c>
      <c r="V60" s="65" t="s">
        <v>248</v>
      </c>
      <c r="W60" s="65" t="s">
        <v>249</v>
      </c>
      <c r="X60" s="65" t="s">
        <v>250</v>
      </c>
      <c r="Y60" s="65" t="s">
        <v>251</v>
      </c>
      <c r="Z60" s="65" t="s">
        <v>252</v>
      </c>
      <c r="AA60" s="65" t="s">
        <v>253</v>
      </c>
      <c r="AB60" s="65" t="s">
        <v>254</v>
      </c>
      <c r="AC60" s="65" t="s">
        <v>255</v>
      </c>
      <c r="AD60" s="65" t="s">
        <v>256</v>
      </c>
      <c r="AE60" s="65" t="s">
        <v>257</v>
      </c>
      <c r="AF60" s="65" t="s">
        <v>258</v>
      </c>
      <c r="AG60" s="65" t="s">
        <v>259</v>
      </c>
      <c r="AH60" s="65" t="s">
        <v>260</v>
      </c>
      <c r="AI60" s="65" t="s">
        <v>261</v>
      </c>
      <c r="AJ60" s="65" t="s">
        <v>262</v>
      </c>
      <c r="AK60" s="65" t="s">
        <v>305</v>
      </c>
      <c r="AL60" s="65" t="s">
        <v>581</v>
      </c>
      <c r="AN60" s="221" t="s">
        <v>613</v>
      </c>
      <c r="AO60"/>
      <c r="AP60"/>
      <c r="AQ60"/>
      <c r="AR60"/>
      <c r="AS60"/>
      <c r="AT60"/>
      <c r="AU60"/>
      <c r="AV60"/>
      <c r="AW60"/>
      <c r="AX60"/>
      <c r="AY60"/>
      <c r="AZ60"/>
      <c r="BA60"/>
      <c r="BB60"/>
      <c r="BC60"/>
      <c r="BD60"/>
      <c r="BE60"/>
      <c r="BF60"/>
      <c r="BG60"/>
      <c r="BH60"/>
      <c r="BI60"/>
      <c r="BJ60"/>
      <c r="BK60"/>
      <c r="BL60"/>
      <c r="BM60"/>
      <c r="BN60" s="38"/>
      <c r="BO60" s="38"/>
      <c r="BP60" s="38"/>
      <c r="BQ60" s="38"/>
      <c r="BR60" s="38"/>
      <c r="BS60" s="38"/>
      <c r="BT60" s="38"/>
      <c r="BU60" s="38"/>
      <c r="BV60" s="38"/>
      <c r="BW60" s="38"/>
      <c r="BX60" s="38"/>
      <c r="BY60" s="38"/>
    </row>
    <row r="61" spans="1:77" s="17" customFormat="1" ht="20.100000000000001" customHeight="1">
      <c r="A61" s="38"/>
      <c r="B61" s="34" t="s">
        <v>138</v>
      </c>
      <c r="C61" s="17" t="e">
        <f>'Capcost Tall '!BJ10</f>
        <v>#REF!</v>
      </c>
      <c r="E61" s="32" t="e">
        <f>C61</f>
        <v>#REF!</v>
      </c>
      <c r="F61" s="32" t="e">
        <f>'Capcost Tall '!BM10</f>
        <v>#REF!</v>
      </c>
      <c r="G61" s="32">
        <f>'[1]capcost(GST)'!BN10</f>
        <v>202.18718596837977</v>
      </c>
      <c r="H61" s="32">
        <f>D61</f>
        <v>0</v>
      </c>
      <c r="I61" s="32" t="e">
        <f>E61+F61</f>
        <v>#REF!</v>
      </c>
      <c r="J61" s="32"/>
      <c r="K61" s="32"/>
      <c r="L61" s="38"/>
      <c r="N61" s="67" t="s">
        <v>263</v>
      </c>
      <c r="O61" s="187"/>
      <c r="P61" s="188"/>
      <c r="Q61" s="68">
        <f>70%/2*0</f>
        <v>0</v>
      </c>
      <c r="R61" s="68">
        <f>90%/2</f>
        <v>0.45</v>
      </c>
      <c r="S61" s="68">
        <v>1</v>
      </c>
      <c r="T61" s="68">
        <v>1</v>
      </c>
      <c r="U61" s="68">
        <v>1</v>
      </c>
      <c r="V61" s="68">
        <v>1</v>
      </c>
      <c r="W61" s="68">
        <v>1</v>
      </c>
      <c r="X61" s="68">
        <v>1</v>
      </c>
      <c r="Y61" s="68">
        <v>1</v>
      </c>
      <c r="Z61" s="68">
        <v>1</v>
      </c>
      <c r="AA61" s="68">
        <v>1</v>
      </c>
      <c r="AB61" s="68">
        <v>1</v>
      </c>
      <c r="AC61" s="68">
        <v>1</v>
      </c>
      <c r="AD61" s="68">
        <v>1</v>
      </c>
      <c r="AE61" s="68">
        <v>1</v>
      </c>
      <c r="AF61" s="68">
        <v>1</v>
      </c>
      <c r="AG61" s="68">
        <v>1</v>
      </c>
      <c r="AH61" s="68">
        <v>1</v>
      </c>
      <c r="AI61" s="68">
        <v>1</v>
      </c>
      <c r="AJ61" s="68">
        <v>1</v>
      </c>
      <c r="AK61" s="68">
        <v>1</v>
      </c>
      <c r="AL61" s="68">
        <v>1</v>
      </c>
      <c r="AN61"/>
      <c r="AO61" s="222">
        <v>0.15</v>
      </c>
      <c r="AP61"/>
      <c r="AQ61"/>
      <c r="AR61"/>
      <c r="AS61"/>
      <c r="AT61"/>
      <c r="AU61"/>
      <c r="AV61"/>
      <c r="AW61"/>
      <c r="AX61"/>
      <c r="AY61"/>
      <c r="AZ61"/>
      <c r="BA61"/>
      <c r="BB61"/>
      <c r="BC61"/>
      <c r="BD61"/>
      <c r="BE61"/>
      <c r="BF61"/>
      <c r="BG61"/>
      <c r="BH61"/>
      <c r="BI61"/>
      <c r="BJ61"/>
      <c r="BK61"/>
      <c r="BL61"/>
      <c r="BM61"/>
      <c r="BN61" s="38"/>
      <c r="BO61" s="38"/>
      <c r="BP61" s="38"/>
      <c r="BQ61" s="38"/>
      <c r="BR61" s="38"/>
      <c r="BS61" s="38"/>
      <c r="BT61" s="38"/>
      <c r="BU61" s="38"/>
      <c r="BV61" s="38"/>
      <c r="BW61" s="38"/>
      <c r="BX61" s="38"/>
      <c r="BY61" s="38"/>
    </row>
    <row r="62" spans="1:77" s="17" customFormat="1" ht="20.100000000000001" customHeight="1">
      <c r="A62" s="38"/>
      <c r="B62" s="34" t="s">
        <v>141</v>
      </c>
      <c r="C62" s="17" t="e">
        <f>'Capcost Tall '!BJ11</f>
        <v>#REF!</v>
      </c>
      <c r="E62" s="32" t="e">
        <f>C62</f>
        <v>#REF!</v>
      </c>
      <c r="F62" s="32" t="e">
        <f>'Capcost Tall '!BM11</f>
        <v>#REF!</v>
      </c>
      <c r="G62" s="32">
        <f>'[1]capcost(GST)'!BN11</f>
        <v>625.81748037831835</v>
      </c>
      <c r="H62" s="32">
        <f>D62</f>
        <v>0</v>
      </c>
      <c r="I62" s="32" t="e">
        <f>E62+F62</f>
        <v>#REF!</v>
      </c>
      <c r="J62" s="32"/>
      <c r="K62" s="32"/>
      <c r="L62" s="38"/>
      <c r="N62" s="56" t="s">
        <v>264</v>
      </c>
      <c r="O62" s="186">
        <v>0</v>
      </c>
      <c r="P62" s="186">
        <v>0</v>
      </c>
      <c r="Q62" s="56">
        <f t="shared" ref="Q62:AL62" si="0">+$D$68*Q61</f>
        <v>0</v>
      </c>
      <c r="R62" s="56">
        <f t="shared" si="0"/>
        <v>340.38930532277146</v>
      </c>
      <c r="S62" s="56">
        <f t="shared" si="0"/>
        <v>756.4206784950477</v>
      </c>
      <c r="T62" s="56">
        <f t="shared" si="0"/>
        <v>756.4206784950477</v>
      </c>
      <c r="U62" s="56">
        <f t="shared" si="0"/>
        <v>756.4206784950477</v>
      </c>
      <c r="V62" s="56">
        <f t="shared" si="0"/>
        <v>756.4206784950477</v>
      </c>
      <c r="W62" s="56">
        <f t="shared" si="0"/>
        <v>756.4206784950477</v>
      </c>
      <c r="X62" s="56">
        <f t="shared" si="0"/>
        <v>756.4206784950477</v>
      </c>
      <c r="Y62" s="56">
        <f t="shared" si="0"/>
        <v>756.4206784950477</v>
      </c>
      <c r="Z62" s="56">
        <f t="shared" si="0"/>
        <v>756.4206784950477</v>
      </c>
      <c r="AA62" s="56">
        <f t="shared" si="0"/>
        <v>756.4206784950477</v>
      </c>
      <c r="AB62" s="56">
        <f t="shared" si="0"/>
        <v>756.4206784950477</v>
      </c>
      <c r="AC62" s="56">
        <f t="shared" si="0"/>
        <v>756.4206784950477</v>
      </c>
      <c r="AD62" s="56">
        <f t="shared" si="0"/>
        <v>756.4206784950477</v>
      </c>
      <c r="AE62" s="56">
        <f t="shared" si="0"/>
        <v>756.4206784950477</v>
      </c>
      <c r="AF62" s="56">
        <f t="shared" si="0"/>
        <v>756.4206784950477</v>
      </c>
      <c r="AG62" s="56">
        <f t="shared" si="0"/>
        <v>756.4206784950477</v>
      </c>
      <c r="AH62" s="56">
        <f t="shared" si="0"/>
        <v>756.4206784950477</v>
      </c>
      <c r="AI62" s="56">
        <f t="shared" si="0"/>
        <v>756.4206784950477</v>
      </c>
      <c r="AJ62" s="56">
        <f t="shared" si="0"/>
        <v>756.4206784950477</v>
      </c>
      <c r="AK62" s="56">
        <f t="shared" si="0"/>
        <v>756.4206784950477</v>
      </c>
      <c r="AL62" s="56">
        <f t="shared" si="0"/>
        <v>756.4206784950477</v>
      </c>
      <c r="AN62" t="s">
        <v>265</v>
      </c>
      <c r="AO62" s="16">
        <v>1</v>
      </c>
      <c r="AP62" s="70">
        <v>2</v>
      </c>
      <c r="AQ62" s="70">
        <v>3</v>
      </c>
      <c r="AR62" s="70">
        <v>4</v>
      </c>
      <c r="AS62" s="70">
        <v>5</v>
      </c>
      <c r="AT62" s="70">
        <v>6</v>
      </c>
      <c r="AU62" s="70">
        <v>7</v>
      </c>
      <c r="AV62" s="70">
        <v>8</v>
      </c>
      <c r="AW62" s="70">
        <v>9</v>
      </c>
      <c r="AX62" s="70">
        <v>10</v>
      </c>
      <c r="AY62" s="70">
        <v>11</v>
      </c>
      <c r="AZ62" s="70">
        <v>12</v>
      </c>
      <c r="BA62" s="70">
        <v>13</v>
      </c>
      <c r="BB62" s="70">
        <v>14</v>
      </c>
      <c r="BC62" s="70">
        <v>15</v>
      </c>
      <c r="BD62" s="70">
        <v>16</v>
      </c>
      <c r="BE62" s="70">
        <v>17</v>
      </c>
      <c r="BF62" s="70">
        <v>18</v>
      </c>
      <c r="BG62" s="70">
        <v>19</v>
      </c>
      <c r="BH62" s="70">
        <v>20</v>
      </c>
      <c r="BI62" s="70">
        <v>21</v>
      </c>
      <c r="BJ62" s="71">
        <v>22</v>
      </c>
      <c r="BK62" s="71">
        <v>23</v>
      </c>
      <c r="BL62"/>
      <c r="BM62"/>
      <c r="BN62" s="38"/>
      <c r="BO62" s="38"/>
      <c r="BP62" s="38"/>
      <c r="BQ62" s="38"/>
      <c r="BR62" s="38"/>
      <c r="BS62" s="38"/>
      <c r="BT62" s="38"/>
      <c r="BU62" s="38"/>
      <c r="BV62" s="38"/>
      <c r="BW62" s="38"/>
      <c r="BX62" s="38"/>
      <c r="BY62" s="38"/>
    </row>
    <row r="63" spans="1:77" s="17" customFormat="1" ht="20.100000000000001" customHeight="1">
      <c r="A63" s="38"/>
      <c r="B63" s="34" t="s">
        <v>579</v>
      </c>
      <c r="C63" s="17" t="e">
        <f>'Capcost Tall '!BJ12</f>
        <v>#REF!</v>
      </c>
      <c r="E63" s="32" t="e">
        <f>C63</f>
        <v>#REF!</v>
      </c>
      <c r="F63" s="32" t="e">
        <f>'Capcost Tall '!BM12</f>
        <v>#REF!</v>
      </c>
      <c r="G63" s="32">
        <f>'[1]capcost(GST)'!BN12</f>
        <v>885.77243376623505</v>
      </c>
      <c r="H63" s="32">
        <f>D63</f>
        <v>0</v>
      </c>
      <c r="I63" s="32" t="e">
        <f>E63+F63</f>
        <v>#REF!</v>
      </c>
      <c r="L63" s="38"/>
      <c r="N63" s="56" t="s">
        <v>266</v>
      </c>
      <c r="O63" s="186">
        <f t="shared" ref="O63:AL63" si="1">+O83</f>
        <v>0</v>
      </c>
      <c r="P63" s="186">
        <f t="shared" si="1"/>
        <v>0</v>
      </c>
      <c r="Q63" s="186" t="e">
        <f t="shared" si="1"/>
        <v>#REF!</v>
      </c>
      <c r="R63" s="56" t="e">
        <f t="shared" si="1"/>
        <v>#REF!</v>
      </c>
      <c r="S63" s="56" t="e">
        <f t="shared" si="1"/>
        <v>#REF!</v>
      </c>
      <c r="T63" s="56" t="e">
        <f t="shared" si="1"/>
        <v>#REF!</v>
      </c>
      <c r="U63" s="56" t="e">
        <f t="shared" si="1"/>
        <v>#REF!</v>
      </c>
      <c r="V63" s="56" t="e">
        <f t="shared" si="1"/>
        <v>#REF!</v>
      </c>
      <c r="W63" s="56" t="e">
        <f t="shared" si="1"/>
        <v>#REF!</v>
      </c>
      <c r="X63" s="56" t="e">
        <f t="shared" si="1"/>
        <v>#REF!</v>
      </c>
      <c r="Y63" s="56" t="e">
        <f t="shared" si="1"/>
        <v>#REF!</v>
      </c>
      <c r="Z63" s="56" t="e">
        <f t="shared" si="1"/>
        <v>#REF!</v>
      </c>
      <c r="AA63" s="56" t="e">
        <f t="shared" si="1"/>
        <v>#REF!</v>
      </c>
      <c r="AB63" s="56" t="e">
        <f t="shared" si="1"/>
        <v>#REF!</v>
      </c>
      <c r="AC63" s="56" t="e">
        <f t="shared" si="1"/>
        <v>#REF!</v>
      </c>
      <c r="AD63" s="56" t="e">
        <f t="shared" si="1"/>
        <v>#REF!</v>
      </c>
      <c r="AE63" s="56" t="e">
        <f t="shared" si="1"/>
        <v>#REF!</v>
      </c>
      <c r="AF63" s="56" t="e">
        <f t="shared" si="1"/>
        <v>#REF!</v>
      </c>
      <c r="AG63" s="56" t="e">
        <f t="shared" si="1"/>
        <v>#REF!</v>
      </c>
      <c r="AH63" s="56" t="e">
        <f t="shared" si="1"/>
        <v>#REF!</v>
      </c>
      <c r="AI63" s="56" t="e">
        <f t="shared" si="1"/>
        <v>#REF!</v>
      </c>
      <c r="AJ63" s="56" t="e">
        <f t="shared" si="1"/>
        <v>#REF!</v>
      </c>
      <c r="AK63" s="56" t="e">
        <f t="shared" si="1"/>
        <v>#REF!</v>
      </c>
      <c r="AL63" s="56">
        <f t="shared" si="1"/>
        <v>0</v>
      </c>
      <c r="AN63" t="s">
        <v>267</v>
      </c>
      <c r="AO63" t="e">
        <f>+K66</f>
        <v>#REF!</v>
      </c>
      <c r="AP63" t="e">
        <f t="shared" ref="AP63:BK63" si="2">+AO65</f>
        <v>#REF!</v>
      </c>
      <c r="AQ63" t="e">
        <f t="shared" si="2"/>
        <v>#REF!</v>
      </c>
      <c r="AR63" t="e">
        <f t="shared" si="2"/>
        <v>#REF!</v>
      </c>
      <c r="AS63" t="e">
        <f t="shared" si="2"/>
        <v>#REF!</v>
      </c>
      <c r="AT63" t="e">
        <f t="shared" si="2"/>
        <v>#REF!</v>
      </c>
      <c r="AU63" t="e">
        <f t="shared" si="2"/>
        <v>#REF!</v>
      </c>
      <c r="AV63" t="e">
        <f t="shared" si="2"/>
        <v>#REF!</v>
      </c>
      <c r="AW63" t="e">
        <f t="shared" si="2"/>
        <v>#REF!</v>
      </c>
      <c r="AX63" t="e">
        <f t="shared" si="2"/>
        <v>#REF!</v>
      </c>
      <c r="AY63" t="e">
        <f t="shared" si="2"/>
        <v>#REF!</v>
      </c>
      <c r="AZ63" t="e">
        <f t="shared" si="2"/>
        <v>#REF!</v>
      </c>
      <c r="BA63" t="e">
        <f t="shared" si="2"/>
        <v>#REF!</v>
      </c>
      <c r="BB63" t="e">
        <f t="shared" si="2"/>
        <v>#REF!</v>
      </c>
      <c r="BC63" t="e">
        <f t="shared" si="2"/>
        <v>#REF!</v>
      </c>
      <c r="BD63" t="e">
        <f t="shared" si="2"/>
        <v>#REF!</v>
      </c>
      <c r="BE63" t="e">
        <f t="shared" si="2"/>
        <v>#REF!</v>
      </c>
      <c r="BF63" t="e">
        <f t="shared" si="2"/>
        <v>#REF!</v>
      </c>
      <c r="BG63" t="e">
        <f t="shared" si="2"/>
        <v>#REF!</v>
      </c>
      <c r="BH63" s="73" t="e">
        <f t="shared" si="2"/>
        <v>#REF!</v>
      </c>
      <c r="BI63" t="e">
        <f t="shared" si="2"/>
        <v>#REF!</v>
      </c>
      <c r="BJ63" t="e">
        <f t="shared" si="2"/>
        <v>#REF!</v>
      </c>
      <c r="BK63" t="e">
        <f t="shared" si="2"/>
        <v>#REF!</v>
      </c>
      <c r="BL63"/>
      <c r="BM63" t="s">
        <v>268</v>
      </c>
      <c r="BN63" s="38"/>
      <c r="BO63" s="38"/>
      <c r="BP63" s="38"/>
      <c r="BQ63" s="38"/>
      <c r="BR63" s="38"/>
      <c r="BS63" s="38"/>
      <c r="BT63" s="38"/>
      <c r="BU63" s="38"/>
      <c r="BV63" s="38"/>
      <c r="BW63" s="38"/>
      <c r="BX63" s="38"/>
      <c r="BY63" s="38"/>
    </row>
    <row r="64" spans="1:77" s="17" customFormat="1" ht="20.100000000000001" customHeight="1">
      <c r="A64" s="38"/>
      <c r="B64" s="34" t="s">
        <v>580</v>
      </c>
      <c r="C64" s="17" t="e">
        <f>'Capcost Tall '!BJ13</f>
        <v>#REF!</v>
      </c>
      <c r="E64" s="32" t="e">
        <f>C64</f>
        <v>#REF!</v>
      </c>
      <c r="F64" s="32" t="e">
        <f>'Capcost Tall '!BM13</f>
        <v>#REF!</v>
      </c>
      <c r="G64" s="32">
        <f>'[1]capcost(GST)'!BN13</f>
        <v>274.39689524280107</v>
      </c>
      <c r="H64" s="32">
        <f>D64</f>
        <v>0</v>
      </c>
      <c r="I64" s="32" t="e">
        <f>E64+F64</f>
        <v>#REF!</v>
      </c>
      <c r="L64" s="38"/>
      <c r="N64" s="56" t="s">
        <v>228</v>
      </c>
      <c r="O64" s="186">
        <v>0</v>
      </c>
      <c r="P64" s="189">
        <v>0</v>
      </c>
      <c r="Q64" s="189"/>
      <c r="R64" s="69" t="e">
        <f t="shared" ref="R64:AL64" si="3">AO64</f>
        <v>#REF!</v>
      </c>
      <c r="S64" s="69" t="e">
        <f t="shared" si="3"/>
        <v>#REF!</v>
      </c>
      <c r="T64" s="69" t="e">
        <f t="shared" si="3"/>
        <v>#REF!</v>
      </c>
      <c r="U64" s="69" t="e">
        <f t="shared" si="3"/>
        <v>#REF!</v>
      </c>
      <c r="V64" s="69" t="e">
        <f t="shared" si="3"/>
        <v>#REF!</v>
      </c>
      <c r="W64" s="69" t="e">
        <f t="shared" si="3"/>
        <v>#REF!</v>
      </c>
      <c r="X64" s="69" t="e">
        <f t="shared" si="3"/>
        <v>#REF!</v>
      </c>
      <c r="Y64" s="69" t="e">
        <f t="shared" si="3"/>
        <v>#REF!</v>
      </c>
      <c r="Z64" s="69" t="e">
        <f t="shared" si="3"/>
        <v>#REF!</v>
      </c>
      <c r="AA64" s="69" t="e">
        <f t="shared" si="3"/>
        <v>#REF!</v>
      </c>
      <c r="AB64" s="69" t="e">
        <f t="shared" si="3"/>
        <v>#REF!</v>
      </c>
      <c r="AC64" s="69" t="e">
        <f t="shared" si="3"/>
        <v>#REF!</v>
      </c>
      <c r="AD64" s="69" t="e">
        <f t="shared" si="3"/>
        <v>#REF!</v>
      </c>
      <c r="AE64" s="69" t="e">
        <f t="shared" si="3"/>
        <v>#REF!</v>
      </c>
      <c r="AF64" s="69" t="e">
        <f t="shared" si="3"/>
        <v>#REF!</v>
      </c>
      <c r="AG64" s="69" t="e">
        <f t="shared" si="3"/>
        <v>#REF!</v>
      </c>
      <c r="AH64" s="69" t="e">
        <f t="shared" si="3"/>
        <v>#REF!</v>
      </c>
      <c r="AI64" s="69" t="e">
        <f t="shared" si="3"/>
        <v>#REF!</v>
      </c>
      <c r="AJ64" s="69" t="e">
        <f t="shared" si="3"/>
        <v>#REF!</v>
      </c>
      <c r="AK64" s="69" t="e">
        <f t="shared" si="3"/>
        <v>#REF!</v>
      </c>
      <c r="AL64" s="69">
        <f t="shared" si="3"/>
        <v>0</v>
      </c>
      <c r="AM64" s="69" t="e">
        <f>SUM(O64:AL64)</f>
        <v>#REF!</v>
      </c>
      <c r="AN64" s="33" t="s">
        <v>612</v>
      </c>
      <c r="AO64" s="73" t="e">
        <f>+AO63*$AO$61/2</f>
        <v>#REF!</v>
      </c>
      <c r="AP64" s="73" t="e">
        <f t="shared" ref="AP64:BF64" si="4">+AP63*$AO$61</f>
        <v>#REF!</v>
      </c>
      <c r="AQ64" s="73" t="e">
        <f t="shared" si="4"/>
        <v>#REF!</v>
      </c>
      <c r="AR64" s="73" t="e">
        <f t="shared" si="4"/>
        <v>#REF!</v>
      </c>
      <c r="AS64" s="73" t="e">
        <f t="shared" si="4"/>
        <v>#REF!</v>
      </c>
      <c r="AT64" s="73" t="e">
        <f t="shared" si="4"/>
        <v>#REF!</v>
      </c>
      <c r="AU64" s="73" t="e">
        <f t="shared" si="4"/>
        <v>#REF!</v>
      </c>
      <c r="AV64" s="73" t="e">
        <f t="shared" si="4"/>
        <v>#REF!</v>
      </c>
      <c r="AW64" s="73" t="e">
        <f t="shared" si="4"/>
        <v>#REF!</v>
      </c>
      <c r="AX64" s="73" t="e">
        <f t="shared" si="4"/>
        <v>#REF!</v>
      </c>
      <c r="AY64" s="73" t="e">
        <f t="shared" si="4"/>
        <v>#REF!</v>
      </c>
      <c r="AZ64" s="73" t="e">
        <f t="shared" si="4"/>
        <v>#REF!</v>
      </c>
      <c r="BA64" s="73" t="e">
        <f t="shared" si="4"/>
        <v>#REF!</v>
      </c>
      <c r="BB64" s="73" t="e">
        <f t="shared" si="4"/>
        <v>#REF!</v>
      </c>
      <c r="BC64" s="73" t="e">
        <f t="shared" si="4"/>
        <v>#REF!</v>
      </c>
      <c r="BD64" s="73" t="e">
        <f t="shared" si="4"/>
        <v>#REF!</v>
      </c>
      <c r="BE64" s="73" t="e">
        <f t="shared" si="4"/>
        <v>#REF!</v>
      </c>
      <c r="BF64" s="73" t="e">
        <f t="shared" si="4"/>
        <v>#REF!</v>
      </c>
      <c r="BG64" s="73" t="e">
        <f>+BG63*$AO$61*0+AO63*0.95-SUM(AO64:BF64)</f>
        <v>#REF!</v>
      </c>
      <c r="BH64" s="73" t="e">
        <f>AO63*0.95-SUM(AO64:BG64)</f>
        <v>#REF!</v>
      </c>
      <c r="BI64" s="73"/>
      <c r="BJ64" s="73"/>
      <c r="BK64"/>
      <c r="BL64" t="e">
        <f>SUM(AO64:BK64)</f>
        <v>#REF!</v>
      </c>
      <c r="BM64" t="e">
        <f>+K66*0.95</f>
        <v>#REF!</v>
      </c>
      <c r="BN64" s="38"/>
      <c r="BO64" s="38"/>
      <c r="BP64" s="38"/>
      <c r="BQ64" s="38"/>
      <c r="BR64" s="38"/>
      <c r="BS64" s="38"/>
      <c r="BT64" s="38"/>
      <c r="BU64" s="38"/>
      <c r="BV64" s="38"/>
      <c r="BW64" s="38"/>
      <c r="BX64" s="38"/>
      <c r="BY64" s="38"/>
    </row>
    <row r="65" spans="1:77" s="17" customFormat="1" ht="20.100000000000001" customHeight="1">
      <c r="A65" s="38"/>
      <c r="B65" s="34" t="s">
        <v>180</v>
      </c>
      <c r="C65" s="17" t="e">
        <f>'Capcost Tall '!BJ14</f>
        <v>#REF!</v>
      </c>
      <c r="E65" s="32" t="e">
        <f>C65</f>
        <v>#REF!</v>
      </c>
      <c r="F65" s="32"/>
      <c r="G65" s="32">
        <f>'[1]capcost(GST)'!BN14</f>
        <v>192.55922473179024</v>
      </c>
      <c r="H65" s="32">
        <f>D65</f>
        <v>0</v>
      </c>
      <c r="I65" s="32" t="e">
        <f>E65+F65</f>
        <v>#REF!</v>
      </c>
      <c r="J65" s="72"/>
      <c r="K65" s="72"/>
      <c r="L65" s="38"/>
      <c r="N65" s="56" t="s">
        <v>269</v>
      </c>
      <c r="O65" s="186">
        <v>0</v>
      </c>
      <c r="P65" s="189">
        <f t="shared" ref="P65:AL65" si="5">+P62-P63-P64</f>
        <v>0</v>
      </c>
      <c r="Q65" s="189" t="e">
        <f t="shared" si="5"/>
        <v>#REF!</v>
      </c>
      <c r="R65" s="69" t="e">
        <f t="shared" si="5"/>
        <v>#REF!</v>
      </c>
      <c r="S65" s="69" t="e">
        <f t="shared" si="5"/>
        <v>#REF!</v>
      </c>
      <c r="T65" s="69" t="e">
        <f t="shared" si="5"/>
        <v>#REF!</v>
      </c>
      <c r="U65" s="69" t="e">
        <f t="shared" si="5"/>
        <v>#REF!</v>
      </c>
      <c r="V65" s="69" t="e">
        <f t="shared" si="5"/>
        <v>#REF!</v>
      </c>
      <c r="W65" s="69" t="e">
        <f t="shared" si="5"/>
        <v>#REF!</v>
      </c>
      <c r="X65" s="69" t="e">
        <f t="shared" si="5"/>
        <v>#REF!</v>
      </c>
      <c r="Y65" s="69" t="e">
        <f t="shared" si="5"/>
        <v>#REF!</v>
      </c>
      <c r="Z65" s="69" t="e">
        <f t="shared" si="5"/>
        <v>#REF!</v>
      </c>
      <c r="AA65" s="69" t="e">
        <f t="shared" si="5"/>
        <v>#REF!</v>
      </c>
      <c r="AB65" s="69" t="e">
        <f t="shared" si="5"/>
        <v>#REF!</v>
      </c>
      <c r="AC65" s="69" t="e">
        <f t="shared" si="5"/>
        <v>#REF!</v>
      </c>
      <c r="AD65" s="69" t="e">
        <f t="shared" si="5"/>
        <v>#REF!</v>
      </c>
      <c r="AE65" s="69" t="e">
        <f t="shared" si="5"/>
        <v>#REF!</v>
      </c>
      <c r="AF65" s="69" t="e">
        <f t="shared" si="5"/>
        <v>#REF!</v>
      </c>
      <c r="AG65" s="69" t="e">
        <f t="shared" si="5"/>
        <v>#REF!</v>
      </c>
      <c r="AH65" s="69" t="e">
        <f t="shared" si="5"/>
        <v>#REF!</v>
      </c>
      <c r="AI65" s="69" t="e">
        <f t="shared" si="5"/>
        <v>#REF!</v>
      </c>
      <c r="AJ65" s="69" t="e">
        <f t="shared" si="5"/>
        <v>#REF!</v>
      </c>
      <c r="AK65" s="69" t="e">
        <f t="shared" si="5"/>
        <v>#REF!</v>
      </c>
      <c r="AL65" s="69">
        <f t="shared" si="5"/>
        <v>756.4206784950477</v>
      </c>
      <c r="AN65" t="s">
        <v>270</v>
      </c>
      <c r="AO65" s="73" t="e">
        <f t="shared" ref="AO65:BK65" si="6">+AO63-AO64</f>
        <v>#REF!</v>
      </c>
      <c r="AP65" s="73" t="e">
        <f t="shared" si="6"/>
        <v>#REF!</v>
      </c>
      <c r="AQ65" s="73" t="e">
        <f t="shared" si="6"/>
        <v>#REF!</v>
      </c>
      <c r="AR65" s="73" t="e">
        <f t="shared" si="6"/>
        <v>#REF!</v>
      </c>
      <c r="AS65" s="73" t="e">
        <f t="shared" si="6"/>
        <v>#REF!</v>
      </c>
      <c r="AT65" s="73" t="e">
        <f t="shared" si="6"/>
        <v>#REF!</v>
      </c>
      <c r="AU65" s="73" t="e">
        <f t="shared" si="6"/>
        <v>#REF!</v>
      </c>
      <c r="AV65" s="73" t="e">
        <f t="shared" si="6"/>
        <v>#REF!</v>
      </c>
      <c r="AW65" s="73" t="e">
        <f t="shared" si="6"/>
        <v>#REF!</v>
      </c>
      <c r="AX65" s="73" t="e">
        <f t="shared" si="6"/>
        <v>#REF!</v>
      </c>
      <c r="AY65" s="73" t="e">
        <f t="shared" si="6"/>
        <v>#REF!</v>
      </c>
      <c r="AZ65" s="73" t="e">
        <f t="shared" si="6"/>
        <v>#REF!</v>
      </c>
      <c r="BA65" s="73" t="e">
        <f t="shared" si="6"/>
        <v>#REF!</v>
      </c>
      <c r="BB65" s="73" t="e">
        <f t="shared" si="6"/>
        <v>#REF!</v>
      </c>
      <c r="BC65" s="73" t="e">
        <f t="shared" si="6"/>
        <v>#REF!</v>
      </c>
      <c r="BD65" s="73" t="e">
        <f t="shared" si="6"/>
        <v>#REF!</v>
      </c>
      <c r="BE65" s="73" t="e">
        <f t="shared" si="6"/>
        <v>#REF!</v>
      </c>
      <c r="BF65" s="73" t="e">
        <f t="shared" si="6"/>
        <v>#REF!</v>
      </c>
      <c r="BG65" s="73" t="e">
        <f t="shared" si="6"/>
        <v>#REF!</v>
      </c>
      <c r="BH65" s="73" t="e">
        <f t="shared" si="6"/>
        <v>#REF!</v>
      </c>
      <c r="BI65" s="73" t="e">
        <f t="shared" si="6"/>
        <v>#REF!</v>
      </c>
      <c r="BJ65" s="73" t="e">
        <f t="shared" si="6"/>
        <v>#REF!</v>
      </c>
      <c r="BK65" s="73" t="e">
        <f t="shared" si="6"/>
        <v>#REF!</v>
      </c>
      <c r="BL65"/>
      <c r="BM65"/>
      <c r="BN65" s="38"/>
      <c r="BO65" s="38"/>
      <c r="BP65" s="38"/>
      <c r="BQ65" s="38"/>
      <c r="BR65" s="38"/>
      <c r="BS65" s="38"/>
      <c r="BT65" s="38"/>
      <c r="BU65" s="38"/>
      <c r="BV65" s="38"/>
      <c r="BW65" s="38"/>
      <c r="BX65" s="38"/>
      <c r="BY65" s="38"/>
    </row>
    <row r="66" spans="1:77" s="17" customFormat="1" ht="20.100000000000001" customHeight="1">
      <c r="A66" s="38"/>
      <c r="B66" s="74" t="s">
        <v>72</v>
      </c>
      <c r="C66" s="75" t="e">
        <f t="shared" ref="C66:I66" si="7">SUM(C61:C65)</f>
        <v>#REF!</v>
      </c>
      <c r="D66" s="75">
        <f t="shared" si="7"/>
        <v>0</v>
      </c>
      <c r="E66" s="75" t="e">
        <f t="shared" si="7"/>
        <v>#REF!</v>
      </c>
      <c r="F66" s="75" t="e">
        <f t="shared" si="7"/>
        <v>#REF!</v>
      </c>
      <c r="G66" s="75">
        <f t="shared" si="7"/>
        <v>2180.7332200875244</v>
      </c>
      <c r="H66" s="75">
        <f t="shared" si="7"/>
        <v>0</v>
      </c>
      <c r="I66" s="75" t="e">
        <f t="shared" si="7"/>
        <v>#REF!</v>
      </c>
      <c r="J66" s="75" t="e">
        <f>'Capcost Tall '!BN16</f>
        <v>#REF!</v>
      </c>
      <c r="K66" s="75" t="e">
        <f>I66-J66</f>
        <v>#REF!</v>
      </c>
      <c r="L66" s="38"/>
      <c r="M66" s="77">
        <f>0.3*1.12*1.04</f>
        <v>0.34944000000000003</v>
      </c>
      <c r="N66" s="56" t="s">
        <v>271</v>
      </c>
      <c r="O66" s="69">
        <f t="shared" ref="O66:AL66" si="8">IF(+O65*$M$66*$M$67&gt;0,O65*$M$66*$M$67,0)</f>
        <v>0</v>
      </c>
      <c r="P66" s="69">
        <f t="shared" si="8"/>
        <v>0</v>
      </c>
      <c r="Q66" s="69" t="e">
        <f t="shared" si="8"/>
        <v>#REF!</v>
      </c>
      <c r="R66" s="69" t="e">
        <f t="shared" si="8"/>
        <v>#REF!</v>
      </c>
      <c r="S66" s="69" t="e">
        <f t="shared" si="8"/>
        <v>#REF!</v>
      </c>
      <c r="T66" s="69" t="e">
        <f t="shared" si="8"/>
        <v>#REF!</v>
      </c>
      <c r="U66" s="69" t="e">
        <f t="shared" si="8"/>
        <v>#REF!</v>
      </c>
      <c r="V66" s="69" t="e">
        <f t="shared" si="8"/>
        <v>#REF!</v>
      </c>
      <c r="W66" s="69" t="e">
        <f t="shared" si="8"/>
        <v>#REF!</v>
      </c>
      <c r="X66" s="69" t="e">
        <f t="shared" si="8"/>
        <v>#REF!</v>
      </c>
      <c r="Y66" s="69" t="e">
        <f t="shared" si="8"/>
        <v>#REF!</v>
      </c>
      <c r="Z66" s="69" t="e">
        <f t="shared" si="8"/>
        <v>#REF!</v>
      </c>
      <c r="AA66" s="69" t="e">
        <f t="shared" si="8"/>
        <v>#REF!</v>
      </c>
      <c r="AB66" s="69" t="e">
        <f t="shared" si="8"/>
        <v>#REF!</v>
      </c>
      <c r="AC66" s="69" t="e">
        <f t="shared" si="8"/>
        <v>#REF!</v>
      </c>
      <c r="AD66" s="69" t="e">
        <f t="shared" si="8"/>
        <v>#REF!</v>
      </c>
      <c r="AE66" s="69" t="e">
        <f t="shared" si="8"/>
        <v>#REF!</v>
      </c>
      <c r="AF66" s="69" t="e">
        <f t="shared" si="8"/>
        <v>#REF!</v>
      </c>
      <c r="AG66" s="69" t="e">
        <f t="shared" si="8"/>
        <v>#REF!</v>
      </c>
      <c r="AH66" s="69" t="e">
        <f t="shared" si="8"/>
        <v>#REF!</v>
      </c>
      <c r="AI66" s="69" t="e">
        <f t="shared" si="8"/>
        <v>#REF!</v>
      </c>
      <c r="AJ66" s="69" t="e">
        <f t="shared" si="8"/>
        <v>#REF!</v>
      </c>
      <c r="AK66" s="69" t="e">
        <f t="shared" si="8"/>
        <v>#REF!</v>
      </c>
      <c r="AL66" s="69">
        <f t="shared" si="8"/>
        <v>264.32364189330951</v>
      </c>
      <c r="AO66" s="38"/>
      <c r="AP66" s="62"/>
      <c r="AQ66" s="62"/>
      <c r="AR66" s="62"/>
      <c r="AS66" s="62"/>
      <c r="AT66" s="62"/>
      <c r="AU66" s="62"/>
      <c r="AV66" s="62"/>
      <c r="AW66" s="62"/>
      <c r="AX66" s="62"/>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row>
    <row r="67" spans="1:77" s="17" customFormat="1" ht="20.100000000000001" customHeight="1">
      <c r="A67" s="41"/>
      <c r="B67" s="38"/>
      <c r="C67" s="38"/>
      <c r="D67" s="38"/>
      <c r="E67" s="38"/>
      <c r="F67" s="38"/>
      <c r="G67" s="38"/>
      <c r="H67" s="59"/>
      <c r="I67" s="59"/>
      <c r="J67" s="58"/>
      <c r="K67" s="58"/>
      <c r="L67" s="38"/>
      <c r="M67" s="17">
        <v>1</v>
      </c>
      <c r="O67" s="186"/>
      <c r="P67" s="189"/>
      <c r="Q67" s="189"/>
      <c r="R67" s="69"/>
      <c r="S67" s="69"/>
      <c r="T67" s="69"/>
      <c r="U67" s="69"/>
      <c r="V67" s="69"/>
      <c r="W67" s="69"/>
      <c r="X67" s="69"/>
      <c r="Y67" s="69"/>
      <c r="Z67" s="69"/>
      <c r="AA67" s="69"/>
      <c r="AB67" s="69"/>
      <c r="AC67" s="69"/>
      <c r="AD67" s="69"/>
      <c r="AE67" s="69"/>
      <c r="AF67" s="69"/>
      <c r="AG67" s="69"/>
      <c r="AH67" s="69"/>
      <c r="AI67" s="69"/>
      <c r="AJ67" s="69"/>
      <c r="AK67" s="69"/>
      <c r="AL67" s="69"/>
      <c r="AN67" s="17" t="e">
        <f>AO63*0.95</f>
        <v>#REF!</v>
      </c>
      <c r="AO67" s="38"/>
      <c r="AP67" s="62"/>
      <c r="AQ67" s="62"/>
      <c r="AR67" s="62"/>
      <c r="AS67" s="62"/>
      <c r="AT67" s="62"/>
      <c r="AU67" s="62"/>
      <c r="AV67" s="62"/>
      <c r="AW67" s="62"/>
      <c r="AX67" s="62"/>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row>
    <row r="68" spans="1:77" s="17" customFormat="1" ht="20.100000000000001" customHeight="1">
      <c r="A68" s="41"/>
      <c r="B68" s="78" t="s">
        <v>225</v>
      </c>
      <c r="C68" s="79" t="s">
        <v>272</v>
      </c>
      <c r="D68" s="721">
        <f>D38</f>
        <v>756.4206784950477</v>
      </c>
      <c r="E68" s="38"/>
      <c r="F68" s="38"/>
      <c r="G68" s="38"/>
      <c r="H68" s="38"/>
      <c r="I68" s="38"/>
      <c r="N68" s="56" t="s">
        <v>273</v>
      </c>
      <c r="O68" s="186">
        <v>0</v>
      </c>
      <c r="P68" s="189">
        <f t="shared" ref="P68:AL68" si="9">+P65-P66</f>
        <v>0</v>
      </c>
      <c r="Q68" s="189" t="e">
        <f t="shared" si="9"/>
        <v>#REF!</v>
      </c>
      <c r="R68" s="69" t="e">
        <f t="shared" si="9"/>
        <v>#REF!</v>
      </c>
      <c r="S68" s="69" t="e">
        <f t="shared" si="9"/>
        <v>#REF!</v>
      </c>
      <c r="T68" s="69" t="e">
        <f t="shared" si="9"/>
        <v>#REF!</v>
      </c>
      <c r="U68" s="69" t="e">
        <f t="shared" si="9"/>
        <v>#REF!</v>
      </c>
      <c r="V68" s="69" t="e">
        <f t="shared" si="9"/>
        <v>#REF!</v>
      </c>
      <c r="W68" s="69" t="e">
        <f t="shared" si="9"/>
        <v>#REF!</v>
      </c>
      <c r="X68" s="69" t="e">
        <f t="shared" si="9"/>
        <v>#REF!</v>
      </c>
      <c r="Y68" s="69" t="e">
        <f t="shared" si="9"/>
        <v>#REF!</v>
      </c>
      <c r="Z68" s="69" t="e">
        <f t="shared" si="9"/>
        <v>#REF!</v>
      </c>
      <c r="AA68" s="69" t="e">
        <f t="shared" si="9"/>
        <v>#REF!</v>
      </c>
      <c r="AB68" s="69" t="e">
        <f t="shared" si="9"/>
        <v>#REF!</v>
      </c>
      <c r="AC68" s="69" t="e">
        <f t="shared" si="9"/>
        <v>#REF!</v>
      </c>
      <c r="AD68" s="69" t="e">
        <f t="shared" si="9"/>
        <v>#REF!</v>
      </c>
      <c r="AE68" s="69" t="e">
        <f t="shared" si="9"/>
        <v>#REF!</v>
      </c>
      <c r="AF68" s="69" t="e">
        <f t="shared" si="9"/>
        <v>#REF!</v>
      </c>
      <c r="AG68" s="69" t="e">
        <f t="shared" si="9"/>
        <v>#REF!</v>
      </c>
      <c r="AH68" s="69" t="e">
        <f t="shared" si="9"/>
        <v>#REF!</v>
      </c>
      <c r="AI68" s="69" t="e">
        <f t="shared" si="9"/>
        <v>#REF!</v>
      </c>
      <c r="AJ68" s="69" t="e">
        <f t="shared" si="9"/>
        <v>#REF!</v>
      </c>
      <c r="AK68" s="69" t="e">
        <f t="shared" si="9"/>
        <v>#REF!</v>
      </c>
      <c r="AL68" s="69">
        <f t="shared" si="9"/>
        <v>492.09703660173818</v>
      </c>
      <c r="AO68" s="38"/>
      <c r="AP68" s="62"/>
      <c r="AQ68" s="62"/>
      <c r="AR68" s="62"/>
      <c r="AS68" s="62"/>
      <c r="AT68" s="62"/>
      <c r="AU68" s="62"/>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row>
    <row r="69" spans="1:77" s="17" customFormat="1" ht="20.100000000000001" customHeight="1">
      <c r="A69" s="41"/>
      <c r="B69" s="80"/>
      <c r="C69" s="35"/>
      <c r="D69" s="38"/>
      <c r="E69" s="40"/>
      <c r="F69" s="35"/>
      <c r="G69" s="40"/>
      <c r="H69" s="38"/>
      <c r="I69" s="38"/>
      <c r="N69" s="81" t="s">
        <v>274</v>
      </c>
      <c r="O69" s="190">
        <v>0</v>
      </c>
      <c r="P69" s="191">
        <f>+P68</f>
        <v>0</v>
      </c>
      <c r="Q69" s="191" t="e">
        <f>+Q68</f>
        <v>#REF!</v>
      </c>
      <c r="R69" s="82" t="e">
        <f t="shared" ref="R69:AG69" si="10">+R68+Q69</f>
        <v>#REF!</v>
      </c>
      <c r="S69" s="82" t="e">
        <f t="shared" si="10"/>
        <v>#REF!</v>
      </c>
      <c r="T69" s="82" t="e">
        <f t="shared" si="10"/>
        <v>#REF!</v>
      </c>
      <c r="U69" s="82" t="e">
        <f t="shared" si="10"/>
        <v>#REF!</v>
      </c>
      <c r="V69" s="82" t="e">
        <f t="shared" si="10"/>
        <v>#REF!</v>
      </c>
      <c r="W69" s="82" t="e">
        <f t="shared" si="10"/>
        <v>#REF!</v>
      </c>
      <c r="X69" s="82" t="e">
        <f t="shared" si="10"/>
        <v>#REF!</v>
      </c>
      <c r="Y69" s="82" t="e">
        <f t="shared" si="10"/>
        <v>#REF!</v>
      </c>
      <c r="Z69" s="82" t="e">
        <f t="shared" si="10"/>
        <v>#REF!</v>
      </c>
      <c r="AA69" s="82" t="e">
        <f t="shared" si="10"/>
        <v>#REF!</v>
      </c>
      <c r="AB69" s="82" t="e">
        <f t="shared" si="10"/>
        <v>#REF!</v>
      </c>
      <c r="AC69" s="82" t="e">
        <f t="shared" si="10"/>
        <v>#REF!</v>
      </c>
      <c r="AD69" s="82" t="e">
        <f t="shared" si="10"/>
        <v>#REF!</v>
      </c>
      <c r="AE69" s="82" t="e">
        <f t="shared" si="10"/>
        <v>#REF!</v>
      </c>
      <c r="AF69" s="82" t="e">
        <f t="shared" si="10"/>
        <v>#REF!</v>
      </c>
      <c r="AG69" s="82" t="e">
        <f t="shared" si="10"/>
        <v>#REF!</v>
      </c>
      <c r="AH69" s="82" t="e">
        <f>+AH68+AF69</f>
        <v>#REF!</v>
      </c>
      <c r="AI69" s="82" t="e">
        <f>+AI68+AH69</f>
        <v>#REF!</v>
      </c>
      <c r="AJ69" s="82" t="e">
        <f>+AJ68+AI69</f>
        <v>#REF!</v>
      </c>
      <c r="AK69" s="82" t="e">
        <f>+AK68+AJ69</f>
        <v>#REF!</v>
      </c>
      <c r="AL69" s="82" t="e">
        <f>+AL68+AK69</f>
        <v>#REF!</v>
      </c>
      <c r="AO69" s="38"/>
      <c r="AP69" s="62"/>
      <c r="AQ69" s="62"/>
      <c r="AR69" s="62"/>
      <c r="AS69" s="62"/>
      <c r="AT69" s="62"/>
      <c r="AU69" s="62"/>
      <c r="AV69" s="62"/>
      <c r="AW69" s="62"/>
      <c r="AX69" s="62"/>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row>
    <row r="70" spans="1:77" s="17" customFormat="1" ht="20.100000000000001" customHeight="1">
      <c r="A70" s="38"/>
      <c r="B70" s="20"/>
      <c r="C70" s="38"/>
      <c r="D70" s="38"/>
      <c r="E70" s="38"/>
      <c r="F70" s="38"/>
      <c r="G70" s="38"/>
      <c r="H70" s="38"/>
      <c r="I70" s="38"/>
      <c r="J70" s="38"/>
      <c r="K70" s="38"/>
      <c r="O70" s="114"/>
      <c r="P70" s="114"/>
      <c r="AJ70" s="69"/>
      <c r="AK70" s="69"/>
      <c r="AL70" s="69"/>
      <c r="AO70" s="38"/>
      <c r="AP70" s="62"/>
      <c r="AQ70" s="62"/>
      <c r="AR70" s="62"/>
      <c r="AS70" s="62"/>
      <c r="AT70" s="62"/>
      <c r="AU70" s="62"/>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row>
    <row r="71" spans="1:77" s="17" customFormat="1" ht="20.100000000000001" customHeight="1">
      <c r="A71" s="38"/>
      <c r="B71" s="20"/>
      <c r="C71" s="38"/>
      <c r="D71" s="38"/>
      <c r="E71" s="38"/>
      <c r="F71" s="38"/>
      <c r="G71" s="38"/>
      <c r="H71" s="1666"/>
      <c r="I71" s="1666"/>
      <c r="J71" s="35"/>
      <c r="K71" s="35"/>
      <c r="N71" s="83" t="s">
        <v>275</v>
      </c>
      <c r="O71" s="186"/>
      <c r="P71" s="186"/>
      <c r="Q71" s="56"/>
      <c r="R71" s="69"/>
      <c r="S71" s="69"/>
      <c r="T71" s="69"/>
      <c r="U71" s="69"/>
      <c r="V71" s="69"/>
      <c r="W71" s="69"/>
      <c r="X71" s="69"/>
      <c r="Y71" s="69"/>
      <c r="Z71" s="69"/>
      <c r="AA71" s="69"/>
      <c r="AB71" s="69"/>
      <c r="AC71" s="39"/>
      <c r="AD71" s="39"/>
      <c r="AE71" s="39"/>
      <c r="AF71" s="39"/>
      <c r="AG71" s="39"/>
      <c r="AH71" s="39"/>
      <c r="AJ71" s="69"/>
      <c r="AK71" s="69"/>
      <c r="AL71" s="69"/>
      <c r="AO71" s="38"/>
      <c r="AP71" s="62"/>
      <c r="AQ71" s="62"/>
      <c r="AR71" s="62"/>
      <c r="AS71" s="62"/>
      <c r="AT71" s="62"/>
      <c r="AU71" s="62"/>
      <c r="AV71" s="62"/>
      <c r="AW71" s="62"/>
      <c r="AX71" s="62"/>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row>
    <row r="72" spans="1:77" s="17" customFormat="1" ht="20.100000000000001" customHeight="1">
      <c r="A72" s="38"/>
      <c r="B72" s="38"/>
      <c r="C72" s="38"/>
      <c r="D72" s="38"/>
      <c r="E72" s="38"/>
      <c r="F72" s="38"/>
      <c r="G72" s="38"/>
      <c r="H72" s="35"/>
      <c r="I72" s="35"/>
      <c r="J72" s="35"/>
      <c r="K72" s="35"/>
      <c r="N72" s="83"/>
      <c r="O72" s="186"/>
      <c r="P72" s="186"/>
      <c r="Q72" s="56"/>
      <c r="R72" s="69"/>
      <c r="S72" s="69"/>
      <c r="T72" s="69"/>
      <c r="U72" s="69">
        <f>+U59</f>
        <v>0</v>
      </c>
      <c r="W72" s="69"/>
      <c r="X72" s="69"/>
      <c r="Y72" s="69"/>
      <c r="Z72" s="69"/>
      <c r="AA72" s="69"/>
      <c r="AB72" s="69"/>
      <c r="AC72" s="39"/>
      <c r="AD72" s="39"/>
      <c r="AE72" s="39"/>
      <c r="AF72" s="39"/>
      <c r="AG72" s="39"/>
      <c r="AH72" s="39">
        <f>+U72</f>
        <v>0</v>
      </c>
      <c r="AJ72" s="69"/>
      <c r="AK72" s="69"/>
      <c r="AL72" s="69"/>
      <c r="AO72" s="38"/>
      <c r="AP72" s="62"/>
      <c r="AQ72" s="62"/>
      <c r="AR72" s="62"/>
      <c r="AS72" s="62"/>
      <c r="AT72" s="62"/>
      <c r="AU72" s="62"/>
      <c r="AV72" s="62"/>
      <c r="AW72" s="62"/>
      <c r="AX72" s="62"/>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row>
    <row r="73" spans="1:77" s="17" customFormat="1" ht="20.100000000000001" customHeight="1">
      <c r="H73" s="35"/>
      <c r="I73" s="35"/>
      <c r="J73" s="35"/>
      <c r="K73" s="35"/>
      <c r="N73" s="84" t="s">
        <v>276</v>
      </c>
      <c r="O73" s="192" t="str">
        <f t="shared" ref="O73:T73" si="11">+O60</f>
        <v>Yr 1</v>
      </c>
      <c r="P73" s="192" t="str">
        <f t="shared" si="11"/>
        <v>Yr 2</v>
      </c>
      <c r="Q73" s="85" t="str">
        <f t="shared" si="11"/>
        <v>Yr 3</v>
      </c>
      <c r="R73" s="85" t="str">
        <f t="shared" si="11"/>
        <v>Yr 4</v>
      </c>
      <c r="S73" s="85" t="str">
        <f t="shared" si="11"/>
        <v>Yr 5</v>
      </c>
      <c r="T73" s="85" t="str">
        <f t="shared" si="11"/>
        <v>Yr 6</v>
      </c>
      <c r="U73" s="85" t="str">
        <f>+U60</f>
        <v>Yr 7</v>
      </c>
      <c r="V73" s="85" t="str">
        <f t="shared" ref="V73:AI73" si="12">+V60</f>
        <v>Yr 8</v>
      </c>
      <c r="W73" s="85" t="str">
        <f t="shared" si="12"/>
        <v>Yr 9</v>
      </c>
      <c r="X73" s="85" t="str">
        <f t="shared" si="12"/>
        <v>Yr 10</v>
      </c>
      <c r="Y73" s="85" t="str">
        <f t="shared" si="12"/>
        <v>Yr 11</v>
      </c>
      <c r="Z73" s="85" t="str">
        <f t="shared" si="12"/>
        <v>Yr 12</v>
      </c>
      <c r="AA73" s="85" t="str">
        <f t="shared" si="12"/>
        <v>Yr 13</v>
      </c>
      <c r="AB73" s="85" t="str">
        <f t="shared" si="12"/>
        <v>Yr 14</v>
      </c>
      <c r="AC73" s="85" t="str">
        <f t="shared" si="12"/>
        <v>Yr 15</v>
      </c>
      <c r="AD73" s="85" t="str">
        <f t="shared" si="12"/>
        <v>Yr 16</v>
      </c>
      <c r="AE73" s="85" t="str">
        <f t="shared" si="12"/>
        <v>Yr 17</v>
      </c>
      <c r="AF73" s="85" t="str">
        <f t="shared" si="12"/>
        <v>Yr 18</v>
      </c>
      <c r="AG73" s="85" t="str">
        <f t="shared" si="12"/>
        <v>Yr 19</v>
      </c>
      <c r="AH73" s="85" t="str">
        <f t="shared" si="12"/>
        <v>Yr 20</v>
      </c>
      <c r="AI73" s="86" t="str">
        <f t="shared" si="12"/>
        <v>Yr 21</v>
      </c>
      <c r="AJ73" s="65" t="s">
        <v>305</v>
      </c>
      <c r="AK73" s="65" t="str">
        <f>AK60</f>
        <v>Yr 23</v>
      </c>
      <c r="AL73" s="65" t="str">
        <f>AL60</f>
        <v>Yr 24</v>
      </c>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row>
    <row r="74" spans="1:77" s="17" customFormat="1" ht="20.100000000000001" customHeight="1">
      <c r="H74" s="59"/>
      <c r="I74" s="59"/>
      <c r="J74" s="59"/>
      <c r="K74" s="59"/>
      <c r="N74" s="56" t="s">
        <v>277</v>
      </c>
      <c r="O74" s="186">
        <v>0</v>
      </c>
      <c r="P74" s="186">
        <f t="shared" ref="P74:AL74" si="13">+P62</f>
        <v>0</v>
      </c>
      <c r="Q74" s="56">
        <f t="shared" si="13"/>
        <v>0</v>
      </c>
      <c r="R74" s="56">
        <f t="shared" si="13"/>
        <v>340.38930532277146</v>
      </c>
      <c r="S74" s="56">
        <f t="shared" si="13"/>
        <v>756.4206784950477</v>
      </c>
      <c r="T74" s="56">
        <f t="shared" si="13"/>
        <v>756.4206784950477</v>
      </c>
      <c r="U74" s="56">
        <f t="shared" si="13"/>
        <v>756.4206784950477</v>
      </c>
      <c r="V74" s="56">
        <f t="shared" si="13"/>
        <v>756.4206784950477</v>
      </c>
      <c r="W74" s="56">
        <f t="shared" si="13"/>
        <v>756.4206784950477</v>
      </c>
      <c r="X74" s="56">
        <f t="shared" si="13"/>
        <v>756.4206784950477</v>
      </c>
      <c r="Y74" s="56">
        <f t="shared" si="13"/>
        <v>756.4206784950477</v>
      </c>
      <c r="Z74" s="56">
        <f t="shared" si="13"/>
        <v>756.4206784950477</v>
      </c>
      <c r="AA74" s="56">
        <f t="shared" si="13"/>
        <v>756.4206784950477</v>
      </c>
      <c r="AB74" s="56">
        <f t="shared" si="13"/>
        <v>756.4206784950477</v>
      </c>
      <c r="AC74" s="56">
        <f t="shared" si="13"/>
        <v>756.4206784950477</v>
      </c>
      <c r="AD74" s="56">
        <f t="shared" si="13"/>
        <v>756.4206784950477</v>
      </c>
      <c r="AE74" s="56">
        <f t="shared" si="13"/>
        <v>756.4206784950477</v>
      </c>
      <c r="AF74" s="56">
        <f t="shared" si="13"/>
        <v>756.4206784950477</v>
      </c>
      <c r="AG74" s="56">
        <f t="shared" si="13"/>
        <v>756.4206784950477</v>
      </c>
      <c r="AH74" s="56">
        <f t="shared" si="13"/>
        <v>756.4206784950477</v>
      </c>
      <c r="AI74" s="56">
        <f t="shared" si="13"/>
        <v>756.4206784950477</v>
      </c>
      <c r="AJ74" s="56">
        <f t="shared" si="13"/>
        <v>756.4206784950477</v>
      </c>
      <c r="AK74" s="56">
        <f t="shared" si="13"/>
        <v>756.4206784950477</v>
      </c>
      <c r="AL74" s="56">
        <f t="shared" si="13"/>
        <v>756.4206784950477</v>
      </c>
      <c r="AM74" s="69">
        <f>SUM(O74:AI74)</f>
        <v>13199.54083973858</v>
      </c>
    </row>
    <row r="75" spans="1:77" s="17" customFormat="1" ht="20.100000000000001" customHeight="1">
      <c r="H75" s="40"/>
      <c r="I75" s="40"/>
      <c r="J75" s="40"/>
      <c r="K75" s="40"/>
      <c r="M75" s="17">
        <f>SUM(O75:R75)</f>
        <v>0</v>
      </c>
      <c r="N75" s="56" t="s">
        <v>278</v>
      </c>
      <c r="O75" s="189">
        <f>+H61</f>
        <v>0</v>
      </c>
      <c r="P75" s="189">
        <f>+H62</f>
        <v>0</v>
      </c>
      <c r="Q75" s="69">
        <f>H63</f>
        <v>0</v>
      </c>
      <c r="R75" s="69">
        <f>H64+H65</f>
        <v>0</v>
      </c>
      <c r="S75" s="69">
        <v>0</v>
      </c>
      <c r="T75" s="69">
        <v>0</v>
      </c>
      <c r="U75" s="69">
        <v>0</v>
      </c>
      <c r="V75" s="69">
        <v>0</v>
      </c>
      <c r="W75" s="69">
        <v>0</v>
      </c>
      <c r="X75" s="69">
        <v>0</v>
      </c>
      <c r="Y75" s="69">
        <v>0</v>
      </c>
      <c r="Z75" s="69">
        <v>0</v>
      </c>
      <c r="AA75" s="69">
        <v>0</v>
      </c>
      <c r="AB75" s="69">
        <v>0</v>
      </c>
      <c r="AC75" s="69">
        <v>0</v>
      </c>
      <c r="AD75" s="69">
        <v>0</v>
      </c>
      <c r="AE75" s="69">
        <v>0</v>
      </c>
      <c r="AF75" s="69">
        <v>0</v>
      </c>
      <c r="AG75" s="69">
        <v>0</v>
      </c>
      <c r="AH75" s="69">
        <v>0</v>
      </c>
      <c r="AI75" s="69">
        <v>0</v>
      </c>
      <c r="AM75" s="69">
        <f>SUM(O75:AI75)</f>
        <v>0</v>
      </c>
    </row>
    <row r="76" spans="1:77" s="17" customFormat="1" ht="20.100000000000001" customHeight="1">
      <c r="A76" s="41"/>
      <c r="B76" s="40"/>
      <c r="C76" s="35"/>
      <c r="D76" s="38"/>
      <c r="E76" s="40"/>
      <c r="F76" s="87"/>
      <c r="G76" s="40"/>
      <c r="H76" s="40"/>
      <c r="I76" s="40"/>
      <c r="J76" s="40"/>
      <c r="K76" s="40"/>
      <c r="M76" s="17" t="e">
        <f>SUM(O76:R76)</f>
        <v>#REF!</v>
      </c>
      <c r="N76" s="56" t="s">
        <v>279</v>
      </c>
      <c r="O76" s="189" t="e">
        <f>+I61</f>
        <v>#REF!</v>
      </c>
      <c r="P76" s="189" t="e">
        <f>+I62</f>
        <v>#REF!</v>
      </c>
      <c r="Q76" s="69" t="e">
        <f>I63</f>
        <v>#REF!</v>
      </c>
      <c r="R76" s="69" t="e">
        <f>I64+I65</f>
        <v>#REF!</v>
      </c>
      <c r="S76" s="69">
        <v>0</v>
      </c>
      <c r="T76" s="69">
        <v>0</v>
      </c>
      <c r="U76" s="69">
        <v>0</v>
      </c>
      <c r="V76" s="69">
        <v>0</v>
      </c>
      <c r="W76" s="69">
        <v>0</v>
      </c>
      <c r="X76" s="69">
        <v>0</v>
      </c>
      <c r="Y76" s="69">
        <v>0</v>
      </c>
      <c r="Z76" s="69">
        <v>0</v>
      </c>
      <c r="AA76" s="69">
        <v>0</v>
      </c>
      <c r="AB76" s="69">
        <v>0</v>
      </c>
      <c r="AC76" s="69">
        <v>0</v>
      </c>
      <c r="AD76" s="69">
        <v>0</v>
      </c>
      <c r="AE76" s="69">
        <v>0</v>
      </c>
      <c r="AF76" s="69">
        <v>0</v>
      </c>
      <c r="AG76" s="69">
        <v>0</v>
      </c>
      <c r="AH76" s="69">
        <v>0</v>
      </c>
      <c r="AI76" s="69">
        <v>0</v>
      </c>
      <c r="AM76" s="69" t="e">
        <f>SUM(O76:AI76)</f>
        <v>#REF!</v>
      </c>
    </row>
    <row r="77" spans="1:77" s="17" customFormat="1" ht="20.100000000000001" customHeight="1">
      <c r="A77" s="41"/>
      <c r="E77" s="38"/>
      <c r="F77" s="38"/>
      <c r="G77" s="59"/>
      <c r="H77" s="40"/>
      <c r="I77" s="40"/>
      <c r="J77" s="40"/>
      <c r="K77" s="40"/>
      <c r="M77" s="88" t="e">
        <f>+M76+M75</f>
        <v>#REF!</v>
      </c>
      <c r="N77" s="67" t="s">
        <v>72</v>
      </c>
      <c r="O77" s="193" t="e">
        <f t="shared" ref="O77:AL77" si="14">SUM(O74:O76)</f>
        <v>#REF!</v>
      </c>
      <c r="P77" s="193" t="e">
        <f t="shared" si="14"/>
        <v>#REF!</v>
      </c>
      <c r="Q77" s="89" t="e">
        <f t="shared" si="14"/>
        <v>#REF!</v>
      </c>
      <c r="R77" s="89" t="e">
        <f t="shared" si="14"/>
        <v>#REF!</v>
      </c>
      <c r="S77" s="89">
        <f t="shared" si="14"/>
        <v>756.4206784950477</v>
      </c>
      <c r="T77" s="89">
        <f t="shared" si="14"/>
        <v>756.4206784950477</v>
      </c>
      <c r="U77" s="89">
        <f t="shared" si="14"/>
        <v>756.4206784950477</v>
      </c>
      <c r="V77" s="89">
        <f t="shared" si="14"/>
        <v>756.4206784950477</v>
      </c>
      <c r="W77" s="89">
        <f t="shared" si="14"/>
        <v>756.4206784950477</v>
      </c>
      <c r="X77" s="89">
        <f t="shared" si="14"/>
        <v>756.4206784950477</v>
      </c>
      <c r="Y77" s="89">
        <f t="shared" si="14"/>
        <v>756.4206784950477</v>
      </c>
      <c r="Z77" s="89">
        <f t="shared" si="14"/>
        <v>756.4206784950477</v>
      </c>
      <c r="AA77" s="89">
        <f t="shared" si="14"/>
        <v>756.4206784950477</v>
      </c>
      <c r="AB77" s="89">
        <f t="shared" si="14"/>
        <v>756.4206784950477</v>
      </c>
      <c r="AC77" s="89">
        <f t="shared" si="14"/>
        <v>756.4206784950477</v>
      </c>
      <c r="AD77" s="89">
        <f t="shared" si="14"/>
        <v>756.4206784950477</v>
      </c>
      <c r="AE77" s="89">
        <f t="shared" si="14"/>
        <v>756.4206784950477</v>
      </c>
      <c r="AF77" s="89">
        <f t="shared" si="14"/>
        <v>756.4206784950477</v>
      </c>
      <c r="AG77" s="89">
        <f t="shared" si="14"/>
        <v>756.4206784950477</v>
      </c>
      <c r="AH77" s="89">
        <f t="shared" si="14"/>
        <v>756.4206784950477</v>
      </c>
      <c r="AI77" s="89">
        <f t="shared" si="14"/>
        <v>756.4206784950477</v>
      </c>
      <c r="AJ77" s="89">
        <f t="shared" si="14"/>
        <v>756.4206784950477</v>
      </c>
      <c r="AK77" s="89">
        <f t="shared" si="14"/>
        <v>756.4206784950477</v>
      </c>
      <c r="AL77" s="89">
        <f t="shared" si="14"/>
        <v>756.4206784950477</v>
      </c>
      <c r="AM77" s="69" t="e">
        <f>SUM(O77:AI77)</f>
        <v>#REF!</v>
      </c>
    </row>
    <row r="78" spans="1:77" s="17" customFormat="1" ht="20.100000000000001" customHeight="1">
      <c r="A78" s="41"/>
      <c r="B78" s="59"/>
      <c r="C78" s="35"/>
      <c r="D78" s="35"/>
      <c r="E78" s="35"/>
      <c r="F78" s="35"/>
      <c r="G78" s="40"/>
      <c r="H78" s="40"/>
      <c r="I78" s="40"/>
      <c r="J78" s="40"/>
      <c r="K78" s="40"/>
      <c r="O78" s="114"/>
      <c r="P78" s="114"/>
      <c r="AM78" s="69"/>
    </row>
    <row r="79" spans="1:77" s="17" customFormat="1" ht="20.100000000000001" customHeight="1">
      <c r="A79" s="41"/>
      <c r="B79" s="40"/>
      <c r="C79" s="90"/>
      <c r="D79" s="38"/>
      <c r="E79" s="40"/>
      <c r="F79" s="40"/>
      <c r="G79" s="40"/>
      <c r="H79" s="59"/>
      <c r="I79" s="59"/>
      <c r="J79" s="59"/>
      <c r="K79" s="59"/>
      <c r="N79" s="56" t="s">
        <v>280</v>
      </c>
      <c r="O79" s="189"/>
      <c r="P79" s="189"/>
      <c r="Q79" s="69"/>
      <c r="R79" s="69"/>
      <c r="S79" s="69"/>
      <c r="T79" s="91"/>
      <c r="U79" s="69"/>
      <c r="V79" s="69"/>
      <c r="W79" s="69"/>
      <c r="X79" s="69"/>
      <c r="Y79" s="69"/>
      <c r="Z79" s="69"/>
      <c r="AA79" s="69"/>
      <c r="AB79" s="69"/>
      <c r="AC79" s="69"/>
      <c r="AD79" s="69"/>
      <c r="AE79" s="69"/>
      <c r="AF79" s="69"/>
      <c r="AG79" s="69"/>
      <c r="AH79" s="69"/>
      <c r="AI79" s="69"/>
      <c r="AM79" s="69">
        <f>SUM(O79:AI79)</f>
        <v>0</v>
      </c>
    </row>
    <row r="80" spans="1:77" s="17" customFormat="1" ht="20.100000000000001" customHeight="1">
      <c r="A80" s="41"/>
      <c r="B80" s="35"/>
      <c r="C80" s="38"/>
      <c r="D80" s="40"/>
      <c r="E80" s="40"/>
      <c r="F80" s="40"/>
      <c r="G80" s="40"/>
      <c r="H80" s="40"/>
      <c r="I80" s="40"/>
      <c r="J80" s="40"/>
      <c r="K80" s="40"/>
      <c r="N80" s="56" t="s">
        <v>281</v>
      </c>
      <c r="O80" s="189"/>
      <c r="P80" s="189"/>
      <c r="Q80" s="69"/>
      <c r="R80" s="69"/>
      <c r="S80" s="69"/>
      <c r="T80" s="69"/>
      <c r="U80" s="69"/>
      <c r="V80" s="69"/>
      <c r="W80" s="69"/>
      <c r="X80" s="69"/>
      <c r="Y80" s="69"/>
      <c r="Z80" s="69"/>
      <c r="AA80" s="69"/>
      <c r="AB80" s="69"/>
      <c r="AC80" s="69"/>
      <c r="AD80" s="69"/>
      <c r="AE80" s="69"/>
      <c r="AF80" s="69"/>
      <c r="AG80" s="69"/>
      <c r="AH80" s="69"/>
      <c r="AI80" s="69"/>
      <c r="AM80" s="69"/>
    </row>
    <row r="81" spans="1:42" s="17" customFormat="1" ht="20.100000000000001" customHeight="1">
      <c r="A81" s="41"/>
      <c r="B81" s="80"/>
      <c r="C81" s="38"/>
      <c r="D81" s="40"/>
      <c r="E81" s="40"/>
      <c r="F81" s="40"/>
      <c r="G81" s="40"/>
      <c r="H81" s="59"/>
      <c r="I81" s="59"/>
      <c r="J81" s="59"/>
      <c r="K81" s="59"/>
      <c r="M81" s="17">
        <f>SUM(O81:R81)</f>
        <v>0</v>
      </c>
      <c r="N81" s="56" t="s">
        <v>282</v>
      </c>
      <c r="O81" s="189">
        <f t="shared" ref="O81:R82" si="15">+O75</f>
        <v>0</v>
      </c>
      <c r="P81" s="189">
        <f t="shared" si="15"/>
        <v>0</v>
      </c>
      <c r="Q81" s="69">
        <f t="shared" si="15"/>
        <v>0</v>
      </c>
      <c r="R81" s="69">
        <f t="shared" si="15"/>
        <v>0</v>
      </c>
      <c r="S81" s="69">
        <v>0</v>
      </c>
      <c r="T81" s="69">
        <v>0</v>
      </c>
      <c r="U81" s="69">
        <v>0</v>
      </c>
      <c r="V81" s="69">
        <v>0</v>
      </c>
      <c r="W81" s="69">
        <v>0</v>
      </c>
      <c r="X81" s="69">
        <v>0</v>
      </c>
      <c r="Y81" s="69">
        <v>0</v>
      </c>
      <c r="Z81" s="69">
        <v>0</v>
      </c>
      <c r="AA81" s="69">
        <v>0</v>
      </c>
      <c r="AB81" s="69">
        <v>0</v>
      </c>
      <c r="AC81" s="69">
        <v>0</v>
      </c>
      <c r="AD81" s="69">
        <v>0</v>
      </c>
      <c r="AE81" s="69">
        <v>0</v>
      </c>
      <c r="AF81" s="69">
        <v>0</v>
      </c>
      <c r="AG81" s="69">
        <v>0</v>
      </c>
      <c r="AH81" s="69">
        <v>0</v>
      </c>
      <c r="AI81" s="69">
        <v>0</v>
      </c>
      <c r="AM81" s="69">
        <f t="shared" ref="AM81:AM87" si="16">SUM(O81:AI81)</f>
        <v>0</v>
      </c>
    </row>
    <row r="82" spans="1:42" s="17" customFormat="1" ht="20.100000000000001" customHeight="1">
      <c r="A82" s="41"/>
      <c r="B82" s="35"/>
      <c r="C82" s="38"/>
      <c r="D82" s="40"/>
      <c r="E82" s="40"/>
      <c r="F82" s="40"/>
      <c r="G82" s="59"/>
      <c r="H82" s="38"/>
      <c r="I82" s="38"/>
      <c r="J82" s="38"/>
      <c r="K82" s="38"/>
      <c r="M82" s="17" t="e">
        <f>SUM(O82:R82)</f>
        <v>#REF!</v>
      </c>
      <c r="N82" s="56" t="s">
        <v>283</v>
      </c>
      <c r="O82" s="189" t="e">
        <f t="shared" si="15"/>
        <v>#REF!</v>
      </c>
      <c r="P82" s="189" t="e">
        <f t="shared" si="15"/>
        <v>#REF!</v>
      </c>
      <c r="Q82" s="69" t="e">
        <f t="shared" si="15"/>
        <v>#REF!</v>
      </c>
      <c r="R82" s="69" t="e">
        <f t="shared" si="15"/>
        <v>#REF!</v>
      </c>
      <c r="S82" s="69">
        <v>0</v>
      </c>
      <c r="T82" s="69">
        <v>0</v>
      </c>
      <c r="U82" s="69">
        <v>0</v>
      </c>
      <c r="V82" s="69">
        <v>0</v>
      </c>
      <c r="W82" s="69">
        <v>0</v>
      </c>
      <c r="X82" s="69">
        <v>0</v>
      </c>
      <c r="Y82" s="69">
        <v>0</v>
      </c>
      <c r="Z82" s="69">
        <v>0</v>
      </c>
      <c r="AA82" s="69">
        <v>0</v>
      </c>
      <c r="AB82" s="69">
        <v>0</v>
      </c>
      <c r="AC82" s="69">
        <v>0</v>
      </c>
      <c r="AD82" s="69">
        <v>0</v>
      </c>
      <c r="AE82" s="69">
        <v>0</v>
      </c>
      <c r="AF82" s="69">
        <v>0</v>
      </c>
      <c r="AG82" s="69">
        <v>0</v>
      </c>
      <c r="AH82" s="69">
        <v>0</v>
      </c>
      <c r="AI82" s="69">
        <v>0</v>
      </c>
      <c r="AM82" s="69" t="e">
        <f t="shared" si="16"/>
        <v>#REF!</v>
      </c>
    </row>
    <row r="83" spans="1:42" s="17" customFormat="1" ht="20.100000000000001" customHeight="1">
      <c r="A83" s="41"/>
      <c r="B83" s="40"/>
      <c r="C83" s="40"/>
      <c r="D83" s="40"/>
      <c r="E83" s="40"/>
      <c r="F83" s="40"/>
      <c r="G83" s="40"/>
      <c r="M83" s="92">
        <v>0.1</v>
      </c>
      <c r="N83" s="56" t="s">
        <v>284</v>
      </c>
      <c r="O83" s="189">
        <f>+AP66</f>
        <v>0</v>
      </c>
      <c r="P83" s="189">
        <v>0</v>
      </c>
      <c r="Q83" s="114" t="e">
        <f>M76*M83*6/12*0</f>
        <v>#REF!</v>
      </c>
      <c r="R83" s="189" t="e">
        <f>($M$76-SUM($Q84:Q$84))*$M$83*6/12</f>
        <v>#REF!</v>
      </c>
      <c r="S83" s="189" t="e">
        <f>($M$76-SUM($Q84:R$84))*$M$83</f>
        <v>#REF!</v>
      </c>
      <c r="T83" s="69" t="e">
        <f>($M$76-SUM($Q84:S$84))*$M$83</f>
        <v>#REF!</v>
      </c>
      <c r="U83" s="69" t="e">
        <f>($M$76-SUM($Q84:T$84))*$M$83</f>
        <v>#REF!</v>
      </c>
      <c r="V83" s="69" t="e">
        <f>($M$76-SUM($Q84:U$84))*$M$83</f>
        <v>#REF!</v>
      </c>
      <c r="W83" s="69" t="e">
        <f>($M$76-SUM($Q84:V$84))*$M$83</f>
        <v>#REF!</v>
      </c>
      <c r="X83" s="69" t="e">
        <f>($M$76-SUM($Q84:W$84))*$M$83</f>
        <v>#REF!</v>
      </c>
      <c r="Y83" s="69" t="e">
        <f>($M$76-SUM($Q84:X$84))*$M$83</f>
        <v>#REF!</v>
      </c>
      <c r="Z83" s="69" t="e">
        <f>($M$76-SUM($Q84:Y$84))*$M$83</f>
        <v>#REF!</v>
      </c>
      <c r="AA83" s="69" t="e">
        <f>($M$76-SUM($Q84:Z$84))*$M$83</f>
        <v>#REF!</v>
      </c>
      <c r="AB83" s="69" t="e">
        <f>($M$76-SUM($Q84:AA$84))*$M$83</f>
        <v>#REF!</v>
      </c>
      <c r="AC83" s="69" t="e">
        <f>($M$76-SUM($Q84:AB$84))*$M$83</f>
        <v>#REF!</v>
      </c>
      <c r="AD83" s="69" t="e">
        <f>($M$76-SUM($Q84:AC$84))*$M$83</f>
        <v>#REF!</v>
      </c>
      <c r="AE83" s="69" t="e">
        <f>($M$76-SUM($Q84:AD$84))*$M$83</f>
        <v>#REF!</v>
      </c>
      <c r="AF83" s="69" t="e">
        <f>($M$76-SUM($Q84:AE$84))*$M$83</f>
        <v>#REF!</v>
      </c>
      <c r="AG83" s="69" t="e">
        <f>($M$76-SUM($Q84:AF$84))*$M$83</f>
        <v>#REF!</v>
      </c>
      <c r="AH83" s="69" t="e">
        <f>($M$76-SUM($Q84:AG$84))*$M$83</f>
        <v>#REF!</v>
      </c>
      <c r="AI83" s="69" t="e">
        <f>($M$76-SUM($Q84:AH$84))*$M$83</f>
        <v>#REF!</v>
      </c>
      <c r="AJ83" s="69" t="e">
        <f>($M$76-SUM($Q84:AI$84))*$M$83</f>
        <v>#REF!</v>
      </c>
      <c r="AK83" s="69" t="e">
        <f>($M$76-SUM($Q84:AJ$84))*$M$83</f>
        <v>#REF!</v>
      </c>
      <c r="AM83" s="69" t="e">
        <f t="shared" si="16"/>
        <v>#REF!</v>
      </c>
    </row>
    <row r="84" spans="1:42" s="17" customFormat="1" ht="20.100000000000001" customHeight="1">
      <c r="A84" s="41"/>
      <c r="B84" s="59"/>
      <c r="C84" s="59"/>
      <c r="D84" s="59"/>
      <c r="E84" s="59"/>
      <c r="F84" s="40"/>
      <c r="G84" s="59"/>
      <c r="M84" s="17" t="e">
        <f>SUM(P84:AL84)</f>
        <v>#REF!</v>
      </c>
      <c r="N84" s="56" t="s">
        <v>285</v>
      </c>
      <c r="O84" s="189">
        <f>+AP69</f>
        <v>0</v>
      </c>
      <c r="P84" s="189">
        <v>0</v>
      </c>
      <c r="Q84" s="69" t="e">
        <f>+$M$82/10*0</f>
        <v>#REF!</v>
      </c>
      <c r="R84" s="69" t="e">
        <f>+$M$82/10*0</f>
        <v>#REF!</v>
      </c>
      <c r="S84" s="69"/>
      <c r="T84" s="69" t="e">
        <f>+$M$82/16</f>
        <v>#REF!</v>
      </c>
      <c r="U84" s="69" t="e">
        <f t="shared" ref="U84:AI84" si="17">+$M$82/16</f>
        <v>#REF!</v>
      </c>
      <c r="V84" s="69" t="e">
        <f t="shared" si="17"/>
        <v>#REF!</v>
      </c>
      <c r="W84" s="69" t="e">
        <f t="shared" si="17"/>
        <v>#REF!</v>
      </c>
      <c r="X84" s="69" t="e">
        <f t="shared" si="17"/>
        <v>#REF!</v>
      </c>
      <c r="Y84" s="69" t="e">
        <f t="shared" si="17"/>
        <v>#REF!</v>
      </c>
      <c r="Z84" s="69" t="e">
        <f t="shared" si="17"/>
        <v>#REF!</v>
      </c>
      <c r="AA84" s="69" t="e">
        <f t="shared" si="17"/>
        <v>#REF!</v>
      </c>
      <c r="AB84" s="69" t="e">
        <f t="shared" si="17"/>
        <v>#REF!</v>
      </c>
      <c r="AC84" s="69" t="e">
        <f t="shared" si="17"/>
        <v>#REF!</v>
      </c>
      <c r="AD84" s="69" t="e">
        <f t="shared" si="17"/>
        <v>#REF!</v>
      </c>
      <c r="AE84" s="69" t="e">
        <f t="shared" si="17"/>
        <v>#REF!</v>
      </c>
      <c r="AF84" s="69" t="e">
        <f t="shared" si="17"/>
        <v>#REF!</v>
      </c>
      <c r="AG84" s="69" t="e">
        <f t="shared" si="17"/>
        <v>#REF!</v>
      </c>
      <c r="AH84" s="69" t="e">
        <f>+$M$82/16</f>
        <v>#REF!</v>
      </c>
      <c r="AI84" s="69" t="e">
        <f t="shared" si="17"/>
        <v>#REF!</v>
      </c>
      <c r="AM84" s="69" t="e">
        <f t="shared" si="16"/>
        <v>#REF!</v>
      </c>
    </row>
    <row r="85" spans="1:42" s="17" customFormat="1" ht="20.100000000000001" customHeight="1">
      <c r="A85" s="41"/>
      <c r="B85" s="38"/>
      <c r="C85" s="38"/>
      <c r="D85" s="38"/>
      <c r="E85" s="38"/>
      <c r="F85" s="38"/>
      <c r="G85" s="38"/>
      <c r="N85" s="81" t="s">
        <v>286</v>
      </c>
      <c r="O85" s="191">
        <f t="shared" ref="O85:AL85" si="18">+O66</f>
        <v>0</v>
      </c>
      <c r="P85" s="191">
        <f t="shared" si="18"/>
        <v>0</v>
      </c>
      <c r="Q85" s="82" t="e">
        <f t="shared" si="18"/>
        <v>#REF!</v>
      </c>
      <c r="R85" s="82" t="e">
        <f t="shared" si="18"/>
        <v>#REF!</v>
      </c>
      <c r="S85" s="82" t="e">
        <f t="shared" si="18"/>
        <v>#REF!</v>
      </c>
      <c r="T85" s="82" t="e">
        <f t="shared" si="18"/>
        <v>#REF!</v>
      </c>
      <c r="U85" s="82" t="e">
        <f t="shared" si="18"/>
        <v>#REF!</v>
      </c>
      <c r="V85" s="82" t="e">
        <f t="shared" si="18"/>
        <v>#REF!</v>
      </c>
      <c r="W85" s="82" t="e">
        <f t="shared" si="18"/>
        <v>#REF!</v>
      </c>
      <c r="X85" s="82" t="e">
        <f t="shared" si="18"/>
        <v>#REF!</v>
      </c>
      <c r="Y85" s="82" t="e">
        <f t="shared" si="18"/>
        <v>#REF!</v>
      </c>
      <c r="Z85" s="82" t="e">
        <f t="shared" si="18"/>
        <v>#REF!</v>
      </c>
      <c r="AA85" s="82" t="e">
        <f t="shared" si="18"/>
        <v>#REF!</v>
      </c>
      <c r="AB85" s="82" t="e">
        <f t="shared" si="18"/>
        <v>#REF!</v>
      </c>
      <c r="AC85" s="82" t="e">
        <f t="shared" si="18"/>
        <v>#REF!</v>
      </c>
      <c r="AD85" s="82" t="e">
        <f t="shared" si="18"/>
        <v>#REF!</v>
      </c>
      <c r="AE85" s="82" t="e">
        <f t="shared" si="18"/>
        <v>#REF!</v>
      </c>
      <c r="AF85" s="82" t="e">
        <f t="shared" si="18"/>
        <v>#REF!</v>
      </c>
      <c r="AG85" s="82" t="e">
        <f t="shared" si="18"/>
        <v>#REF!</v>
      </c>
      <c r="AH85" s="82" t="e">
        <f t="shared" si="18"/>
        <v>#REF!</v>
      </c>
      <c r="AI85" s="82" t="e">
        <f t="shared" si="18"/>
        <v>#REF!</v>
      </c>
      <c r="AJ85" s="82" t="e">
        <f t="shared" si="18"/>
        <v>#REF!</v>
      </c>
      <c r="AK85" s="82" t="e">
        <f t="shared" si="18"/>
        <v>#REF!</v>
      </c>
      <c r="AL85" s="82">
        <f t="shared" si="18"/>
        <v>264.32364189330951</v>
      </c>
      <c r="AM85" s="69" t="e">
        <f t="shared" si="16"/>
        <v>#REF!</v>
      </c>
    </row>
    <row r="86" spans="1:42" s="17" customFormat="1" ht="20.100000000000001" customHeight="1">
      <c r="A86" s="93"/>
      <c r="B86" s="80"/>
      <c r="C86" s="35"/>
      <c r="D86" s="38"/>
      <c r="E86" s="40"/>
      <c r="F86" s="94"/>
      <c r="G86" s="40"/>
      <c r="N86" s="56" t="s">
        <v>72</v>
      </c>
      <c r="O86" s="189" t="e">
        <f t="shared" ref="O86:AL86" si="19">SUM(O80:O85)</f>
        <v>#REF!</v>
      </c>
      <c r="P86" s="189" t="e">
        <f t="shared" si="19"/>
        <v>#REF!</v>
      </c>
      <c r="Q86" s="69" t="e">
        <f t="shared" si="19"/>
        <v>#REF!</v>
      </c>
      <c r="R86" s="69" t="e">
        <f t="shared" si="19"/>
        <v>#REF!</v>
      </c>
      <c r="S86" s="69" t="e">
        <f t="shared" si="19"/>
        <v>#REF!</v>
      </c>
      <c r="T86" s="69" t="e">
        <f t="shared" si="19"/>
        <v>#REF!</v>
      </c>
      <c r="U86" s="69" t="e">
        <f t="shared" si="19"/>
        <v>#REF!</v>
      </c>
      <c r="V86" s="69" t="e">
        <f t="shared" si="19"/>
        <v>#REF!</v>
      </c>
      <c r="W86" s="69" t="e">
        <f t="shared" si="19"/>
        <v>#REF!</v>
      </c>
      <c r="X86" s="69" t="e">
        <f t="shared" si="19"/>
        <v>#REF!</v>
      </c>
      <c r="Y86" s="69" t="e">
        <f t="shared" si="19"/>
        <v>#REF!</v>
      </c>
      <c r="Z86" s="69" t="e">
        <f t="shared" si="19"/>
        <v>#REF!</v>
      </c>
      <c r="AA86" s="69" t="e">
        <f t="shared" si="19"/>
        <v>#REF!</v>
      </c>
      <c r="AB86" s="69" t="e">
        <f t="shared" si="19"/>
        <v>#REF!</v>
      </c>
      <c r="AC86" s="69" t="e">
        <f t="shared" si="19"/>
        <v>#REF!</v>
      </c>
      <c r="AD86" s="69" t="e">
        <f t="shared" si="19"/>
        <v>#REF!</v>
      </c>
      <c r="AE86" s="69" t="e">
        <f t="shared" si="19"/>
        <v>#REF!</v>
      </c>
      <c r="AF86" s="69" t="e">
        <f t="shared" si="19"/>
        <v>#REF!</v>
      </c>
      <c r="AG86" s="69" t="e">
        <f t="shared" si="19"/>
        <v>#REF!</v>
      </c>
      <c r="AH86" s="69" t="e">
        <f t="shared" si="19"/>
        <v>#REF!</v>
      </c>
      <c r="AI86" s="69" t="e">
        <f t="shared" si="19"/>
        <v>#REF!</v>
      </c>
      <c r="AJ86" s="69" t="e">
        <f t="shared" si="19"/>
        <v>#REF!</v>
      </c>
      <c r="AK86" s="69" t="e">
        <f t="shared" si="19"/>
        <v>#REF!</v>
      </c>
      <c r="AL86" s="69">
        <f t="shared" si="19"/>
        <v>264.32364189330951</v>
      </c>
      <c r="AM86" s="69" t="e">
        <f t="shared" si="16"/>
        <v>#REF!</v>
      </c>
    </row>
    <row r="87" spans="1:42" s="17" customFormat="1" ht="20.100000000000001" customHeight="1" thickBot="1">
      <c r="A87" s="38"/>
      <c r="B87" s="38"/>
      <c r="C87" s="38"/>
      <c r="D87" s="38"/>
      <c r="E87" s="38"/>
      <c r="F87" s="38"/>
      <c r="G87" s="38"/>
      <c r="N87" s="95" t="s">
        <v>287</v>
      </c>
      <c r="O87" s="194" t="e">
        <f t="shared" ref="O87:AL87" si="20">+O77-O86</f>
        <v>#REF!</v>
      </c>
      <c r="P87" s="194" t="e">
        <f t="shared" si="20"/>
        <v>#REF!</v>
      </c>
      <c r="Q87" s="96" t="e">
        <f t="shared" si="20"/>
        <v>#REF!</v>
      </c>
      <c r="R87" s="96" t="e">
        <f t="shared" si="20"/>
        <v>#REF!</v>
      </c>
      <c r="S87" s="96" t="e">
        <f t="shared" si="20"/>
        <v>#REF!</v>
      </c>
      <c r="T87" s="96" t="e">
        <f t="shared" si="20"/>
        <v>#REF!</v>
      </c>
      <c r="U87" s="96" t="e">
        <f t="shared" si="20"/>
        <v>#REF!</v>
      </c>
      <c r="V87" s="96" t="e">
        <f t="shared" si="20"/>
        <v>#REF!</v>
      </c>
      <c r="W87" s="96" t="e">
        <f t="shared" si="20"/>
        <v>#REF!</v>
      </c>
      <c r="X87" s="96" t="e">
        <f t="shared" si="20"/>
        <v>#REF!</v>
      </c>
      <c r="Y87" s="96" t="e">
        <f t="shared" si="20"/>
        <v>#REF!</v>
      </c>
      <c r="Z87" s="96" t="e">
        <f t="shared" si="20"/>
        <v>#REF!</v>
      </c>
      <c r="AA87" s="96" t="e">
        <f t="shared" si="20"/>
        <v>#REF!</v>
      </c>
      <c r="AB87" s="96" t="e">
        <f t="shared" si="20"/>
        <v>#REF!</v>
      </c>
      <c r="AC87" s="96" t="e">
        <f t="shared" si="20"/>
        <v>#REF!</v>
      </c>
      <c r="AD87" s="96" t="e">
        <f t="shared" si="20"/>
        <v>#REF!</v>
      </c>
      <c r="AE87" s="96" t="e">
        <f t="shared" si="20"/>
        <v>#REF!</v>
      </c>
      <c r="AF87" s="96" t="e">
        <f t="shared" si="20"/>
        <v>#REF!</v>
      </c>
      <c r="AG87" s="96" t="e">
        <f t="shared" si="20"/>
        <v>#REF!</v>
      </c>
      <c r="AH87" s="96" t="e">
        <f t="shared" si="20"/>
        <v>#REF!</v>
      </c>
      <c r="AI87" s="96" t="e">
        <f t="shared" si="20"/>
        <v>#REF!</v>
      </c>
      <c r="AJ87" s="96" t="e">
        <f t="shared" si="20"/>
        <v>#REF!</v>
      </c>
      <c r="AK87" s="96" t="e">
        <f t="shared" si="20"/>
        <v>#REF!</v>
      </c>
      <c r="AL87" s="96">
        <f t="shared" si="20"/>
        <v>492.09703660173818</v>
      </c>
      <c r="AM87" s="69" t="e">
        <f t="shared" si="16"/>
        <v>#REF!</v>
      </c>
    </row>
    <row r="88" spans="1:42" s="17" customFormat="1" ht="20.100000000000001" customHeight="1" thickBot="1">
      <c r="A88" s="38"/>
      <c r="B88" s="38"/>
      <c r="C88" s="38"/>
      <c r="D88" s="38"/>
      <c r="E88" s="38"/>
      <c r="F88" s="38"/>
      <c r="G88" s="38"/>
      <c r="N88" s="97" t="s">
        <v>288</v>
      </c>
      <c r="O88" s="195" t="e">
        <f>SUM($O$87:O87)</f>
        <v>#REF!</v>
      </c>
      <c r="P88" s="195" t="e">
        <f>SUM($O$87:P87)</f>
        <v>#REF!</v>
      </c>
      <c r="Q88" s="98" t="e">
        <f>SUM($O$87:Q87)</f>
        <v>#REF!</v>
      </c>
      <c r="R88" s="98" t="e">
        <f>SUM($O$87:R87)</f>
        <v>#REF!</v>
      </c>
      <c r="S88" s="98" t="e">
        <f>SUM($O$87:S87)</f>
        <v>#REF!</v>
      </c>
      <c r="T88" s="98" t="e">
        <f>SUM($O$87:T87)</f>
        <v>#REF!</v>
      </c>
      <c r="U88" s="98" t="e">
        <f>SUM($O$87:U87)</f>
        <v>#REF!</v>
      </c>
      <c r="V88" s="98" t="e">
        <f>SUM($O$87:V87)</f>
        <v>#REF!</v>
      </c>
      <c r="W88" s="98" t="e">
        <f>SUM($O$87:W87)</f>
        <v>#REF!</v>
      </c>
      <c r="X88" s="98" t="e">
        <f>SUM($O$87:X87)</f>
        <v>#REF!</v>
      </c>
      <c r="Y88" s="98" t="e">
        <f>SUM($O$87:Y87)</f>
        <v>#REF!</v>
      </c>
      <c r="Z88" s="98" t="e">
        <f>SUM($O$87:Z87)</f>
        <v>#REF!</v>
      </c>
      <c r="AA88" s="98" t="e">
        <f>SUM($O$87:AA87)</f>
        <v>#REF!</v>
      </c>
      <c r="AB88" s="98" t="e">
        <f>SUM($O$87:AB87)</f>
        <v>#REF!</v>
      </c>
      <c r="AC88" s="98" t="e">
        <f>SUM($O$87:AC87)</f>
        <v>#REF!</v>
      </c>
      <c r="AD88" s="98" t="e">
        <f>SUM($O$87:AD87)</f>
        <v>#REF!</v>
      </c>
      <c r="AE88" s="98" t="e">
        <f>SUM($O$87:AE87)</f>
        <v>#REF!</v>
      </c>
      <c r="AF88" s="98" t="e">
        <f>SUM($O$87:AF87)</f>
        <v>#REF!</v>
      </c>
      <c r="AG88" s="98" t="e">
        <f>SUM($O$87:AG87)</f>
        <v>#REF!</v>
      </c>
      <c r="AH88" s="98" t="e">
        <f>SUM($O$87:AH87)</f>
        <v>#REF!</v>
      </c>
      <c r="AI88" s="98" t="e">
        <f>SUM($O$87:AI87)</f>
        <v>#REF!</v>
      </c>
      <c r="AJ88" s="98" t="e">
        <f>SUM($O$87:AJ87)</f>
        <v>#REF!</v>
      </c>
      <c r="AK88" s="98" t="e">
        <f>SUM($O$87:AK87)</f>
        <v>#REF!</v>
      </c>
      <c r="AL88" s="98" t="e">
        <f>SUM($O$87:AL87)</f>
        <v>#REF!</v>
      </c>
      <c r="AM88" s="69"/>
    </row>
    <row r="89" spans="1:42" s="17" customFormat="1" ht="20.100000000000001" customHeight="1">
      <c r="A89" s="38"/>
      <c r="B89" s="38"/>
      <c r="C89" s="38"/>
      <c r="D89" s="38"/>
      <c r="E89" s="38"/>
      <c r="F89" s="38"/>
      <c r="G89" s="38"/>
      <c r="O89" s="114"/>
      <c r="P89" s="114"/>
      <c r="V89" s="17">
        <f>+V70</f>
        <v>0</v>
      </c>
      <c r="AH89" s="17">
        <f>+V89</f>
        <v>0</v>
      </c>
    </row>
    <row r="90" spans="1:42" s="17" customFormat="1" ht="20.100000000000001" customHeight="1">
      <c r="N90" s="18" t="s">
        <v>289</v>
      </c>
      <c r="O90" s="114"/>
      <c r="P90" s="114"/>
      <c r="Q90" s="32"/>
      <c r="T90" s="38"/>
      <c r="U90" s="39"/>
      <c r="V90" s="39"/>
      <c r="W90" s="39"/>
      <c r="X90" s="39"/>
      <c r="Y90" s="39"/>
      <c r="Z90" s="39"/>
      <c r="AA90" s="39"/>
      <c r="AB90" s="39"/>
      <c r="AC90" s="39"/>
      <c r="AD90" s="39"/>
      <c r="AM90" s="69"/>
    </row>
    <row r="91" spans="1:42" s="17" customFormat="1" ht="20.100000000000001" customHeight="1">
      <c r="A91" s="38"/>
      <c r="B91" s="35"/>
      <c r="C91" s="38"/>
      <c r="D91" s="38"/>
      <c r="E91" s="40"/>
      <c r="F91" s="40"/>
      <c r="G91" s="40"/>
      <c r="N91" s="18"/>
      <c r="O91" s="114"/>
      <c r="P91" s="114"/>
      <c r="Q91" s="32"/>
      <c r="T91" s="38"/>
      <c r="U91" s="39">
        <f>+U72</f>
        <v>0</v>
      </c>
      <c r="V91" s="39"/>
      <c r="W91" s="39"/>
      <c r="X91" s="39"/>
      <c r="Y91" s="39"/>
      <c r="Z91" s="39"/>
      <c r="AA91" s="39"/>
      <c r="AB91" s="39"/>
      <c r="AC91" s="39"/>
      <c r="AD91" s="39"/>
      <c r="AH91" s="17">
        <f>+U91</f>
        <v>0</v>
      </c>
      <c r="AM91" s="69"/>
    </row>
    <row r="92" spans="1:42" s="17" customFormat="1" ht="20.100000000000001" customHeight="1">
      <c r="A92" s="38"/>
      <c r="B92" s="59"/>
      <c r="C92" s="59"/>
      <c r="D92" s="59"/>
      <c r="E92" s="59"/>
      <c r="F92" s="59"/>
      <c r="G92" s="59"/>
      <c r="N92" s="25" t="s">
        <v>1</v>
      </c>
      <c r="O92" s="187" t="str">
        <f t="shared" ref="O92:AL92" si="21">+O60</f>
        <v>Yr 1</v>
      </c>
      <c r="P92" s="187" t="str">
        <f t="shared" si="21"/>
        <v>Yr 2</v>
      </c>
      <c r="Q92" s="65" t="str">
        <f t="shared" si="21"/>
        <v>Yr 3</v>
      </c>
      <c r="R92" s="65" t="str">
        <f t="shared" si="21"/>
        <v>Yr 4</v>
      </c>
      <c r="S92" s="65" t="str">
        <f t="shared" si="21"/>
        <v>Yr 5</v>
      </c>
      <c r="T92" s="65" t="str">
        <f t="shared" si="21"/>
        <v>Yr 6</v>
      </c>
      <c r="U92" s="65" t="str">
        <f t="shared" si="21"/>
        <v>Yr 7</v>
      </c>
      <c r="V92" s="65" t="str">
        <f t="shared" si="21"/>
        <v>Yr 8</v>
      </c>
      <c r="W92" s="65" t="str">
        <f t="shared" si="21"/>
        <v>Yr 9</v>
      </c>
      <c r="X92" s="65" t="str">
        <f t="shared" si="21"/>
        <v>Yr 10</v>
      </c>
      <c r="Y92" s="65" t="str">
        <f t="shared" si="21"/>
        <v>Yr 11</v>
      </c>
      <c r="Z92" s="65" t="str">
        <f t="shared" si="21"/>
        <v>Yr 12</v>
      </c>
      <c r="AA92" s="65" t="str">
        <f t="shared" si="21"/>
        <v>Yr 13</v>
      </c>
      <c r="AB92" s="65" t="str">
        <f t="shared" si="21"/>
        <v>Yr 14</v>
      </c>
      <c r="AC92" s="65" t="str">
        <f t="shared" si="21"/>
        <v>Yr 15</v>
      </c>
      <c r="AD92" s="65" t="str">
        <f t="shared" si="21"/>
        <v>Yr 16</v>
      </c>
      <c r="AE92" s="65" t="str">
        <f t="shared" si="21"/>
        <v>Yr 17</v>
      </c>
      <c r="AF92" s="65" t="str">
        <f t="shared" si="21"/>
        <v>Yr 18</v>
      </c>
      <c r="AG92" s="65" t="str">
        <f t="shared" si="21"/>
        <v>Yr 19</v>
      </c>
      <c r="AH92" s="65" t="str">
        <f t="shared" si="21"/>
        <v>Yr 20</v>
      </c>
      <c r="AI92" s="65" t="str">
        <f t="shared" si="21"/>
        <v>Yr 21</v>
      </c>
      <c r="AJ92" s="65" t="str">
        <f t="shared" si="21"/>
        <v>Yr 22</v>
      </c>
      <c r="AK92" s="65" t="str">
        <f t="shared" si="21"/>
        <v>Yr 23</v>
      </c>
      <c r="AL92" s="65" t="str">
        <f t="shared" si="21"/>
        <v>Yr 24</v>
      </c>
      <c r="AM92" s="99" t="s">
        <v>951</v>
      </c>
      <c r="AN92" s="26" t="s">
        <v>952</v>
      </c>
      <c r="AO92" s="26" t="s">
        <v>952</v>
      </c>
      <c r="AP92" s="26" t="s">
        <v>953</v>
      </c>
    </row>
    <row r="93" spans="1:42" s="17" customFormat="1" ht="20.100000000000001" customHeight="1">
      <c r="A93" s="38"/>
      <c r="B93" s="40"/>
      <c r="C93" s="40"/>
      <c r="D93" s="40"/>
      <c r="E93" s="40"/>
      <c r="F93" s="40"/>
      <c r="G93" s="40"/>
      <c r="M93" s="27" t="s">
        <v>9</v>
      </c>
      <c r="N93" s="18" t="s">
        <v>290</v>
      </c>
      <c r="O93" s="196"/>
      <c r="P93" s="196"/>
      <c r="Q93" s="100"/>
      <c r="R93" s="100"/>
      <c r="S93" s="100"/>
      <c r="T93" s="100"/>
      <c r="U93" s="100"/>
      <c r="V93" s="100"/>
      <c r="W93" s="100"/>
      <c r="X93" s="100"/>
      <c r="Y93" s="100"/>
      <c r="Z93" s="100"/>
      <c r="AA93" s="100"/>
      <c r="AB93" s="100"/>
      <c r="AC93" s="100"/>
      <c r="AD93" s="100"/>
      <c r="AE93" s="100"/>
      <c r="AF93" s="100"/>
      <c r="AG93" s="100"/>
      <c r="AH93" s="100"/>
      <c r="AI93" s="100"/>
      <c r="AM93" s="99"/>
      <c r="AN93" s="26"/>
      <c r="AO93" s="26"/>
      <c r="AP93" s="26"/>
    </row>
    <row r="94" spans="1:42" s="17" customFormat="1" ht="20.100000000000001" customHeight="1">
      <c r="A94" s="38"/>
      <c r="B94" s="59"/>
      <c r="C94" s="59"/>
      <c r="D94" s="59"/>
      <c r="E94" s="59"/>
      <c r="F94" s="59"/>
      <c r="G94" s="59"/>
      <c r="K94" s="17" t="e">
        <f>+C66</f>
        <v>#REF!</v>
      </c>
      <c r="L94" s="17" t="e">
        <f>SUM(O94:R94)</f>
        <v>#REF!</v>
      </c>
      <c r="M94" s="101">
        <v>1</v>
      </c>
      <c r="N94" s="17" t="s">
        <v>291</v>
      </c>
      <c r="O94" s="197" t="e">
        <f>+C61</f>
        <v>#REF!</v>
      </c>
      <c r="P94" s="197" t="e">
        <f>+C62</f>
        <v>#REF!</v>
      </c>
      <c r="Q94" s="102" t="e">
        <f>C63</f>
        <v>#REF!</v>
      </c>
      <c r="R94" s="102" t="e">
        <f>C64+C65</f>
        <v>#REF!</v>
      </c>
      <c r="S94" s="102">
        <f t="shared" ref="S94:AI94" si="22">+S81+S82</f>
        <v>0</v>
      </c>
      <c r="T94" s="102">
        <f t="shared" si="22"/>
        <v>0</v>
      </c>
      <c r="U94" s="102">
        <f t="shared" si="22"/>
        <v>0</v>
      </c>
      <c r="V94" s="102">
        <f t="shared" si="22"/>
        <v>0</v>
      </c>
      <c r="W94" s="102">
        <f t="shared" si="22"/>
        <v>0</v>
      </c>
      <c r="X94" s="102">
        <f t="shared" si="22"/>
        <v>0</v>
      </c>
      <c r="Y94" s="102">
        <f t="shared" si="22"/>
        <v>0</v>
      </c>
      <c r="Z94" s="102">
        <f t="shared" si="22"/>
        <v>0</v>
      </c>
      <c r="AA94" s="102">
        <f t="shared" si="22"/>
        <v>0</v>
      </c>
      <c r="AB94" s="102">
        <f t="shared" si="22"/>
        <v>0</v>
      </c>
      <c r="AC94" s="102">
        <f t="shared" si="22"/>
        <v>0</v>
      </c>
      <c r="AD94" s="102">
        <f t="shared" si="22"/>
        <v>0</v>
      </c>
      <c r="AE94" s="102">
        <f t="shared" si="22"/>
        <v>0</v>
      </c>
      <c r="AF94" s="102">
        <f t="shared" si="22"/>
        <v>0</v>
      </c>
      <c r="AG94" s="102">
        <f t="shared" si="22"/>
        <v>0</v>
      </c>
      <c r="AH94" s="102">
        <f t="shared" si="22"/>
        <v>0</v>
      </c>
      <c r="AI94" s="102">
        <f t="shared" si="22"/>
        <v>0</v>
      </c>
      <c r="AM94" s="69" t="e">
        <f>NPV(0.1,O94:AJ94)</f>
        <v>#REF!</v>
      </c>
      <c r="AP94" s="17" t="e">
        <f>+AM98/AM94</f>
        <v>#REF!</v>
      </c>
    </row>
    <row r="95" spans="1:42" s="17" customFormat="1" ht="20.100000000000001" customHeight="1">
      <c r="B95" s="38"/>
      <c r="C95" s="38"/>
      <c r="D95" s="38"/>
      <c r="E95" s="38"/>
      <c r="F95" s="38"/>
      <c r="G95" s="38"/>
      <c r="M95" s="101">
        <v>2</v>
      </c>
      <c r="N95" s="17" t="s">
        <v>286</v>
      </c>
      <c r="O95" s="197">
        <f t="shared" ref="O95:AL95" si="23">+O66</f>
        <v>0</v>
      </c>
      <c r="P95" s="197">
        <f t="shared" si="23"/>
        <v>0</v>
      </c>
      <c r="Q95" s="102" t="e">
        <f t="shared" si="23"/>
        <v>#REF!</v>
      </c>
      <c r="R95" s="102" t="e">
        <f t="shared" si="23"/>
        <v>#REF!</v>
      </c>
      <c r="S95" s="102" t="e">
        <f t="shared" si="23"/>
        <v>#REF!</v>
      </c>
      <c r="T95" s="102" t="e">
        <f t="shared" si="23"/>
        <v>#REF!</v>
      </c>
      <c r="U95" s="102" t="e">
        <f t="shared" si="23"/>
        <v>#REF!</v>
      </c>
      <c r="V95" s="102" t="e">
        <f t="shared" si="23"/>
        <v>#REF!</v>
      </c>
      <c r="W95" s="102" t="e">
        <f t="shared" si="23"/>
        <v>#REF!</v>
      </c>
      <c r="X95" s="102" t="e">
        <f t="shared" si="23"/>
        <v>#REF!</v>
      </c>
      <c r="Y95" s="102" t="e">
        <f t="shared" si="23"/>
        <v>#REF!</v>
      </c>
      <c r="Z95" s="102" t="e">
        <f t="shared" si="23"/>
        <v>#REF!</v>
      </c>
      <c r="AA95" s="102" t="e">
        <f t="shared" si="23"/>
        <v>#REF!</v>
      </c>
      <c r="AB95" s="102" t="e">
        <f t="shared" si="23"/>
        <v>#REF!</v>
      </c>
      <c r="AC95" s="102" t="e">
        <f t="shared" si="23"/>
        <v>#REF!</v>
      </c>
      <c r="AD95" s="102" t="e">
        <f t="shared" si="23"/>
        <v>#REF!</v>
      </c>
      <c r="AE95" s="102" t="e">
        <f t="shared" si="23"/>
        <v>#REF!</v>
      </c>
      <c r="AF95" s="102" t="e">
        <f t="shared" si="23"/>
        <v>#REF!</v>
      </c>
      <c r="AG95" s="102" t="e">
        <f t="shared" si="23"/>
        <v>#REF!</v>
      </c>
      <c r="AH95" s="102" t="e">
        <f t="shared" si="23"/>
        <v>#REF!</v>
      </c>
      <c r="AI95" s="102" t="e">
        <f t="shared" si="23"/>
        <v>#REF!</v>
      </c>
      <c r="AJ95" s="102" t="e">
        <f t="shared" si="23"/>
        <v>#REF!</v>
      </c>
      <c r="AK95" s="102" t="e">
        <f t="shared" si="23"/>
        <v>#REF!</v>
      </c>
      <c r="AL95" s="102">
        <f t="shared" si="23"/>
        <v>264.32364189330951</v>
      </c>
      <c r="AM95" s="69" t="e">
        <f>NPV(0.1,O95:AJ95)</f>
        <v>#REF!</v>
      </c>
    </row>
    <row r="96" spans="1:42" s="17" customFormat="1" ht="20.100000000000001" customHeight="1">
      <c r="A96" s="38"/>
      <c r="B96" s="76"/>
      <c r="C96" s="38"/>
      <c r="D96" s="38"/>
      <c r="M96" s="101"/>
      <c r="N96" s="103" t="s">
        <v>292</v>
      </c>
      <c r="O96" s="197" t="e">
        <f t="shared" ref="O96:AL96" si="24">SUM(O94:O95)</f>
        <v>#REF!</v>
      </c>
      <c r="P96" s="197" t="e">
        <f t="shared" si="24"/>
        <v>#REF!</v>
      </c>
      <c r="Q96" s="102" t="e">
        <f t="shared" si="24"/>
        <v>#REF!</v>
      </c>
      <c r="R96" s="102" t="e">
        <f t="shared" si="24"/>
        <v>#REF!</v>
      </c>
      <c r="S96" s="102" t="e">
        <f t="shared" si="24"/>
        <v>#REF!</v>
      </c>
      <c r="T96" s="102" t="e">
        <f t="shared" si="24"/>
        <v>#REF!</v>
      </c>
      <c r="U96" s="102" t="e">
        <f t="shared" si="24"/>
        <v>#REF!</v>
      </c>
      <c r="V96" s="102" t="e">
        <f t="shared" si="24"/>
        <v>#REF!</v>
      </c>
      <c r="W96" s="102" t="e">
        <f t="shared" si="24"/>
        <v>#REF!</v>
      </c>
      <c r="X96" s="102" t="e">
        <f t="shared" si="24"/>
        <v>#REF!</v>
      </c>
      <c r="Y96" s="102" t="e">
        <f t="shared" si="24"/>
        <v>#REF!</v>
      </c>
      <c r="Z96" s="102" t="e">
        <f t="shared" si="24"/>
        <v>#REF!</v>
      </c>
      <c r="AA96" s="102" t="e">
        <f t="shared" si="24"/>
        <v>#REF!</v>
      </c>
      <c r="AB96" s="102" t="e">
        <f t="shared" si="24"/>
        <v>#REF!</v>
      </c>
      <c r="AC96" s="102" t="e">
        <f t="shared" si="24"/>
        <v>#REF!</v>
      </c>
      <c r="AD96" s="102" t="e">
        <f t="shared" si="24"/>
        <v>#REF!</v>
      </c>
      <c r="AE96" s="102" t="e">
        <f t="shared" si="24"/>
        <v>#REF!</v>
      </c>
      <c r="AF96" s="102" t="e">
        <f t="shared" si="24"/>
        <v>#REF!</v>
      </c>
      <c r="AG96" s="102" t="e">
        <f t="shared" si="24"/>
        <v>#REF!</v>
      </c>
      <c r="AH96" s="102" t="e">
        <f t="shared" si="24"/>
        <v>#REF!</v>
      </c>
      <c r="AI96" s="102" t="e">
        <f t="shared" si="24"/>
        <v>#REF!</v>
      </c>
      <c r="AJ96" s="102" t="e">
        <f t="shared" si="24"/>
        <v>#REF!</v>
      </c>
      <c r="AK96" s="102" t="e">
        <f t="shared" si="24"/>
        <v>#REF!</v>
      </c>
      <c r="AL96" s="102">
        <f t="shared" si="24"/>
        <v>264.32364189330951</v>
      </c>
      <c r="AM96" s="69"/>
    </row>
    <row r="97" spans="1:41" s="17" customFormat="1" ht="20.100000000000001" customHeight="1">
      <c r="B97" s="35"/>
      <c r="C97" s="35"/>
      <c r="D97" s="38"/>
      <c r="E97" s="32"/>
      <c r="F97" s="52"/>
      <c r="G97" s="32"/>
      <c r="M97" s="27" t="s">
        <v>10</v>
      </c>
      <c r="N97" s="18" t="s">
        <v>293</v>
      </c>
      <c r="O97" s="197"/>
      <c r="P97" s="197"/>
      <c r="Q97" s="102"/>
      <c r="R97" s="102"/>
      <c r="S97" s="102"/>
      <c r="T97" s="102"/>
      <c r="U97" s="102"/>
      <c r="V97" s="102"/>
      <c r="W97" s="102"/>
      <c r="X97" s="102"/>
      <c r="Y97" s="102"/>
      <c r="Z97" s="102"/>
      <c r="AA97" s="102"/>
      <c r="AB97" s="102"/>
      <c r="AC97" s="102"/>
      <c r="AD97" s="102"/>
      <c r="AE97" s="102"/>
      <c r="AF97" s="102"/>
      <c r="AG97" s="102"/>
      <c r="AH97" s="102"/>
      <c r="AI97" s="102"/>
      <c r="AJ97" s="102"/>
      <c r="AK97" s="102"/>
      <c r="AL97" s="102"/>
      <c r="AM97" s="69"/>
    </row>
    <row r="98" spans="1:41" s="17" customFormat="1" ht="20.100000000000001" customHeight="1">
      <c r="A98" s="38"/>
      <c r="B98" s="40"/>
      <c r="C98" s="35"/>
      <c r="D98" s="38"/>
      <c r="E98" s="32"/>
      <c r="F98" s="55"/>
      <c r="G98" s="32"/>
      <c r="M98" s="101">
        <v>1</v>
      </c>
      <c r="N98" s="17" t="s">
        <v>294</v>
      </c>
      <c r="O98" s="185">
        <f t="shared" ref="O98:AL98" si="25">+O74</f>
        <v>0</v>
      </c>
      <c r="P98" s="185">
        <f t="shared" si="25"/>
        <v>0</v>
      </c>
      <c r="Q98" s="104">
        <f t="shared" si="25"/>
        <v>0</v>
      </c>
      <c r="R98" s="104">
        <f t="shared" si="25"/>
        <v>340.38930532277146</v>
      </c>
      <c r="S98" s="104">
        <f t="shared" si="25"/>
        <v>756.4206784950477</v>
      </c>
      <c r="T98" s="104">
        <f t="shared" si="25"/>
        <v>756.4206784950477</v>
      </c>
      <c r="U98" s="104">
        <f t="shared" si="25"/>
        <v>756.4206784950477</v>
      </c>
      <c r="V98" s="104">
        <f t="shared" si="25"/>
        <v>756.4206784950477</v>
      </c>
      <c r="W98" s="104">
        <f t="shared" si="25"/>
        <v>756.4206784950477</v>
      </c>
      <c r="X98" s="104">
        <f t="shared" si="25"/>
        <v>756.4206784950477</v>
      </c>
      <c r="Y98" s="104">
        <f t="shared" si="25"/>
        <v>756.4206784950477</v>
      </c>
      <c r="Z98" s="104">
        <f t="shared" si="25"/>
        <v>756.4206784950477</v>
      </c>
      <c r="AA98" s="104">
        <f t="shared" si="25"/>
        <v>756.4206784950477</v>
      </c>
      <c r="AB98" s="104">
        <f t="shared" si="25"/>
        <v>756.4206784950477</v>
      </c>
      <c r="AC98" s="104">
        <f t="shared" si="25"/>
        <v>756.4206784950477</v>
      </c>
      <c r="AD98" s="104">
        <f t="shared" si="25"/>
        <v>756.4206784950477</v>
      </c>
      <c r="AE98" s="104">
        <f t="shared" si="25"/>
        <v>756.4206784950477</v>
      </c>
      <c r="AF98" s="104">
        <f t="shared" si="25"/>
        <v>756.4206784950477</v>
      </c>
      <c r="AG98" s="104">
        <f t="shared" si="25"/>
        <v>756.4206784950477</v>
      </c>
      <c r="AH98" s="104">
        <f t="shared" si="25"/>
        <v>756.4206784950477</v>
      </c>
      <c r="AI98" s="104">
        <f t="shared" si="25"/>
        <v>756.4206784950477</v>
      </c>
      <c r="AJ98" s="104">
        <f t="shared" si="25"/>
        <v>756.4206784950477</v>
      </c>
      <c r="AK98" s="104">
        <f t="shared" si="25"/>
        <v>756.4206784950477</v>
      </c>
      <c r="AL98" s="104">
        <f t="shared" si="25"/>
        <v>756.4206784950477</v>
      </c>
      <c r="AM98" s="69">
        <f>NPV(0.1,O98:AJ98)</f>
        <v>4469.7131420729356</v>
      </c>
    </row>
    <row r="99" spans="1:41" s="17" customFormat="1" ht="20.100000000000001" customHeight="1">
      <c r="A99" s="38"/>
      <c r="B99" s="40"/>
      <c r="C99" s="35"/>
      <c r="D99" s="38"/>
      <c r="E99" s="32"/>
      <c r="F99" s="55"/>
      <c r="G99" s="32"/>
      <c r="L99" s="17" t="e">
        <f>SUM(O99:R99)</f>
        <v>#REF!</v>
      </c>
      <c r="M99" s="101">
        <v>2</v>
      </c>
      <c r="N99" s="17" t="s">
        <v>1049</v>
      </c>
      <c r="O99" s="185"/>
      <c r="P99" s="185"/>
      <c r="Q99" s="185" t="e">
        <f>+J66/2</f>
        <v>#REF!</v>
      </c>
      <c r="R99" s="185" t="e">
        <f>+J66/2</f>
        <v>#REF!</v>
      </c>
      <c r="S99" s="104"/>
      <c r="T99" s="104"/>
      <c r="U99" s="104"/>
      <c r="V99" s="104"/>
      <c r="W99" s="104"/>
      <c r="X99" s="104"/>
      <c r="Y99" s="104"/>
      <c r="Z99" s="104"/>
      <c r="AA99" s="104"/>
      <c r="AB99" s="104"/>
      <c r="AC99" s="104"/>
      <c r="AD99" s="104"/>
      <c r="AE99" s="104"/>
      <c r="AF99" s="104"/>
      <c r="AG99" s="104"/>
      <c r="AH99" s="104"/>
      <c r="AI99" s="104"/>
      <c r="AJ99" s="104"/>
      <c r="AK99" s="104"/>
      <c r="AL99" s="104" t="e">
        <f>AO63*0.05</f>
        <v>#REF!</v>
      </c>
      <c r="AM99" s="69"/>
    </row>
    <row r="100" spans="1:41" s="17" customFormat="1" ht="20.100000000000001" customHeight="1">
      <c r="A100" s="38"/>
      <c r="B100" s="40"/>
      <c r="C100" s="35"/>
      <c r="D100" s="38"/>
      <c r="E100" s="32"/>
      <c r="F100" s="55"/>
      <c r="G100" s="32"/>
      <c r="M100" s="101"/>
      <c r="N100" s="31" t="s">
        <v>295</v>
      </c>
      <c r="O100" s="185">
        <f t="shared" ref="O100:AL100" si="26">SUM(O98:O99)</f>
        <v>0</v>
      </c>
      <c r="P100" s="185">
        <f t="shared" si="26"/>
        <v>0</v>
      </c>
      <c r="Q100" s="104" t="e">
        <f t="shared" si="26"/>
        <v>#REF!</v>
      </c>
      <c r="R100" s="104" t="e">
        <f t="shared" si="26"/>
        <v>#REF!</v>
      </c>
      <c r="S100" s="104">
        <f t="shared" si="26"/>
        <v>756.4206784950477</v>
      </c>
      <c r="T100" s="104">
        <f t="shared" si="26"/>
        <v>756.4206784950477</v>
      </c>
      <c r="U100" s="104">
        <f t="shared" si="26"/>
        <v>756.4206784950477</v>
      </c>
      <c r="V100" s="104">
        <f t="shared" si="26"/>
        <v>756.4206784950477</v>
      </c>
      <c r="W100" s="104">
        <f t="shared" si="26"/>
        <v>756.4206784950477</v>
      </c>
      <c r="X100" s="104">
        <f t="shared" si="26"/>
        <v>756.4206784950477</v>
      </c>
      <c r="Y100" s="104">
        <f t="shared" si="26"/>
        <v>756.4206784950477</v>
      </c>
      <c r="Z100" s="104">
        <f t="shared" si="26"/>
        <v>756.4206784950477</v>
      </c>
      <c r="AA100" s="104">
        <f t="shared" si="26"/>
        <v>756.4206784950477</v>
      </c>
      <c r="AB100" s="104">
        <f t="shared" si="26"/>
        <v>756.4206784950477</v>
      </c>
      <c r="AC100" s="104">
        <f t="shared" si="26"/>
        <v>756.4206784950477</v>
      </c>
      <c r="AD100" s="104">
        <f t="shared" si="26"/>
        <v>756.4206784950477</v>
      </c>
      <c r="AE100" s="104">
        <f t="shared" si="26"/>
        <v>756.4206784950477</v>
      </c>
      <c r="AF100" s="104">
        <f t="shared" si="26"/>
        <v>756.4206784950477</v>
      </c>
      <c r="AG100" s="104">
        <f t="shared" si="26"/>
        <v>756.4206784950477</v>
      </c>
      <c r="AH100" s="104">
        <f t="shared" si="26"/>
        <v>756.4206784950477</v>
      </c>
      <c r="AI100" s="104">
        <f t="shared" si="26"/>
        <v>756.4206784950477</v>
      </c>
      <c r="AJ100" s="104">
        <f t="shared" si="26"/>
        <v>756.4206784950477</v>
      </c>
      <c r="AK100" s="104">
        <f t="shared" si="26"/>
        <v>756.4206784950477</v>
      </c>
      <c r="AL100" s="104" t="e">
        <f t="shared" si="26"/>
        <v>#REF!</v>
      </c>
      <c r="AM100" s="69"/>
    </row>
    <row r="101" spans="1:41" s="17" customFormat="1" ht="20.100000000000001" customHeight="1">
      <c r="A101" s="38"/>
      <c r="B101" s="40"/>
      <c r="C101" s="40"/>
      <c r="D101" s="59"/>
      <c r="E101" s="58"/>
      <c r="F101" s="58"/>
      <c r="G101" s="58"/>
      <c r="M101" s="27" t="s">
        <v>11</v>
      </c>
      <c r="N101" s="18" t="s">
        <v>296</v>
      </c>
      <c r="O101" s="185"/>
      <c r="P101" s="185"/>
      <c r="Q101" s="104"/>
      <c r="R101" s="104"/>
      <c r="S101" s="104"/>
      <c r="T101" s="104"/>
      <c r="U101" s="104"/>
      <c r="V101" s="104"/>
      <c r="W101" s="104"/>
      <c r="X101" s="104"/>
      <c r="Y101" s="104"/>
      <c r="Z101" s="104"/>
      <c r="AA101" s="104"/>
      <c r="AB101" s="104"/>
      <c r="AC101" s="104"/>
      <c r="AD101" s="104"/>
      <c r="AE101" s="104"/>
      <c r="AF101" s="104"/>
      <c r="AG101" s="104"/>
      <c r="AH101" s="104"/>
      <c r="AI101" s="104"/>
      <c r="AJ101" s="104"/>
      <c r="AK101" s="104"/>
      <c r="AL101" s="104"/>
      <c r="AM101" s="69"/>
    </row>
    <row r="102" spans="1:41" s="19" customFormat="1" ht="20.100000000000001" customHeight="1">
      <c r="A102" s="137"/>
      <c r="B102" s="1058"/>
      <c r="C102" s="137"/>
      <c r="D102" s="137"/>
      <c r="E102" s="761"/>
      <c r="F102" s="761"/>
      <c r="G102" s="761"/>
      <c r="M102" s="328">
        <v>1</v>
      </c>
      <c r="N102" s="19" t="s">
        <v>297</v>
      </c>
      <c r="O102" s="1059" t="e">
        <f t="shared" ref="O102:AL102" si="27">+O100-O96+O95</f>
        <v>#REF!</v>
      </c>
      <c r="P102" s="1059" t="e">
        <f t="shared" si="27"/>
        <v>#REF!</v>
      </c>
      <c r="Q102" s="596" t="e">
        <f t="shared" si="27"/>
        <v>#REF!</v>
      </c>
      <c r="R102" s="596" t="e">
        <f t="shared" si="27"/>
        <v>#REF!</v>
      </c>
      <c r="S102" s="596" t="e">
        <f t="shared" si="27"/>
        <v>#REF!</v>
      </c>
      <c r="T102" s="596" t="e">
        <f t="shared" si="27"/>
        <v>#REF!</v>
      </c>
      <c r="U102" s="596" t="e">
        <f t="shared" si="27"/>
        <v>#REF!</v>
      </c>
      <c r="V102" s="596" t="e">
        <f t="shared" si="27"/>
        <v>#REF!</v>
      </c>
      <c r="W102" s="596" t="e">
        <f t="shared" si="27"/>
        <v>#REF!</v>
      </c>
      <c r="X102" s="596" t="e">
        <f t="shared" si="27"/>
        <v>#REF!</v>
      </c>
      <c r="Y102" s="596" t="e">
        <f t="shared" si="27"/>
        <v>#REF!</v>
      </c>
      <c r="Z102" s="596" t="e">
        <f t="shared" si="27"/>
        <v>#REF!</v>
      </c>
      <c r="AA102" s="596" t="e">
        <f t="shared" si="27"/>
        <v>#REF!</v>
      </c>
      <c r="AB102" s="596" t="e">
        <f t="shared" si="27"/>
        <v>#REF!</v>
      </c>
      <c r="AC102" s="596" t="e">
        <f t="shared" si="27"/>
        <v>#REF!</v>
      </c>
      <c r="AD102" s="596" t="e">
        <f t="shared" si="27"/>
        <v>#REF!</v>
      </c>
      <c r="AE102" s="596" t="e">
        <f t="shared" si="27"/>
        <v>#REF!</v>
      </c>
      <c r="AF102" s="596" t="e">
        <f t="shared" si="27"/>
        <v>#REF!</v>
      </c>
      <c r="AG102" s="596" t="e">
        <f t="shared" si="27"/>
        <v>#REF!</v>
      </c>
      <c r="AH102" s="596" t="e">
        <f t="shared" si="27"/>
        <v>#REF!</v>
      </c>
      <c r="AI102" s="596" t="e">
        <f t="shared" si="27"/>
        <v>#REF!</v>
      </c>
      <c r="AJ102" s="596" t="e">
        <f t="shared" si="27"/>
        <v>#REF!</v>
      </c>
      <c r="AK102" s="596" t="e">
        <f t="shared" si="27"/>
        <v>#REF!</v>
      </c>
      <c r="AL102" s="596" t="e">
        <f t="shared" si="27"/>
        <v>#REF!</v>
      </c>
      <c r="AM102" s="766"/>
      <c r="AN102" s="1060"/>
      <c r="AO102" s="1060"/>
    </row>
    <row r="103" spans="1:41" s="19" customFormat="1" ht="20.100000000000001" customHeight="1">
      <c r="A103" s="137"/>
      <c r="B103" s="1058"/>
      <c r="C103" s="137"/>
      <c r="D103" s="137"/>
      <c r="E103" s="761"/>
      <c r="F103" s="761"/>
      <c r="G103" s="761"/>
      <c r="M103" s="328">
        <v>2</v>
      </c>
      <c r="N103" s="19" t="s">
        <v>298</v>
      </c>
      <c r="O103" s="138" t="e">
        <f t="shared" ref="O103:AL103" si="28">+O100-O96</f>
        <v>#REF!</v>
      </c>
      <c r="P103" s="138" t="e">
        <f t="shared" si="28"/>
        <v>#REF!</v>
      </c>
      <c r="Q103" s="19" t="e">
        <f t="shared" si="28"/>
        <v>#REF!</v>
      </c>
      <c r="R103" s="19" t="e">
        <f t="shared" si="28"/>
        <v>#REF!</v>
      </c>
      <c r="S103" s="19" t="e">
        <f t="shared" si="28"/>
        <v>#REF!</v>
      </c>
      <c r="T103" s="19" t="e">
        <f t="shared" si="28"/>
        <v>#REF!</v>
      </c>
      <c r="U103" s="19" t="e">
        <f t="shared" si="28"/>
        <v>#REF!</v>
      </c>
      <c r="V103" s="19" t="e">
        <f t="shared" si="28"/>
        <v>#REF!</v>
      </c>
      <c r="W103" s="19" t="e">
        <f t="shared" si="28"/>
        <v>#REF!</v>
      </c>
      <c r="X103" s="19" t="e">
        <f t="shared" si="28"/>
        <v>#REF!</v>
      </c>
      <c r="Y103" s="19" t="e">
        <f t="shared" si="28"/>
        <v>#REF!</v>
      </c>
      <c r="Z103" s="19" t="e">
        <f t="shared" si="28"/>
        <v>#REF!</v>
      </c>
      <c r="AA103" s="19" t="e">
        <f t="shared" si="28"/>
        <v>#REF!</v>
      </c>
      <c r="AB103" s="19" t="e">
        <f t="shared" si="28"/>
        <v>#REF!</v>
      </c>
      <c r="AC103" s="19" t="e">
        <f t="shared" si="28"/>
        <v>#REF!</v>
      </c>
      <c r="AD103" s="19" t="e">
        <f t="shared" si="28"/>
        <v>#REF!</v>
      </c>
      <c r="AE103" s="19" t="e">
        <f t="shared" si="28"/>
        <v>#REF!</v>
      </c>
      <c r="AF103" s="19" t="e">
        <f t="shared" si="28"/>
        <v>#REF!</v>
      </c>
      <c r="AG103" s="19" t="e">
        <f t="shared" si="28"/>
        <v>#REF!</v>
      </c>
      <c r="AH103" s="19" t="e">
        <f t="shared" si="28"/>
        <v>#REF!</v>
      </c>
      <c r="AI103" s="19" t="e">
        <f t="shared" si="28"/>
        <v>#REF!</v>
      </c>
      <c r="AJ103" s="19" t="e">
        <f t="shared" si="28"/>
        <v>#REF!</v>
      </c>
      <c r="AK103" s="19" t="e">
        <f t="shared" si="28"/>
        <v>#REF!</v>
      </c>
      <c r="AL103" s="19" t="e">
        <f t="shared" si="28"/>
        <v>#REF!</v>
      </c>
      <c r="AM103" s="766"/>
      <c r="AN103" s="1060"/>
    </row>
    <row r="104" spans="1:41" s="19" customFormat="1" ht="20.100000000000001" customHeight="1">
      <c r="A104" s="137"/>
      <c r="B104" s="1058"/>
      <c r="C104" s="137"/>
      <c r="D104" s="137"/>
      <c r="E104" s="761"/>
      <c r="F104" s="761"/>
      <c r="G104" s="761"/>
      <c r="M104" s="1061" t="s">
        <v>12</v>
      </c>
      <c r="N104" s="131" t="s">
        <v>738</v>
      </c>
      <c r="O104" s="138"/>
      <c r="P104" s="138"/>
      <c r="AJ104" s="766"/>
      <c r="AK104" s="766"/>
      <c r="AL104" s="766"/>
      <c r="AN104" s="1060"/>
    </row>
    <row r="105" spans="1:41" s="19" customFormat="1" ht="20.100000000000001" customHeight="1">
      <c r="A105" s="137"/>
      <c r="B105" s="596"/>
      <c r="C105" s="596"/>
      <c r="D105" s="137"/>
      <c r="E105" s="761"/>
      <c r="F105" s="761"/>
      <c r="G105" s="761"/>
      <c r="M105" s="1062">
        <v>1</v>
      </c>
      <c r="N105" s="19" t="s">
        <v>297</v>
      </c>
      <c r="O105" s="138" t="e">
        <f>NPV(0.1,O102:AL102)</f>
        <v>#REF!</v>
      </c>
      <c r="P105" s="138"/>
      <c r="AJ105" s="766"/>
      <c r="AK105" s="766"/>
      <c r="AL105" s="766"/>
      <c r="AN105" s="1060"/>
    </row>
    <row r="106" spans="1:41" s="19" customFormat="1" ht="20.100000000000001" customHeight="1">
      <c r="A106" s="137"/>
      <c r="B106" s="137"/>
      <c r="C106" s="137"/>
      <c r="D106" s="1063"/>
      <c r="E106" s="1064"/>
      <c r="F106" s="1064"/>
      <c r="G106" s="1064"/>
      <c r="M106" s="328">
        <v>2</v>
      </c>
      <c r="N106" s="19" t="s">
        <v>299</v>
      </c>
      <c r="O106" s="138" t="e">
        <f>NPV(0.1,O103:AL103)</f>
        <v>#REF!</v>
      </c>
      <c r="P106" s="138"/>
      <c r="AJ106" s="766"/>
      <c r="AK106" s="766"/>
      <c r="AL106" s="766"/>
      <c r="AN106" s="1060"/>
    </row>
    <row r="107" spans="1:41" s="17" customFormat="1" ht="20.100000000000001" customHeight="1">
      <c r="A107" s="38"/>
      <c r="B107" s="76"/>
      <c r="C107" s="38"/>
      <c r="D107" s="38"/>
      <c r="E107" s="32"/>
      <c r="F107" s="32"/>
      <c r="G107" s="32"/>
      <c r="M107" s="27" t="s">
        <v>13</v>
      </c>
      <c r="N107" s="18" t="s">
        <v>300</v>
      </c>
      <c r="O107" s="114"/>
      <c r="P107" s="114"/>
      <c r="AJ107" s="69"/>
      <c r="AK107" s="69"/>
      <c r="AL107" s="69"/>
      <c r="AN107" s="105"/>
    </row>
    <row r="108" spans="1:41" s="19" customFormat="1" ht="20.100000000000001" customHeight="1">
      <c r="A108" s="137"/>
      <c r="B108" s="1065"/>
      <c r="C108" s="1065"/>
      <c r="D108" s="137"/>
      <c r="E108" s="1064"/>
      <c r="F108" s="1064"/>
      <c r="G108" s="1064"/>
      <c r="M108" s="328">
        <v>1</v>
      </c>
      <c r="N108" s="19" t="s">
        <v>297</v>
      </c>
      <c r="O108" s="1066" t="e">
        <f>IRR(O102:AL102)</f>
        <v>#VALUE!</v>
      </c>
      <c r="P108" s="138"/>
      <c r="AJ108" s="766"/>
      <c r="AK108" s="766"/>
      <c r="AL108" s="766"/>
      <c r="AN108" s="1060"/>
    </row>
    <row r="109" spans="1:41" s="19" customFormat="1" ht="20.100000000000001" customHeight="1">
      <c r="B109" s="761"/>
      <c r="C109" s="1065"/>
      <c r="D109" s="137"/>
      <c r="M109" s="1067">
        <v>2</v>
      </c>
      <c r="N109" s="19" t="s">
        <v>299</v>
      </c>
      <c r="O109" s="1066" t="e">
        <f>IRR(O103:AL103)</f>
        <v>#VALUE!</v>
      </c>
      <c r="P109" s="1068"/>
      <c r="AJ109" s="766"/>
      <c r="AK109" s="766"/>
      <c r="AL109" s="766"/>
    </row>
    <row r="110" spans="1:41" s="17" customFormat="1">
      <c r="A110" s="38"/>
      <c r="B110" s="32"/>
      <c r="C110" s="32"/>
      <c r="D110" s="59"/>
      <c r="M110" s="41"/>
      <c r="O110" s="198"/>
      <c r="P110" s="144"/>
    </row>
    <row r="111" spans="1:41" s="17" customFormat="1">
      <c r="B111" s="52"/>
      <c r="C111" s="38"/>
      <c r="D111" s="38"/>
      <c r="N111" s="66"/>
      <c r="O111" s="199"/>
      <c r="P111" s="199"/>
      <c r="Q111" s="107"/>
      <c r="R111" s="107"/>
      <c r="S111" s="107"/>
      <c r="T111" s="107"/>
      <c r="U111" s="107"/>
      <c r="V111" s="107"/>
      <c r="W111" s="107"/>
      <c r="X111" s="107"/>
      <c r="Y111" s="107"/>
      <c r="Z111" s="107"/>
      <c r="AA111" s="107"/>
      <c r="AB111" s="107"/>
      <c r="AC111" s="107"/>
      <c r="AD111" s="107"/>
      <c r="AE111" s="107"/>
      <c r="AF111" s="107"/>
      <c r="AG111" s="107"/>
      <c r="AH111" s="107"/>
      <c r="AI111" s="107"/>
      <c r="AJ111" s="107"/>
      <c r="AK111" s="107"/>
      <c r="AL111" s="107"/>
    </row>
    <row r="112" spans="1:41" s="17" customFormat="1">
      <c r="A112" s="38"/>
      <c r="B112" s="52"/>
      <c r="C112" s="38"/>
      <c r="D112" s="38"/>
      <c r="O112" s="200"/>
      <c r="P112" s="200"/>
      <c r="Q112" s="39"/>
      <c r="R112" s="39"/>
      <c r="S112" s="39"/>
      <c r="T112" s="39"/>
      <c r="U112" s="39"/>
      <c r="V112" s="39"/>
      <c r="W112" s="39"/>
      <c r="X112" s="39"/>
      <c r="Y112" s="39"/>
      <c r="Z112" s="39"/>
      <c r="AA112" s="39"/>
      <c r="AB112" s="39"/>
      <c r="AC112" s="39"/>
      <c r="AD112" s="39"/>
      <c r="AE112" s="39"/>
      <c r="AF112" s="39"/>
      <c r="AG112" s="39"/>
      <c r="AH112" s="39"/>
      <c r="AI112" s="39"/>
      <c r="AJ112" s="39"/>
      <c r="AK112" s="39"/>
      <c r="AL112" s="39"/>
    </row>
  </sheetData>
  <mergeCells count="8">
    <mergeCell ref="H57:I57"/>
    <mergeCell ref="H71:I71"/>
    <mergeCell ref="A5:E5"/>
    <mergeCell ref="A6:E6"/>
    <mergeCell ref="A7:E7"/>
    <mergeCell ref="A8:E8"/>
    <mergeCell ref="E22:E23"/>
    <mergeCell ref="E25:E29"/>
  </mergeCells>
  <hyperlinks>
    <hyperlink ref="AG66" r:id="rId1" display="=@if(+N10*$K$11*$K$12&gt;0,n10*$K$11*$K$12,0)"/>
    <hyperlink ref="AJ66" r:id="rId2" display="=@if(+N10*$K$11*$K$12&gt;0,n10*$K$11*$K$12,0)"/>
    <hyperlink ref="AK66" r:id="rId3" display="=@if(+N10*$K$11*$K$12&gt;0,n10*$K$11*$K$12,0)"/>
    <hyperlink ref="AL66" r:id="rId4" display="=@if(+N10*$K$11*$K$12&gt;0,n10*$K$11*$K$12,0)"/>
  </hyperlinks>
  <printOptions horizontalCentered="1" verticalCentered="1"/>
  <pageMargins left="0.11811023622047245" right="0.11811023622047245" top="0.35433070866141736" bottom="0.19685039370078741" header="0.31496062992125984" footer="0.31496062992125984"/>
  <pageSetup paperSize="9" scale="77"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L16"/>
  <sheetViews>
    <sheetView topLeftCell="A10" workbookViewId="0">
      <selection activeCell="D14" sqref="D14"/>
    </sheetView>
  </sheetViews>
  <sheetFormatPr defaultRowHeight="15"/>
  <cols>
    <col min="2" max="2" width="5.90625" customWidth="1"/>
    <col min="3" max="3" width="21.1796875" customWidth="1"/>
    <col min="4" max="4" width="15.1796875" customWidth="1"/>
    <col min="5" max="5" width="13.90625" customWidth="1"/>
    <col min="6" max="6" width="28.90625" customWidth="1"/>
    <col min="7" max="7" width="12.6328125" customWidth="1"/>
    <col min="8" max="8" width="10.6328125" customWidth="1"/>
  </cols>
  <sheetData>
    <row r="3" spans="2:12" ht="27" customHeight="1">
      <c r="B3" s="1752" t="s">
        <v>968</v>
      </c>
      <c r="C3" s="1752"/>
      <c r="D3" s="1752"/>
      <c r="E3" s="1752"/>
      <c r="F3" s="1752"/>
      <c r="J3" s="774">
        <f>3.14*((0.8128/2)^2-(0.8128/2-10/1000)^2)*7850/1000</f>
        <v>0.19788217200000016</v>
      </c>
      <c r="L3" s="21">
        <f>14650/J3</f>
        <v>74033.955924033362</v>
      </c>
    </row>
    <row r="4" spans="2:12" ht="24" customHeight="1">
      <c r="B4" s="153"/>
      <c r="C4" s="153"/>
      <c r="D4" s="153"/>
      <c r="E4" s="153"/>
      <c r="F4" s="170" t="s">
        <v>226</v>
      </c>
    </row>
    <row r="5" spans="2:12" s="773" customFormat="1" ht="44.25" customHeight="1">
      <c r="B5" s="170" t="s">
        <v>927</v>
      </c>
      <c r="C5" s="170" t="s">
        <v>1</v>
      </c>
      <c r="D5" s="170" t="s">
        <v>978</v>
      </c>
      <c r="E5" s="170" t="s">
        <v>979</v>
      </c>
      <c r="F5" s="170" t="s">
        <v>603</v>
      </c>
      <c r="J5" s="774">
        <f>3.14*((1.2192/2)^2-(1.2192/2-10/1000)^2)*7850/1000</f>
        <v>0.29805570799999981</v>
      </c>
      <c r="K5" s="128" t="s">
        <v>974</v>
      </c>
      <c r="L5" s="773">
        <f>22066/J5</f>
        <v>74033.140140366027</v>
      </c>
    </row>
    <row r="6" spans="2:12" ht="36" customHeight="1">
      <c r="B6" s="775">
        <v>1</v>
      </c>
      <c r="C6" s="175" t="s">
        <v>977</v>
      </c>
      <c r="D6" s="792">
        <v>2178.88</v>
      </c>
      <c r="E6" s="792" t="e">
        <f>#REF!</f>
        <v>#REF!</v>
      </c>
      <c r="F6" s="175" t="s">
        <v>980</v>
      </c>
      <c r="G6" s="1227" t="e">
        <f>E6-D6</f>
        <v>#REF!</v>
      </c>
      <c r="J6" s="774">
        <f>3.14*((0.6096/2)^2-(0.6096/2-7.9/1000)^2)*7850/1000</f>
        <v>0.11716729607000008</v>
      </c>
      <c r="L6" s="21">
        <f>8675/J6</f>
        <v>74039.431573271388</v>
      </c>
    </row>
    <row r="7" spans="2:12" ht="71.25" customHeight="1">
      <c r="B7" s="775">
        <v>2</v>
      </c>
      <c r="C7" s="175" t="s">
        <v>969</v>
      </c>
      <c r="D7" s="505">
        <f>(500-110)</f>
        <v>390</v>
      </c>
      <c r="E7" s="505"/>
      <c r="F7" s="175" t="s">
        <v>1490</v>
      </c>
      <c r="I7" s="21"/>
    </row>
    <row r="8" spans="2:12" ht="66.75" customHeight="1">
      <c r="B8" s="775">
        <v>3</v>
      </c>
      <c r="C8" s="175" t="s">
        <v>1478</v>
      </c>
      <c r="D8" s="505">
        <f>(126+95)</f>
        <v>221</v>
      </c>
      <c r="E8" s="505"/>
      <c r="F8" s="175" t="s">
        <v>970</v>
      </c>
    </row>
    <row r="9" spans="2:12" ht="50.25" customHeight="1">
      <c r="B9" s="775">
        <v>4</v>
      </c>
      <c r="C9" s="175" t="s">
        <v>971</v>
      </c>
      <c r="D9" s="505">
        <f>-I9</f>
        <v>-23.459999999999997</v>
      </c>
      <c r="E9" s="505"/>
      <c r="F9" s="175" t="s">
        <v>972</v>
      </c>
      <c r="I9" s="21">
        <f>17*1.2*1.15</f>
        <v>23.459999999999997</v>
      </c>
      <c r="J9" s="19" t="s">
        <v>973</v>
      </c>
    </row>
    <row r="10" spans="2:12" ht="45">
      <c r="B10" s="775">
        <v>5</v>
      </c>
      <c r="C10" s="776" t="s">
        <v>975</v>
      </c>
      <c r="D10" s="505">
        <f>-(30-6)*2.5</f>
        <v>-60</v>
      </c>
      <c r="E10" s="505"/>
      <c r="F10" s="175" t="s">
        <v>1481</v>
      </c>
      <c r="I10" s="21">
        <f>1.5*1.4</f>
        <v>2.0999999999999996</v>
      </c>
    </row>
    <row r="11" spans="2:12" ht="65.25" customHeight="1">
      <c r="B11" s="775">
        <v>6</v>
      </c>
      <c r="C11" s="776" t="s">
        <v>1479</v>
      </c>
      <c r="D11" s="505">
        <f>-K11</f>
        <v>-52.75200000000001</v>
      </c>
      <c r="E11" s="505"/>
      <c r="F11" s="175" t="s">
        <v>976</v>
      </c>
      <c r="I11" s="21">
        <f>75.34*1.4</f>
        <v>105.476</v>
      </c>
      <c r="J11" s="21">
        <f>37.66*1.4</f>
        <v>52.72399999999999</v>
      </c>
      <c r="K11" s="21">
        <f>I11-J11</f>
        <v>52.75200000000001</v>
      </c>
    </row>
    <row r="12" spans="2:12" ht="50.25" customHeight="1">
      <c r="B12" s="775">
        <v>7</v>
      </c>
      <c r="C12" s="776" t="s">
        <v>981</v>
      </c>
      <c r="D12" s="505">
        <f>-6</f>
        <v>-6</v>
      </c>
      <c r="E12" s="153"/>
      <c r="F12" s="175" t="s">
        <v>982</v>
      </c>
      <c r="I12" s="21">
        <f>4.33*1.4</f>
        <v>6.0619999999999994</v>
      </c>
    </row>
    <row r="13" spans="2:12" ht="71.25" customHeight="1">
      <c r="B13" s="775">
        <v>8</v>
      </c>
      <c r="C13" s="776" t="s">
        <v>1480</v>
      </c>
      <c r="D13" s="505">
        <f>-(109-64)*1.5</f>
        <v>-67.5</v>
      </c>
      <c r="E13" s="153"/>
      <c r="F13" s="175"/>
      <c r="I13" s="21"/>
    </row>
    <row r="14" spans="2:12" ht="71.25" customHeight="1">
      <c r="B14" s="775">
        <v>9</v>
      </c>
      <c r="C14" s="776" t="s">
        <v>1482</v>
      </c>
      <c r="D14" s="505">
        <f>-(11+2)*1.4</f>
        <v>-18.2</v>
      </c>
      <c r="E14" s="153"/>
      <c r="F14" s="175"/>
      <c r="I14" s="21"/>
    </row>
    <row r="15" spans="2:12" ht="29.25" customHeight="1">
      <c r="B15" s="775">
        <v>9</v>
      </c>
      <c r="C15" s="175" t="s">
        <v>983</v>
      </c>
      <c r="D15" s="505" t="e">
        <f>(E6-SUM(D6:D14))</f>
        <v>#REF!</v>
      </c>
      <c r="E15" s="153"/>
      <c r="F15" s="175" t="s">
        <v>1483</v>
      </c>
    </row>
    <row r="16" spans="2:12" s="21" customFormat="1" ht="22.5" customHeight="1">
      <c r="B16" s="505"/>
      <c r="C16" s="776" t="s">
        <v>72</v>
      </c>
      <c r="D16" s="164" t="e">
        <f>SUM(D6:D15)</f>
        <v>#REF!</v>
      </c>
      <c r="E16" s="164" t="e">
        <f>E6</f>
        <v>#REF!</v>
      </c>
      <c r="F16" s="505"/>
    </row>
  </sheetData>
  <mergeCells count="1">
    <mergeCell ref="B3:F3"/>
  </mergeCells>
  <pageMargins left="0.31496062992125984" right="0.31496062992125984" top="0.35433070866141736" bottom="0.35433070866141736" header="0.31496062992125984" footer="0.31496062992125984"/>
  <pageSetup paperSize="9" scale="9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L13"/>
  <sheetViews>
    <sheetView topLeftCell="A7" workbookViewId="0">
      <selection activeCell="F22" sqref="F22"/>
    </sheetView>
  </sheetViews>
  <sheetFormatPr defaultRowHeight="15"/>
  <cols>
    <col min="2" max="2" width="5.90625" customWidth="1"/>
    <col min="3" max="3" width="21.1796875" customWidth="1"/>
    <col min="4" max="4" width="15.1796875" customWidth="1"/>
    <col min="5" max="5" width="13.90625" customWidth="1"/>
    <col min="6" max="6" width="28.90625" customWidth="1"/>
    <col min="7" max="7" width="12.6328125" customWidth="1"/>
    <col min="8" max="8" width="10.6328125" customWidth="1"/>
  </cols>
  <sheetData>
    <row r="3" spans="2:12" ht="27" customHeight="1">
      <c r="B3" s="1752" t="s">
        <v>1484</v>
      </c>
      <c r="C3" s="1752"/>
      <c r="D3" s="1752"/>
      <c r="E3" s="1752"/>
      <c r="F3" s="1752"/>
      <c r="J3" s="774">
        <f>3.14*((0.8128/2)^2-(0.8128/2-10/1000)^2)*7850/1000</f>
        <v>0.19788217200000016</v>
      </c>
      <c r="L3" s="21">
        <f>14650/J3</f>
        <v>74033.955924033362</v>
      </c>
    </row>
    <row r="4" spans="2:12" ht="24" customHeight="1">
      <c r="B4" s="153"/>
      <c r="C4" s="153"/>
      <c r="D4" s="153"/>
      <c r="E4" s="153"/>
      <c r="F4" s="170" t="s">
        <v>226</v>
      </c>
    </row>
    <row r="5" spans="2:12" s="773" customFormat="1" ht="44.25" customHeight="1">
      <c r="B5" s="170" t="s">
        <v>927</v>
      </c>
      <c r="C5" s="170" t="s">
        <v>1</v>
      </c>
      <c r="D5" s="170" t="s">
        <v>1487</v>
      </c>
      <c r="E5" s="170" t="s">
        <v>979</v>
      </c>
      <c r="F5" s="170" t="s">
        <v>603</v>
      </c>
      <c r="J5" s="774">
        <f>3.14*((1.2192/2)^2-(1.2192/2-10/1000)^2)*7850/1000</f>
        <v>0.29805570799999981</v>
      </c>
      <c r="K5" s="128" t="s">
        <v>974</v>
      </c>
      <c r="L5" s="773">
        <f>22066/J5</f>
        <v>74033.140140366027</v>
      </c>
    </row>
    <row r="6" spans="2:12" ht="36" customHeight="1">
      <c r="B6" s="775">
        <v>1</v>
      </c>
      <c r="C6" s="175" t="s">
        <v>977</v>
      </c>
      <c r="D6" s="1226" t="e">
        <f>'Capcost Tall '!AU31</f>
        <v>#REF!</v>
      </c>
      <c r="E6" s="792" t="e">
        <f>#REF!</f>
        <v>#REF!</v>
      </c>
      <c r="F6" s="175" t="s">
        <v>1485</v>
      </c>
      <c r="G6" s="21" t="e">
        <f>E6-D6</f>
        <v>#REF!</v>
      </c>
      <c r="J6" s="774">
        <f>3.14*((0.6096/2)^2-(0.6096/2-7.9/1000)^2)*7850/1000</f>
        <v>0.11716729607000008</v>
      </c>
      <c r="L6" s="21">
        <f>8675/J6</f>
        <v>74039.431573271388</v>
      </c>
    </row>
    <row r="7" spans="2:12" ht="54" customHeight="1">
      <c r="B7" s="775">
        <v>2</v>
      </c>
      <c r="C7" s="175" t="s">
        <v>1486</v>
      </c>
      <c r="D7" s="505">
        <f>(235-94)*1.6</f>
        <v>225.60000000000002</v>
      </c>
      <c r="E7" s="505"/>
      <c r="F7" s="175"/>
      <c r="I7" s="21"/>
    </row>
    <row r="8" spans="2:12" ht="71.25" customHeight="1">
      <c r="B8" s="775">
        <v>3</v>
      </c>
      <c r="C8" s="776" t="s">
        <v>1488</v>
      </c>
      <c r="D8" s="505">
        <f>(141.76-128.82)*1.5</f>
        <v>19.409999999999997</v>
      </c>
      <c r="E8" s="153"/>
      <c r="F8" s="175"/>
      <c r="I8" s="21"/>
    </row>
    <row r="9" spans="2:12" ht="54.75" customHeight="1">
      <c r="B9" s="775">
        <v>4</v>
      </c>
      <c r="C9" s="776" t="s">
        <v>1489</v>
      </c>
      <c r="D9" s="505">
        <f>(283.87-245.99)*1.5</f>
        <v>56.819999999999993</v>
      </c>
      <c r="E9" s="153"/>
      <c r="F9" s="175"/>
      <c r="I9" s="21"/>
    </row>
    <row r="10" spans="2:12" ht="54.75" customHeight="1">
      <c r="B10" s="775">
        <v>5</v>
      </c>
      <c r="C10" s="776" t="s">
        <v>1491</v>
      </c>
      <c r="D10" s="505">
        <f>(85-78)*1.5</f>
        <v>10.5</v>
      </c>
      <c r="E10" s="153"/>
      <c r="F10" s="175"/>
      <c r="I10" s="21"/>
    </row>
    <row r="11" spans="2:12" ht="68.25" customHeight="1">
      <c r="B11" s="775">
        <v>6</v>
      </c>
      <c r="C11" s="776" t="s">
        <v>1492</v>
      </c>
      <c r="D11" s="505">
        <f>(48+18+59-40-15-32)*1.4</f>
        <v>53.199999999999996</v>
      </c>
      <c r="E11" s="153"/>
      <c r="F11" s="175" t="s">
        <v>1493</v>
      </c>
      <c r="I11" s="21"/>
    </row>
    <row r="12" spans="2:12" ht="29.25" customHeight="1">
      <c r="B12" s="775">
        <v>7</v>
      </c>
      <c r="C12" s="175" t="s">
        <v>983</v>
      </c>
      <c r="D12" s="505" t="e">
        <f>(E6-SUM(D6:D11))</f>
        <v>#REF!</v>
      </c>
      <c r="E12" s="153"/>
      <c r="F12" s="175" t="s">
        <v>1483</v>
      </c>
    </row>
    <row r="13" spans="2:12" s="21" customFormat="1" ht="22.5" customHeight="1">
      <c r="B13" s="505"/>
      <c r="C13" s="776" t="s">
        <v>72</v>
      </c>
      <c r="D13" s="164" t="e">
        <f>SUM(D6:D12)</f>
        <v>#REF!</v>
      </c>
      <c r="E13" s="164" t="e">
        <f>E6</f>
        <v>#REF!</v>
      </c>
      <c r="F13" s="505"/>
    </row>
  </sheetData>
  <mergeCells count="1">
    <mergeCell ref="B3:F3"/>
  </mergeCells>
  <pageMargins left="0.31496062992125984" right="0.31496062992125984" top="0.35433070866141736" bottom="0.35433070866141736" header="0.31496062992125984" footer="0.31496062992125984"/>
  <pageSetup paperSize="9" scale="95"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P192"/>
  <sheetViews>
    <sheetView workbookViewId="0">
      <selection activeCell="D14" sqref="D14"/>
    </sheetView>
  </sheetViews>
  <sheetFormatPr defaultColWidth="8.90625" defaultRowHeight="15"/>
  <cols>
    <col min="1" max="1" width="3.08984375" style="225" customWidth="1"/>
    <col min="2" max="2" width="15.08984375" style="225" customWidth="1"/>
    <col min="3" max="3" width="14.453125" style="225" customWidth="1"/>
    <col min="4" max="4" width="27.1796875" style="225" customWidth="1"/>
    <col min="5" max="5" width="11.1796875" style="225" customWidth="1"/>
    <col min="6" max="6" width="13.08984375" style="225" customWidth="1"/>
    <col min="7" max="7" width="12.54296875" style="225" customWidth="1"/>
    <col min="8" max="8" width="13.90625" style="225" customWidth="1"/>
    <col min="9" max="9" width="12.08984375" style="225" customWidth="1"/>
    <col min="10" max="10" width="14.08984375" style="225" customWidth="1"/>
    <col min="11" max="11" width="13.81640625" style="225" customWidth="1"/>
    <col min="12" max="12" width="8.90625" style="225"/>
    <col min="13" max="13" width="12.36328125" style="225" customWidth="1"/>
    <col min="14" max="16384" width="8.90625" style="225"/>
  </cols>
  <sheetData>
    <row r="1" spans="1:146" ht="15.6">
      <c r="A1" s="223"/>
      <c r="B1" s="224" t="s">
        <v>345</v>
      </c>
    </row>
    <row r="2" spans="1:146" ht="15.6">
      <c r="A2" s="223"/>
      <c r="B2" s="224"/>
    </row>
    <row r="3" spans="1:146" s="226" customFormat="1" ht="27" customHeight="1">
      <c r="B3" s="259" t="s">
        <v>346</v>
      </c>
      <c r="C3" s="260"/>
      <c r="D3" s="447" t="s">
        <v>678</v>
      </c>
    </row>
    <row r="4" spans="1:146" ht="15.6">
      <c r="B4" s="259" t="s">
        <v>347</v>
      </c>
      <c r="C4" s="260"/>
      <c r="D4" s="227" t="s">
        <v>348</v>
      </c>
    </row>
    <row r="5" spans="1:146" ht="15.6">
      <c r="B5" s="259" t="s">
        <v>349</v>
      </c>
      <c r="C5" s="260"/>
      <c r="D5" s="227" t="s">
        <v>632</v>
      </c>
    </row>
    <row r="6" spans="1:146" ht="15.6">
      <c r="B6" s="259" t="s">
        <v>350</v>
      </c>
      <c r="C6" s="260"/>
      <c r="D6" s="263" t="s">
        <v>730</v>
      </c>
      <c r="AS6" s="226"/>
      <c r="AT6" s="226"/>
      <c r="AU6" s="226"/>
      <c r="AV6" s="226"/>
      <c r="AW6" s="226"/>
      <c r="AX6" s="226"/>
      <c r="AY6" s="226"/>
      <c r="AZ6" s="226"/>
      <c r="BA6" s="226"/>
      <c r="BB6" s="226"/>
      <c r="BC6" s="226"/>
      <c r="BD6" s="226"/>
      <c r="BE6" s="226"/>
      <c r="BF6" s="226"/>
      <c r="BG6" s="226"/>
      <c r="BH6" s="226"/>
      <c r="BI6" s="226"/>
      <c r="BJ6" s="226"/>
      <c r="BK6" s="226"/>
      <c r="BL6" s="226"/>
      <c r="BM6" s="226"/>
      <c r="BN6" s="226"/>
      <c r="BO6" s="226"/>
      <c r="BP6" s="226"/>
      <c r="BQ6" s="226"/>
      <c r="BR6" s="226"/>
      <c r="BS6" s="226"/>
      <c r="BT6" s="226"/>
      <c r="BU6" s="226"/>
      <c r="BV6" s="226"/>
      <c r="BW6" s="226"/>
      <c r="BX6" s="226"/>
      <c r="BY6" s="226"/>
      <c r="BZ6" s="226"/>
      <c r="CA6" s="226"/>
      <c r="CB6" s="226"/>
      <c r="CC6" s="226"/>
      <c r="CD6" s="226"/>
      <c r="CE6" s="226"/>
      <c r="CF6" s="226"/>
      <c r="CG6" s="226"/>
      <c r="CH6" s="226"/>
      <c r="CI6" s="226"/>
      <c r="CJ6" s="226"/>
      <c r="CK6" s="226"/>
      <c r="CL6" s="226"/>
      <c r="CM6" s="226"/>
      <c r="CN6" s="226"/>
      <c r="CO6" s="226"/>
      <c r="CP6" s="226"/>
      <c r="CQ6" s="226"/>
      <c r="CR6" s="226"/>
      <c r="CS6" s="226"/>
      <c r="CT6" s="226"/>
      <c r="CU6" s="226"/>
      <c r="CV6" s="226"/>
      <c r="CW6" s="226"/>
      <c r="CX6" s="226"/>
      <c r="CY6" s="226"/>
      <c r="CZ6" s="226"/>
      <c r="DA6" s="226"/>
      <c r="DB6" s="226"/>
      <c r="DC6" s="226"/>
      <c r="DD6" s="226"/>
      <c r="DE6" s="226"/>
      <c r="DF6" s="226"/>
      <c r="DG6" s="226"/>
      <c r="DH6" s="226"/>
      <c r="DI6" s="226"/>
      <c r="DJ6" s="226"/>
      <c r="DK6" s="226"/>
      <c r="DL6" s="226"/>
      <c r="DM6" s="226"/>
      <c r="DN6" s="226"/>
      <c r="DO6" s="226"/>
      <c r="DP6" s="226"/>
      <c r="DQ6" s="226"/>
      <c r="DR6" s="226"/>
      <c r="DS6" s="226"/>
      <c r="DT6" s="226"/>
      <c r="DU6" s="226"/>
      <c r="DV6" s="226"/>
      <c r="DW6" s="226"/>
      <c r="DX6" s="226"/>
      <c r="DY6" s="226"/>
      <c r="DZ6" s="226"/>
      <c r="EA6" s="226"/>
      <c r="EB6" s="226"/>
      <c r="EC6" s="226"/>
      <c r="ED6" s="226"/>
      <c r="EE6" s="226"/>
      <c r="EF6" s="226"/>
      <c r="EG6" s="226"/>
      <c r="EH6" s="226"/>
      <c r="EI6" s="226"/>
      <c r="EJ6" s="226"/>
      <c r="EK6" s="226"/>
      <c r="EL6" s="226"/>
      <c r="EM6" s="226"/>
      <c r="EN6" s="226"/>
      <c r="EO6" s="226"/>
      <c r="EP6" s="226"/>
    </row>
    <row r="7" spans="1:146" ht="18" customHeight="1">
      <c r="B7" s="259" t="s">
        <v>351</v>
      </c>
      <c r="C7" s="260"/>
      <c r="AS7" s="226"/>
      <c r="AT7" s="226"/>
      <c r="AU7" s="226"/>
      <c r="AV7" s="226"/>
      <c r="AW7" s="226"/>
      <c r="AX7" s="226"/>
      <c r="AY7" s="226"/>
      <c r="AZ7" s="226"/>
      <c r="BA7" s="226"/>
      <c r="BB7" s="226"/>
      <c r="BC7" s="226"/>
      <c r="BD7" s="226"/>
      <c r="BE7" s="226"/>
      <c r="BF7" s="226"/>
      <c r="BG7" s="226"/>
      <c r="BH7" s="226"/>
      <c r="BI7" s="226"/>
      <c r="BJ7" s="226"/>
      <c r="BK7" s="226"/>
      <c r="BL7" s="226"/>
      <c r="BM7" s="226"/>
      <c r="BN7" s="226"/>
      <c r="BO7" s="226"/>
      <c r="BP7" s="226"/>
      <c r="BQ7" s="226"/>
      <c r="BR7" s="226"/>
      <c r="BS7" s="226"/>
      <c r="BT7" s="226"/>
      <c r="BU7" s="226"/>
      <c r="BV7" s="226"/>
      <c r="BW7" s="226"/>
      <c r="BX7" s="226"/>
      <c r="BY7" s="226"/>
      <c r="BZ7" s="226"/>
      <c r="CA7" s="226"/>
      <c r="CB7" s="226"/>
      <c r="CC7" s="226"/>
      <c r="CD7" s="226"/>
      <c r="CE7" s="226"/>
      <c r="CF7" s="226"/>
      <c r="CG7" s="226"/>
      <c r="CH7" s="226"/>
      <c r="CI7" s="226"/>
      <c r="CJ7" s="226"/>
      <c r="CK7" s="226"/>
      <c r="CL7" s="226"/>
      <c r="CM7" s="226"/>
      <c r="CN7" s="226"/>
      <c r="CO7" s="226"/>
      <c r="CP7" s="226"/>
      <c r="CQ7" s="226"/>
      <c r="CR7" s="226"/>
      <c r="CS7" s="226"/>
      <c r="CT7" s="226"/>
      <c r="CU7" s="226"/>
      <c r="CV7" s="226"/>
      <c r="CW7" s="226"/>
      <c r="CX7" s="226"/>
      <c r="CY7" s="226"/>
      <c r="CZ7" s="226"/>
      <c r="DA7" s="226"/>
      <c r="DB7" s="226"/>
      <c r="DC7" s="226"/>
      <c r="DD7" s="226"/>
      <c r="DE7" s="226"/>
      <c r="DF7" s="226"/>
      <c r="DG7" s="226"/>
      <c r="DH7" s="226"/>
      <c r="DI7" s="226"/>
      <c r="DJ7" s="226"/>
      <c r="DK7" s="226"/>
      <c r="DL7" s="226"/>
      <c r="DM7" s="226"/>
      <c r="DN7" s="226"/>
      <c r="DO7" s="226"/>
      <c r="DP7" s="226"/>
      <c r="DQ7" s="226"/>
      <c r="DR7" s="226"/>
      <c r="DS7" s="226"/>
      <c r="DT7" s="226"/>
      <c r="DU7" s="226"/>
      <c r="DV7" s="226"/>
      <c r="DW7" s="226"/>
      <c r="DX7" s="226"/>
      <c r="DY7" s="226"/>
      <c r="DZ7" s="226"/>
      <c r="EA7" s="226"/>
      <c r="EB7" s="226"/>
      <c r="EC7" s="226"/>
      <c r="ED7" s="226"/>
      <c r="EE7" s="226"/>
      <c r="EF7" s="226"/>
      <c r="EG7" s="226"/>
      <c r="EH7" s="226"/>
      <c r="EI7" s="226"/>
      <c r="EJ7" s="226"/>
      <c r="EK7" s="226"/>
      <c r="EL7" s="226"/>
      <c r="EM7" s="226"/>
      <c r="EN7" s="226"/>
      <c r="EO7" s="226"/>
      <c r="EP7" s="226"/>
    </row>
    <row r="8" spans="1:146" ht="18" customHeight="1">
      <c r="B8" s="259"/>
      <c r="C8" s="260"/>
      <c r="AS8" s="226"/>
      <c r="AT8" s="226"/>
      <c r="AU8" s="226"/>
      <c r="AV8" s="226"/>
      <c r="AW8" s="226"/>
      <c r="AX8" s="226"/>
      <c r="AY8" s="226"/>
      <c r="AZ8" s="226"/>
      <c r="BA8" s="226"/>
      <c r="BB8" s="226"/>
      <c r="BC8" s="226"/>
      <c r="BD8" s="226"/>
      <c r="BE8" s="226"/>
      <c r="BF8" s="226"/>
      <c r="BG8" s="226"/>
      <c r="BH8" s="226"/>
      <c r="BI8" s="226"/>
      <c r="BJ8" s="226"/>
      <c r="BK8" s="226"/>
      <c r="BL8" s="226"/>
      <c r="BM8" s="226"/>
      <c r="BN8" s="226"/>
      <c r="BO8" s="226"/>
      <c r="BP8" s="226"/>
      <c r="BQ8" s="226"/>
      <c r="BR8" s="226"/>
      <c r="BS8" s="226"/>
      <c r="BT8" s="226"/>
      <c r="BU8" s="226"/>
      <c r="BV8" s="226"/>
      <c r="BW8" s="226"/>
      <c r="BX8" s="226"/>
      <c r="BY8" s="226"/>
      <c r="BZ8" s="226"/>
      <c r="CA8" s="226"/>
      <c r="CB8" s="226"/>
      <c r="CC8" s="226"/>
      <c r="CD8" s="226"/>
      <c r="CE8" s="226"/>
      <c r="CF8" s="226"/>
      <c r="CG8" s="226"/>
      <c r="CH8" s="226"/>
      <c r="CI8" s="226"/>
      <c r="CJ8" s="226"/>
      <c r="CK8" s="226"/>
      <c r="CL8" s="226"/>
      <c r="CM8" s="226"/>
      <c r="CN8" s="226"/>
      <c r="CO8" s="226"/>
      <c r="CP8" s="226"/>
      <c r="CQ8" s="226"/>
      <c r="CR8" s="226"/>
      <c r="CS8" s="226"/>
      <c r="CT8" s="226"/>
      <c r="CU8" s="226"/>
      <c r="CV8" s="226"/>
      <c r="CW8" s="226"/>
      <c r="CX8" s="226"/>
      <c r="CY8" s="226"/>
      <c r="CZ8" s="226"/>
      <c r="DA8" s="226"/>
      <c r="DB8" s="226"/>
      <c r="DC8" s="226"/>
      <c r="DD8" s="226"/>
      <c r="DE8" s="226"/>
      <c r="DF8" s="226"/>
      <c r="DG8" s="226"/>
      <c r="DH8" s="226"/>
      <c r="DI8" s="226"/>
      <c r="DJ8" s="226"/>
      <c r="DK8" s="226"/>
      <c r="DL8" s="226"/>
      <c r="DM8" s="226"/>
      <c r="DN8" s="226"/>
      <c r="DO8" s="226"/>
      <c r="DP8" s="226"/>
      <c r="DQ8" s="226"/>
      <c r="DR8" s="226"/>
      <c r="DS8" s="226"/>
      <c r="DT8" s="226"/>
      <c r="DU8" s="226"/>
      <c r="DV8" s="226"/>
      <c r="DW8" s="226"/>
      <c r="DX8" s="226"/>
      <c r="DY8" s="226"/>
      <c r="DZ8" s="226"/>
      <c r="EA8" s="226"/>
      <c r="EB8" s="226"/>
      <c r="EC8" s="226"/>
      <c r="ED8" s="226"/>
      <c r="EE8" s="226"/>
      <c r="EF8" s="226"/>
      <c r="EG8" s="226"/>
      <c r="EH8" s="226"/>
      <c r="EI8" s="226"/>
      <c r="EJ8" s="226"/>
      <c r="EK8" s="226"/>
      <c r="EL8" s="226"/>
      <c r="EM8" s="226"/>
      <c r="EN8" s="226"/>
      <c r="EO8" s="226"/>
      <c r="EP8" s="226"/>
    </row>
    <row r="9" spans="1:146" s="232" customFormat="1" ht="20.25" customHeight="1">
      <c r="B9" s="426"/>
      <c r="C9" s="261" t="s">
        <v>352</v>
      </c>
      <c r="D9" s="429" t="s">
        <v>353</v>
      </c>
      <c r="E9" s="1833" t="s">
        <v>614</v>
      </c>
      <c r="F9" s="1834"/>
      <c r="G9" s="1835"/>
      <c r="AS9" s="233"/>
      <c r="AT9" s="233"/>
      <c r="AU9" s="233"/>
      <c r="AV9" s="233"/>
      <c r="AW9" s="233"/>
      <c r="AX9" s="233"/>
      <c r="AY9" s="233"/>
      <c r="AZ9" s="233"/>
      <c r="BA9" s="233"/>
      <c r="BB9" s="233"/>
      <c r="BC9" s="233"/>
      <c r="BD9" s="233"/>
      <c r="BE9" s="233"/>
      <c r="BF9" s="233"/>
      <c r="BG9" s="233"/>
      <c r="BH9" s="233"/>
      <c r="BI9" s="233"/>
      <c r="BJ9" s="233"/>
      <c r="BK9" s="233"/>
      <c r="BL9" s="233"/>
      <c r="BM9" s="233"/>
      <c r="BN9" s="233"/>
      <c r="BO9" s="233"/>
      <c r="BP9" s="233"/>
      <c r="BQ9" s="233"/>
      <c r="BR9" s="233"/>
      <c r="BS9" s="233"/>
      <c r="BT9" s="233"/>
      <c r="BU9" s="233"/>
      <c r="BV9" s="233"/>
      <c r="BW9" s="233"/>
      <c r="BX9" s="233"/>
      <c r="BY9" s="233"/>
      <c r="BZ9" s="233"/>
      <c r="CA9" s="233"/>
      <c r="CB9" s="233"/>
      <c r="CC9" s="233"/>
      <c r="CD9" s="233"/>
      <c r="CE9" s="233"/>
      <c r="CF9" s="233"/>
      <c r="CG9" s="233"/>
      <c r="CH9" s="233"/>
      <c r="CI9" s="233"/>
      <c r="CJ9" s="233"/>
      <c r="CK9" s="233"/>
      <c r="CL9" s="233"/>
      <c r="CM9" s="233"/>
      <c r="CN9" s="233"/>
      <c r="CO9" s="233"/>
      <c r="CP9" s="233"/>
      <c r="CQ9" s="233"/>
      <c r="CR9" s="233"/>
      <c r="CS9" s="233"/>
      <c r="CT9" s="233"/>
      <c r="CU9" s="233"/>
      <c r="CV9" s="233"/>
      <c r="CW9" s="233"/>
      <c r="CX9" s="233"/>
      <c r="CY9" s="233"/>
      <c r="CZ9" s="233"/>
      <c r="DA9" s="233"/>
      <c r="DB9" s="233"/>
      <c r="DC9" s="233"/>
      <c r="DD9" s="233"/>
      <c r="DE9" s="233"/>
      <c r="DF9" s="233"/>
      <c r="DG9" s="233"/>
      <c r="DH9" s="233"/>
      <c r="DI9" s="233"/>
      <c r="DJ9" s="233"/>
      <c r="DK9" s="233"/>
      <c r="DL9" s="233"/>
      <c r="DM9" s="233"/>
      <c r="DN9" s="233"/>
      <c r="DO9" s="233"/>
      <c r="DP9" s="233"/>
      <c r="DQ9" s="233"/>
      <c r="DR9" s="233"/>
      <c r="DS9" s="233"/>
      <c r="DT9" s="233"/>
      <c r="DU9" s="233"/>
      <c r="DV9" s="233"/>
      <c r="DW9" s="233"/>
      <c r="DX9" s="233"/>
      <c r="DY9" s="233"/>
      <c r="DZ9" s="233"/>
      <c r="EA9" s="233"/>
      <c r="EB9" s="233"/>
      <c r="EC9" s="233"/>
      <c r="ED9" s="233"/>
      <c r="EE9" s="233"/>
      <c r="EF9" s="233"/>
      <c r="EG9" s="233"/>
      <c r="EH9" s="233"/>
      <c r="EI9" s="233"/>
      <c r="EJ9" s="233"/>
      <c r="EK9" s="233"/>
      <c r="EL9" s="233"/>
      <c r="EM9" s="233"/>
      <c r="EN9" s="233"/>
      <c r="EO9" s="233"/>
      <c r="EP9" s="233"/>
    </row>
    <row r="10" spans="1:146" s="232" customFormat="1" ht="21" customHeight="1">
      <c r="B10" s="424"/>
      <c r="C10" s="430" t="s">
        <v>372</v>
      </c>
      <c r="D10" s="431" t="s">
        <v>373</v>
      </c>
      <c r="E10" s="1815"/>
      <c r="F10" s="1816"/>
      <c r="G10" s="1817"/>
      <c r="AS10" s="233"/>
      <c r="AT10" s="233"/>
      <c r="AU10" s="233"/>
      <c r="AV10" s="233"/>
      <c r="AW10" s="233"/>
      <c r="AX10" s="233"/>
      <c r="AY10" s="233"/>
      <c r="AZ10" s="233"/>
      <c r="BA10" s="233"/>
      <c r="BB10" s="233"/>
      <c r="BC10" s="233"/>
      <c r="BD10" s="233"/>
      <c r="BE10" s="233"/>
      <c r="BF10" s="233"/>
      <c r="BG10" s="233"/>
      <c r="BH10" s="233"/>
      <c r="BI10" s="233"/>
      <c r="BJ10" s="233"/>
      <c r="BK10" s="233"/>
      <c r="BL10" s="233"/>
      <c r="BM10" s="233"/>
      <c r="BN10" s="233"/>
      <c r="BO10" s="233"/>
      <c r="BP10" s="233"/>
      <c r="BQ10" s="233"/>
      <c r="BR10" s="233"/>
      <c r="BS10" s="233"/>
      <c r="BT10" s="233"/>
      <c r="BU10" s="233"/>
      <c r="BV10" s="233"/>
      <c r="BW10" s="233"/>
      <c r="BX10" s="233"/>
      <c r="BY10" s="233"/>
      <c r="BZ10" s="233"/>
      <c r="CA10" s="233"/>
      <c r="CB10" s="233"/>
      <c r="CC10" s="233"/>
      <c r="CD10" s="233"/>
      <c r="CE10" s="233"/>
      <c r="CF10" s="233"/>
      <c r="CG10" s="233"/>
      <c r="CH10" s="233"/>
      <c r="CI10" s="233"/>
      <c r="CJ10" s="233"/>
      <c r="CK10" s="233"/>
      <c r="CL10" s="233"/>
      <c r="CM10" s="233"/>
      <c r="CN10" s="233"/>
      <c r="CO10" s="233"/>
      <c r="CP10" s="233"/>
      <c r="CQ10" s="233"/>
      <c r="CR10" s="233"/>
      <c r="CS10" s="233"/>
      <c r="CT10" s="233"/>
      <c r="CU10" s="233"/>
      <c r="CV10" s="233"/>
      <c r="CW10" s="233"/>
      <c r="CX10" s="233"/>
      <c r="CY10" s="233"/>
      <c r="CZ10" s="233"/>
      <c r="DA10" s="233"/>
      <c r="DB10" s="233"/>
      <c r="DC10" s="233"/>
      <c r="DD10" s="233"/>
      <c r="DE10" s="233"/>
      <c r="DF10" s="233"/>
      <c r="DG10" s="233"/>
      <c r="DH10" s="233"/>
      <c r="DI10" s="233"/>
      <c r="DJ10" s="233"/>
      <c r="DK10" s="233"/>
      <c r="DL10" s="233"/>
      <c r="DM10" s="233"/>
      <c r="DN10" s="233"/>
      <c r="DO10" s="233"/>
      <c r="DP10" s="233"/>
      <c r="DQ10" s="233"/>
      <c r="DR10" s="233"/>
      <c r="DS10" s="233"/>
      <c r="DT10" s="233"/>
      <c r="DU10" s="233"/>
      <c r="DV10" s="233"/>
      <c r="DW10" s="233"/>
      <c r="DX10" s="233"/>
      <c r="DY10" s="233"/>
      <c r="DZ10" s="233"/>
      <c r="EA10" s="233"/>
      <c r="EB10" s="233"/>
      <c r="EC10" s="233"/>
      <c r="ED10" s="233"/>
      <c r="EE10" s="233"/>
      <c r="EF10" s="233"/>
      <c r="EG10" s="233"/>
      <c r="EH10" s="233"/>
      <c r="EI10" s="233"/>
      <c r="EJ10" s="233"/>
      <c r="EK10" s="233"/>
      <c r="EL10" s="233"/>
      <c r="EM10" s="233"/>
      <c r="EN10" s="233"/>
      <c r="EO10" s="233"/>
      <c r="EP10" s="233"/>
    </row>
    <row r="11" spans="1:146" s="232" customFormat="1" ht="21" customHeight="1">
      <c r="B11" s="424"/>
      <c r="C11" s="430" t="s">
        <v>378</v>
      </c>
      <c r="D11" s="431" t="s">
        <v>615</v>
      </c>
      <c r="E11" s="1815"/>
      <c r="F11" s="1816"/>
      <c r="G11" s="1817"/>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row>
    <row r="12" spans="1:146" s="232" customFormat="1" ht="21" customHeight="1">
      <c r="B12" s="424"/>
      <c r="C12" s="430" t="s">
        <v>616</v>
      </c>
      <c r="D12" s="431" t="s">
        <v>617</v>
      </c>
      <c r="E12" s="432"/>
      <c r="F12" s="424"/>
      <c r="G12" s="4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row>
    <row r="13" spans="1:146" s="232" customFormat="1" ht="21" customHeight="1">
      <c r="B13" s="424"/>
      <c r="C13" s="430" t="s">
        <v>354</v>
      </c>
      <c r="D13" s="431" t="s">
        <v>618</v>
      </c>
      <c r="E13" s="1815"/>
      <c r="F13" s="1816"/>
      <c r="G13" s="1817"/>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row>
    <row r="14" spans="1:146" s="232" customFormat="1" ht="36" customHeight="1">
      <c r="B14" s="424"/>
      <c r="C14" s="430" t="s">
        <v>355</v>
      </c>
      <c r="D14" s="431" t="s">
        <v>619</v>
      </c>
      <c r="E14" s="1818"/>
      <c r="F14" s="1819"/>
      <c r="G14" s="1820"/>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row>
    <row r="15" spans="1:146" s="232" customFormat="1" ht="21" customHeight="1">
      <c r="B15" s="424"/>
      <c r="C15" s="430" t="s">
        <v>356</v>
      </c>
      <c r="D15" s="431" t="s">
        <v>357</v>
      </c>
      <c r="E15" s="1815"/>
      <c r="F15" s="1816"/>
      <c r="G15" s="1817"/>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row>
    <row r="16" spans="1:146" s="232" customFormat="1" ht="21" customHeight="1">
      <c r="B16" s="424"/>
      <c r="C16" s="430" t="s">
        <v>374</v>
      </c>
      <c r="D16" s="431" t="s">
        <v>375</v>
      </c>
      <c r="E16" s="1818"/>
      <c r="F16" s="1819"/>
      <c r="G16" s="1820"/>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row>
    <row r="17" spans="1:146" s="232" customFormat="1" ht="33" customHeight="1">
      <c r="B17" s="424"/>
      <c r="C17" s="430" t="s">
        <v>731</v>
      </c>
      <c r="D17" s="431" t="s">
        <v>732</v>
      </c>
      <c r="E17" s="1815"/>
      <c r="F17" s="1816"/>
      <c r="G17" s="1817"/>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row>
    <row r="18" spans="1:146" s="232" customFormat="1" ht="21" customHeight="1">
      <c r="B18" s="424"/>
      <c r="C18" s="430" t="s">
        <v>376</v>
      </c>
      <c r="D18" s="431" t="s">
        <v>377</v>
      </c>
      <c r="E18" s="1815"/>
      <c r="F18" s="1816"/>
      <c r="G18" s="1817"/>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row>
    <row r="19" spans="1:146" ht="9" customHeight="1">
      <c r="B19" s="228"/>
      <c r="AS19" s="226"/>
      <c r="AT19" s="226"/>
      <c r="AU19" s="226"/>
      <c r="AV19" s="226"/>
      <c r="AW19" s="226"/>
      <c r="AX19" s="226"/>
      <c r="AY19" s="226"/>
      <c r="AZ19" s="226"/>
      <c r="BA19" s="226"/>
      <c r="BB19" s="226"/>
      <c r="BC19" s="226"/>
      <c r="BD19" s="226"/>
      <c r="BE19" s="226"/>
      <c r="BF19" s="226"/>
      <c r="BG19" s="226"/>
      <c r="BH19" s="226"/>
      <c r="BI19" s="226"/>
      <c r="BJ19" s="226"/>
      <c r="BK19" s="226"/>
      <c r="BL19" s="226"/>
      <c r="BM19" s="226"/>
      <c r="BN19" s="226"/>
      <c r="BO19" s="226"/>
      <c r="BP19" s="226"/>
      <c r="BQ19" s="226"/>
      <c r="BR19" s="226"/>
      <c r="BS19" s="226"/>
      <c r="BT19" s="226"/>
      <c r="BU19" s="226"/>
      <c r="BV19" s="226"/>
      <c r="BW19" s="226"/>
      <c r="BX19" s="226"/>
      <c r="BY19" s="226"/>
      <c r="BZ19" s="226"/>
      <c r="CA19" s="226"/>
      <c r="CB19" s="226"/>
      <c r="CC19" s="226"/>
      <c r="CD19" s="226"/>
      <c r="CE19" s="226"/>
      <c r="CF19" s="226"/>
      <c r="CG19" s="226"/>
      <c r="CH19" s="226"/>
      <c r="CI19" s="226"/>
      <c r="CJ19" s="226"/>
      <c r="CK19" s="226"/>
      <c r="CL19" s="226"/>
      <c r="CM19" s="226"/>
      <c r="CN19" s="226"/>
      <c r="CO19" s="226"/>
      <c r="CP19" s="226"/>
      <c r="CQ19" s="226"/>
      <c r="CR19" s="226"/>
      <c r="CS19" s="226"/>
      <c r="CT19" s="226"/>
      <c r="CU19" s="226"/>
      <c r="CV19" s="226"/>
      <c r="CW19" s="226"/>
      <c r="CX19" s="226"/>
      <c r="CY19" s="226"/>
      <c r="CZ19" s="226"/>
      <c r="DA19" s="226"/>
      <c r="DB19" s="226"/>
      <c r="DC19" s="226"/>
      <c r="DD19" s="226"/>
      <c r="DE19" s="226"/>
      <c r="DF19" s="226"/>
      <c r="DG19" s="226"/>
      <c r="DH19" s="226"/>
      <c r="DI19" s="226"/>
      <c r="DJ19" s="226"/>
      <c r="DK19" s="226"/>
      <c r="DL19" s="226"/>
      <c r="DM19" s="226"/>
      <c r="DN19" s="226"/>
      <c r="DO19" s="226"/>
      <c r="DP19" s="226"/>
      <c r="DQ19" s="226"/>
      <c r="DR19" s="226"/>
      <c r="DS19" s="226"/>
      <c r="DT19" s="226"/>
      <c r="DU19" s="226"/>
      <c r="DV19" s="226"/>
      <c r="DW19" s="226"/>
      <c r="DX19" s="226"/>
      <c r="DY19" s="226"/>
      <c r="DZ19" s="226"/>
      <c r="EA19" s="226"/>
      <c r="EB19" s="226"/>
      <c r="EC19" s="226"/>
      <c r="ED19" s="226"/>
      <c r="EE19" s="226"/>
      <c r="EF19" s="226"/>
      <c r="EG19" s="226"/>
      <c r="EH19" s="226"/>
      <c r="EI19" s="226"/>
      <c r="EJ19" s="226"/>
      <c r="EK19" s="226"/>
      <c r="EL19" s="226"/>
      <c r="EM19" s="226"/>
      <c r="EN19" s="226"/>
      <c r="EO19" s="226"/>
      <c r="EP19" s="226"/>
    </row>
    <row r="20" spans="1:146" ht="15.6">
      <c r="B20" s="1821" t="s">
        <v>358</v>
      </c>
      <c r="C20" s="1822"/>
      <c r="D20" s="1822"/>
      <c r="E20" s="243" t="s">
        <v>365</v>
      </c>
      <c r="F20" s="225" t="e">
        <f>#REF!</f>
        <v>#REF!</v>
      </c>
      <c r="AS20" s="226"/>
      <c r="AT20" s="226"/>
      <c r="AU20" s="226"/>
      <c r="AV20" s="226"/>
      <c r="AW20" s="226"/>
      <c r="AX20" s="226"/>
      <c r="AY20" s="226"/>
      <c r="AZ20" s="226"/>
      <c r="BA20" s="226"/>
      <c r="BB20" s="226"/>
      <c r="BC20" s="226"/>
      <c r="BD20" s="226"/>
      <c r="BE20" s="226"/>
      <c r="BF20" s="226"/>
      <c r="BG20" s="226"/>
      <c r="BH20" s="226"/>
      <c r="BI20" s="226"/>
      <c r="BJ20" s="226"/>
      <c r="BK20" s="226"/>
      <c r="BL20" s="226"/>
      <c r="BM20" s="226"/>
      <c r="BN20" s="226"/>
      <c r="BO20" s="226"/>
      <c r="BP20" s="226"/>
      <c r="BQ20" s="226"/>
      <c r="BR20" s="226"/>
      <c r="BS20" s="226"/>
      <c r="BT20" s="226"/>
      <c r="BU20" s="226"/>
      <c r="BV20" s="226"/>
      <c r="BW20" s="226"/>
      <c r="BX20" s="226"/>
      <c r="BY20" s="226"/>
      <c r="BZ20" s="226"/>
      <c r="CA20" s="226"/>
      <c r="CB20" s="226"/>
      <c r="CC20" s="226"/>
      <c r="CD20" s="226"/>
      <c r="CE20" s="226"/>
      <c r="CF20" s="226"/>
      <c r="CG20" s="226"/>
      <c r="CH20" s="226"/>
      <c r="CI20" s="226"/>
      <c r="CJ20" s="226"/>
      <c r="CK20" s="226"/>
      <c r="CL20" s="226"/>
      <c r="CM20" s="226"/>
      <c r="CN20" s="226"/>
      <c r="CO20" s="226"/>
      <c r="CP20" s="226"/>
      <c r="CQ20" s="226"/>
      <c r="CR20" s="226"/>
      <c r="CS20" s="226"/>
      <c r="CT20" s="226"/>
      <c r="CU20" s="226"/>
      <c r="CV20" s="226"/>
      <c r="CW20" s="226"/>
      <c r="CX20" s="226"/>
      <c r="CY20" s="226"/>
      <c r="CZ20" s="226"/>
      <c r="DA20" s="226"/>
      <c r="DB20" s="226"/>
      <c r="DC20" s="226"/>
      <c r="DD20" s="226"/>
      <c r="DE20" s="226"/>
      <c r="DF20" s="226"/>
      <c r="DG20" s="226"/>
      <c r="DH20" s="226"/>
      <c r="DI20" s="226"/>
      <c r="DJ20" s="226"/>
      <c r="DK20" s="226"/>
      <c r="DL20" s="226"/>
      <c r="DM20" s="226"/>
      <c r="DN20" s="226"/>
      <c r="DO20" s="226"/>
      <c r="DP20" s="226"/>
      <c r="DQ20" s="226"/>
      <c r="DR20" s="226"/>
      <c r="DS20" s="226"/>
      <c r="DT20" s="226"/>
      <c r="DU20" s="226"/>
      <c r="DV20" s="226"/>
      <c r="DW20" s="226"/>
      <c r="DX20" s="226"/>
      <c r="DY20" s="226"/>
      <c r="DZ20" s="226"/>
      <c r="EA20" s="226"/>
      <c r="EB20" s="226"/>
      <c r="EC20" s="226"/>
      <c r="ED20" s="226"/>
      <c r="EE20" s="226"/>
      <c r="EF20" s="226"/>
      <c r="EG20" s="226"/>
      <c r="EH20" s="226"/>
      <c r="EI20" s="226"/>
      <c r="EJ20" s="226"/>
      <c r="EK20" s="226"/>
      <c r="EL20" s="226"/>
      <c r="EM20" s="226"/>
      <c r="EN20" s="226"/>
      <c r="EO20" s="226"/>
      <c r="EP20" s="226"/>
    </row>
    <row r="21" spans="1:146" ht="15.6">
      <c r="B21" s="229" t="s">
        <v>620</v>
      </c>
      <c r="C21" s="230"/>
      <c r="E21" s="243" t="s">
        <v>364</v>
      </c>
      <c r="F21" s="225" t="e">
        <f>#REF!</f>
        <v>#REF!</v>
      </c>
      <c r="AS21" s="226"/>
      <c r="AT21" s="226"/>
      <c r="AU21" s="226"/>
      <c r="AV21" s="226"/>
      <c r="AW21" s="226"/>
      <c r="AX21" s="226"/>
      <c r="AY21" s="226"/>
      <c r="AZ21" s="226"/>
      <c r="BA21" s="226"/>
      <c r="BB21" s="226"/>
      <c r="BC21" s="226"/>
      <c r="BD21" s="226"/>
      <c r="BE21" s="226"/>
      <c r="BF21" s="226"/>
      <c r="BG21" s="226"/>
      <c r="BH21" s="226"/>
      <c r="BI21" s="226"/>
      <c r="BJ21" s="226"/>
      <c r="BK21" s="226"/>
      <c r="BL21" s="226"/>
      <c r="BM21" s="226"/>
      <c r="BN21" s="226"/>
      <c r="BO21" s="226"/>
      <c r="BP21" s="226"/>
      <c r="BQ21" s="226"/>
      <c r="BR21" s="226"/>
      <c r="BS21" s="226"/>
      <c r="BT21" s="226"/>
      <c r="BU21" s="226"/>
      <c r="BV21" s="226"/>
      <c r="BW21" s="226"/>
      <c r="BX21" s="226"/>
      <c r="BY21" s="226"/>
      <c r="BZ21" s="226"/>
      <c r="CA21" s="226"/>
      <c r="CB21" s="226"/>
      <c r="CC21" s="226"/>
      <c r="CD21" s="226"/>
      <c r="CE21" s="226"/>
      <c r="CF21" s="226"/>
      <c r="CG21" s="226"/>
      <c r="CH21" s="226"/>
      <c r="CI21" s="226"/>
      <c r="CJ21" s="226"/>
      <c r="CK21" s="226"/>
      <c r="CL21" s="226"/>
      <c r="CM21" s="226"/>
      <c r="CN21" s="226"/>
      <c r="CO21" s="226"/>
      <c r="CP21" s="226"/>
      <c r="CQ21" s="226"/>
      <c r="CR21" s="226"/>
      <c r="CS21" s="226"/>
      <c r="CT21" s="226"/>
      <c r="CU21" s="226"/>
      <c r="CV21" s="226"/>
      <c r="CW21" s="226"/>
      <c r="CX21" s="226"/>
      <c r="CY21" s="226"/>
      <c r="CZ21" s="226"/>
      <c r="DA21" s="226"/>
      <c r="DB21" s="226"/>
      <c r="DC21" s="226"/>
      <c r="DD21" s="226"/>
      <c r="DE21" s="226"/>
      <c r="DF21" s="226"/>
      <c r="DG21" s="226"/>
      <c r="DH21" s="226"/>
      <c r="DI21" s="226"/>
      <c r="DJ21" s="226"/>
      <c r="DK21" s="226"/>
      <c r="DL21" s="226"/>
      <c r="DM21" s="226"/>
      <c r="DN21" s="226"/>
      <c r="DO21" s="226"/>
      <c r="DP21" s="226"/>
      <c r="DQ21" s="226"/>
      <c r="DR21" s="226"/>
      <c r="DS21" s="226"/>
      <c r="DT21" s="226"/>
      <c r="DU21" s="226"/>
      <c r="DV21" s="226"/>
      <c r="DW21" s="226"/>
      <c r="DX21" s="226"/>
      <c r="DY21" s="226"/>
      <c r="DZ21" s="226"/>
      <c r="EA21" s="226"/>
      <c r="EB21" s="226"/>
      <c r="EC21" s="226"/>
      <c r="ED21" s="226"/>
      <c r="EE21" s="226"/>
      <c r="EF21" s="226"/>
      <c r="EG21" s="226"/>
      <c r="EH21" s="226"/>
      <c r="EI21" s="226"/>
      <c r="EJ21" s="226"/>
      <c r="EK21" s="226"/>
      <c r="EL21" s="226"/>
      <c r="EM21" s="226"/>
      <c r="EN21" s="226"/>
      <c r="EO21" s="226"/>
      <c r="EP21" s="226"/>
    </row>
    <row r="22" spans="1:146" ht="16.5" customHeight="1">
      <c r="C22" s="231"/>
      <c r="AS22" s="226"/>
      <c r="AT22" s="226"/>
      <c r="AU22" s="226"/>
      <c r="AV22" s="226"/>
      <c r="AW22" s="226"/>
      <c r="AX22" s="226"/>
      <c r="AY22" s="226"/>
      <c r="AZ22" s="226"/>
      <c r="BA22" s="226"/>
      <c r="BB22" s="226"/>
      <c r="BC22" s="226"/>
      <c r="BD22" s="226"/>
      <c r="BE22" s="226"/>
      <c r="BF22" s="226"/>
      <c r="BG22" s="226"/>
      <c r="BH22" s="226"/>
      <c r="BI22" s="226"/>
      <c r="BJ22" s="226"/>
      <c r="BK22" s="226"/>
      <c r="BL22" s="226"/>
      <c r="BM22" s="226"/>
      <c r="BN22" s="226"/>
      <c r="BO22" s="226"/>
      <c r="BP22" s="226"/>
      <c r="BQ22" s="226"/>
      <c r="BR22" s="226"/>
      <c r="BS22" s="226"/>
      <c r="BT22" s="226"/>
      <c r="BU22" s="226"/>
      <c r="BV22" s="226"/>
      <c r="BW22" s="226"/>
      <c r="BX22" s="226"/>
      <c r="BY22" s="226"/>
      <c r="BZ22" s="226"/>
      <c r="CA22" s="226"/>
      <c r="CB22" s="226"/>
      <c r="CC22" s="226"/>
      <c r="CD22" s="226"/>
      <c r="CE22" s="226"/>
      <c r="CF22" s="226"/>
      <c r="CG22" s="226"/>
      <c r="CH22" s="226"/>
      <c r="CI22" s="226"/>
      <c r="CJ22" s="226"/>
      <c r="CK22" s="226"/>
      <c r="CL22" s="226"/>
      <c r="CM22" s="226"/>
      <c r="CN22" s="226"/>
      <c r="CO22" s="226"/>
      <c r="CP22" s="226"/>
      <c r="CQ22" s="226"/>
      <c r="CR22" s="226"/>
      <c r="CS22" s="226"/>
      <c r="CT22" s="226"/>
      <c r="CU22" s="226"/>
      <c r="CV22" s="226"/>
      <c r="CW22" s="226"/>
      <c r="CX22" s="226"/>
      <c r="CY22" s="226"/>
      <c r="CZ22" s="226"/>
      <c r="DA22" s="226"/>
      <c r="DB22" s="226"/>
      <c r="DC22" s="226"/>
      <c r="DD22" s="226"/>
      <c r="DE22" s="226"/>
      <c r="DF22" s="226"/>
      <c r="DG22" s="226"/>
      <c r="DH22" s="226"/>
      <c r="DI22" s="226"/>
      <c r="DJ22" s="226"/>
      <c r="DK22" s="226"/>
      <c r="DL22" s="226"/>
      <c r="DM22" s="226"/>
      <c r="DN22" s="226"/>
      <c r="DO22" s="226"/>
      <c r="DP22" s="226"/>
      <c r="DQ22" s="226"/>
      <c r="DR22" s="226"/>
      <c r="DS22" s="226"/>
      <c r="DT22" s="226"/>
      <c r="DU22" s="226"/>
      <c r="DV22" s="226"/>
      <c r="DW22" s="226"/>
      <c r="DX22" s="226"/>
      <c r="DY22" s="226"/>
      <c r="DZ22" s="226"/>
      <c r="EA22" s="226"/>
      <c r="EB22" s="226"/>
      <c r="EC22" s="226"/>
      <c r="ED22" s="226"/>
      <c r="EE22" s="226"/>
      <c r="EF22" s="226"/>
      <c r="EG22" s="226"/>
      <c r="EH22" s="226"/>
      <c r="EI22" s="226"/>
      <c r="EJ22" s="226"/>
      <c r="EK22" s="226"/>
      <c r="EL22" s="226"/>
      <c r="EM22" s="226"/>
      <c r="EN22" s="226"/>
      <c r="EO22" s="226"/>
      <c r="EP22" s="226"/>
    </row>
    <row r="23" spans="1:146" s="232" customFormat="1" ht="36.75" customHeight="1">
      <c r="A23" s="1823"/>
      <c r="B23" s="1825" t="s">
        <v>635</v>
      </c>
      <c r="C23" s="1825" t="s">
        <v>621</v>
      </c>
      <c r="D23" s="1825" t="s">
        <v>634</v>
      </c>
      <c r="E23" s="1826" t="s">
        <v>622</v>
      </c>
      <c r="F23" s="1827"/>
      <c r="G23" s="1827"/>
      <c r="H23" s="1799" t="s">
        <v>623</v>
      </c>
      <c r="I23" s="1799"/>
      <c r="J23" s="1799" t="s">
        <v>624</v>
      </c>
      <c r="K23" s="1799"/>
      <c r="L23" s="1800" t="s">
        <v>625</v>
      </c>
      <c r="M23" s="1809" t="s">
        <v>626</v>
      </c>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row>
    <row r="24" spans="1:146" s="232" customFormat="1" ht="55.5" customHeight="1">
      <c r="A24" s="1824"/>
      <c r="B24" s="1825"/>
      <c r="C24" s="1825"/>
      <c r="D24" s="1825"/>
      <c r="E24" s="423" t="s">
        <v>359</v>
      </c>
      <c r="F24" s="423" t="s">
        <v>367</v>
      </c>
      <c r="G24" s="425" t="s">
        <v>368</v>
      </c>
      <c r="H24" s="423" t="s">
        <v>369</v>
      </c>
      <c r="I24" s="423" t="s">
        <v>368</v>
      </c>
      <c r="J24" s="423" t="s">
        <v>370</v>
      </c>
      <c r="K24" s="423" t="s">
        <v>371</v>
      </c>
      <c r="L24" s="1801"/>
      <c r="M24" s="1801"/>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row>
    <row r="25" spans="1:146" s="232" customFormat="1" ht="19.5" customHeight="1">
      <c r="A25" s="234"/>
      <c r="B25" s="441" t="s">
        <v>633</v>
      </c>
      <c r="C25" s="441"/>
      <c r="D25" s="1799"/>
      <c r="E25" s="1799"/>
      <c r="F25" s="1799"/>
      <c r="G25" s="1799"/>
      <c r="H25" s="1799"/>
      <c r="I25" s="1799"/>
      <c r="J25" s="1799"/>
      <c r="K25" s="1799"/>
      <c r="L25" s="1799"/>
      <c r="M25" s="1810" t="e">
        <f>SUM(L26:L38)</f>
        <v>#REF!</v>
      </c>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row>
    <row r="26" spans="1:146" s="232" customFormat="1" ht="63.75" customHeight="1">
      <c r="A26" s="234"/>
      <c r="B26" s="445" t="e">
        <f>#REF!</f>
        <v>#REF!</v>
      </c>
      <c r="C26" s="1811" t="s">
        <v>729</v>
      </c>
      <c r="D26" s="1812"/>
      <c r="E26" s="237"/>
      <c r="F26" s="423"/>
      <c r="G26" s="423"/>
      <c r="H26" s="423"/>
      <c r="I26" s="422"/>
      <c r="J26" s="423">
        <f t="shared" ref="J26:J38" si="0">F26+H26</f>
        <v>0</v>
      </c>
      <c r="K26" s="423" t="e">
        <f>#REF!/100+I26</f>
        <v>#REF!</v>
      </c>
      <c r="L26" s="423" t="e">
        <f t="shared" ref="L26:L38" si="1">J26+K26</f>
        <v>#REF!</v>
      </c>
      <c r="M26" s="1810"/>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row>
    <row r="27" spans="1:146" s="232" customFormat="1" ht="153.75" customHeight="1">
      <c r="A27" s="234"/>
      <c r="B27" s="1806" t="e">
        <f>#REF!</f>
        <v>#REF!</v>
      </c>
      <c r="C27" s="436" t="s">
        <v>653</v>
      </c>
      <c r="D27" s="236" t="s">
        <v>733</v>
      </c>
      <c r="E27" s="148"/>
      <c r="F27" s="423" t="e">
        <f>G47</f>
        <v>#REF!</v>
      </c>
      <c r="G27" s="423"/>
      <c r="H27" s="423"/>
      <c r="I27" s="422"/>
      <c r="J27" s="427" t="e">
        <f t="shared" si="0"/>
        <v>#REF!</v>
      </c>
      <c r="K27" s="427">
        <f t="shared" ref="K27:K38" si="2">G27+I27</f>
        <v>0</v>
      </c>
      <c r="L27" s="427" t="e">
        <f t="shared" si="1"/>
        <v>#REF!</v>
      </c>
      <c r="M27" s="1810"/>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row>
    <row r="28" spans="1:146" s="232" customFormat="1" ht="80.25" customHeight="1">
      <c r="A28" s="234"/>
      <c r="B28" s="1807"/>
      <c r="C28" s="436" t="s">
        <v>647</v>
      </c>
      <c r="D28" s="236" t="s">
        <v>652</v>
      </c>
      <c r="E28" s="148"/>
      <c r="F28" s="423" t="e">
        <f>G52</f>
        <v>#REF!</v>
      </c>
      <c r="G28" s="423"/>
      <c r="H28" s="423"/>
      <c r="I28" s="422"/>
      <c r="J28" s="427" t="e">
        <f t="shared" si="0"/>
        <v>#REF!</v>
      </c>
      <c r="K28" s="427">
        <f t="shared" si="2"/>
        <v>0</v>
      </c>
      <c r="L28" s="427" t="e">
        <f t="shared" si="1"/>
        <v>#REF!</v>
      </c>
      <c r="M28" s="1810"/>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row>
    <row r="29" spans="1:146" s="232" customFormat="1" ht="38.25" customHeight="1">
      <c r="A29" s="234"/>
      <c r="B29" s="1807"/>
      <c r="C29" s="427" t="s">
        <v>650</v>
      </c>
      <c r="D29" s="236" t="s">
        <v>651</v>
      </c>
      <c r="E29" s="365"/>
      <c r="F29" s="427"/>
      <c r="G29" s="427" t="e">
        <f>G56</f>
        <v>#REF!</v>
      </c>
      <c r="H29" s="427"/>
      <c r="I29" s="428"/>
      <c r="J29" s="427">
        <f t="shared" si="0"/>
        <v>0</v>
      </c>
      <c r="K29" s="427" t="e">
        <f t="shared" si="2"/>
        <v>#REF!</v>
      </c>
      <c r="L29" s="427" t="e">
        <f t="shared" si="1"/>
        <v>#REF!</v>
      </c>
      <c r="M29" s="1810"/>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row>
    <row r="30" spans="1:146" s="232" customFormat="1" ht="53.25" customHeight="1">
      <c r="A30" s="234"/>
      <c r="B30" s="1808"/>
      <c r="C30" s="235" t="s">
        <v>658</v>
      </c>
      <c r="D30" s="236" t="s">
        <v>645</v>
      </c>
      <c r="E30" s="237"/>
      <c r="F30" s="423"/>
      <c r="G30" s="423"/>
      <c r="H30" s="423"/>
      <c r="I30" s="422" t="e">
        <f>(#REF!-#REF!+#REF!+#REF!+#REF!)/100</f>
        <v>#REF!</v>
      </c>
      <c r="J30" s="427">
        <f t="shared" si="0"/>
        <v>0</v>
      </c>
      <c r="K30" s="427" t="e">
        <f t="shared" si="2"/>
        <v>#REF!</v>
      </c>
      <c r="L30" s="427" t="e">
        <f t="shared" si="1"/>
        <v>#REF!</v>
      </c>
      <c r="M30" s="1810"/>
      <c r="AS30" s="233"/>
      <c r="AT30" s="233"/>
      <c r="AU30" s="233"/>
      <c r="AV30" s="233"/>
      <c r="AW30" s="233"/>
      <c r="AX30" s="233"/>
      <c r="AY30" s="233"/>
      <c r="AZ30" s="233"/>
      <c r="BA30" s="233"/>
      <c r="BB30" s="233"/>
      <c r="BC30" s="233"/>
      <c r="BD30" s="233"/>
      <c r="BE30" s="233"/>
      <c r="BF30" s="233"/>
      <c r="BG30" s="233"/>
      <c r="BH30" s="233"/>
      <c r="BI30" s="233"/>
      <c r="BJ30" s="233"/>
      <c r="BK30" s="233"/>
      <c r="BL30" s="233"/>
      <c r="BM30" s="233"/>
      <c r="BN30" s="233"/>
      <c r="BO30" s="233"/>
      <c r="BP30" s="233"/>
      <c r="BQ30" s="233"/>
      <c r="BR30" s="233"/>
      <c r="BS30" s="233"/>
      <c r="BT30" s="233"/>
      <c r="BU30" s="233"/>
      <c r="BV30" s="233"/>
      <c r="BW30" s="233"/>
      <c r="BX30" s="233"/>
      <c r="BY30" s="233"/>
      <c r="BZ30" s="233"/>
      <c r="CA30" s="233"/>
      <c r="CB30" s="233"/>
      <c r="CC30" s="233"/>
      <c r="CD30" s="233"/>
      <c r="CE30" s="233"/>
      <c r="CF30" s="233"/>
      <c r="CG30" s="233"/>
      <c r="CH30" s="233"/>
      <c r="CI30" s="233"/>
      <c r="CJ30" s="233"/>
      <c r="CK30" s="233"/>
      <c r="CL30" s="233"/>
      <c r="CM30" s="233"/>
      <c r="CN30" s="233"/>
      <c r="CO30" s="233"/>
      <c r="CP30" s="233"/>
      <c r="CQ30" s="233"/>
      <c r="CR30" s="233"/>
      <c r="CS30" s="233"/>
      <c r="CT30" s="233"/>
      <c r="CU30" s="233"/>
      <c r="CV30" s="233"/>
      <c r="CW30" s="233"/>
      <c r="CX30" s="233"/>
      <c r="CY30" s="233"/>
      <c r="CZ30" s="233"/>
      <c r="DA30" s="233"/>
      <c r="DB30" s="233"/>
      <c r="DC30" s="233"/>
      <c r="DD30" s="233"/>
      <c r="DE30" s="233"/>
      <c r="DF30" s="233"/>
      <c r="DG30" s="233"/>
      <c r="DH30" s="233"/>
      <c r="DI30" s="233"/>
      <c r="DJ30" s="233"/>
      <c r="DK30" s="233"/>
      <c r="DL30" s="233"/>
      <c r="DM30" s="233"/>
      <c r="DN30" s="233"/>
      <c r="DO30" s="233"/>
      <c r="DP30" s="233"/>
      <c r="DQ30" s="233"/>
      <c r="DR30" s="233"/>
      <c r="DS30" s="233"/>
      <c r="DT30" s="233"/>
      <c r="DU30" s="233"/>
      <c r="DV30" s="233"/>
      <c r="DW30" s="233"/>
      <c r="DX30" s="233"/>
      <c r="DY30" s="233"/>
      <c r="DZ30" s="233"/>
      <c r="EA30" s="233"/>
      <c r="EB30" s="233"/>
      <c r="EC30" s="233"/>
      <c r="ED30" s="233"/>
      <c r="EE30" s="233"/>
      <c r="EF30" s="233"/>
      <c r="EG30" s="233"/>
      <c r="EH30" s="233"/>
      <c r="EI30" s="233"/>
      <c r="EJ30" s="233"/>
      <c r="EK30" s="233"/>
      <c r="EL30" s="233"/>
      <c r="EM30" s="233"/>
      <c r="EN30" s="233"/>
      <c r="EO30" s="233"/>
      <c r="EP30" s="233"/>
    </row>
    <row r="31" spans="1:146" s="232" customFormat="1" ht="91.5" customHeight="1">
      <c r="A31" s="234"/>
      <c r="B31" s="235" t="e">
        <f>#REF!</f>
        <v>#REF!</v>
      </c>
      <c r="C31" s="329" t="s">
        <v>654</v>
      </c>
      <c r="D31" s="236" t="s">
        <v>707</v>
      </c>
      <c r="E31" s="237"/>
      <c r="F31" s="427" t="e">
        <f>G57</f>
        <v>#REF!</v>
      </c>
      <c r="G31" s="427"/>
      <c r="H31" s="427"/>
      <c r="I31" s="428" t="e">
        <f>(#REF!+#REF!-#REF!+#REF!-#REF!)/100</f>
        <v>#REF!</v>
      </c>
      <c r="J31" s="427" t="e">
        <f t="shared" si="0"/>
        <v>#REF!</v>
      </c>
      <c r="K31" s="427" t="e">
        <f t="shared" si="2"/>
        <v>#REF!</v>
      </c>
      <c r="L31" s="427" t="e">
        <f t="shared" si="1"/>
        <v>#REF!</v>
      </c>
      <c r="M31" s="1810"/>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row>
    <row r="32" spans="1:146" s="232" customFormat="1" ht="81.75" customHeight="1">
      <c r="A32" s="234"/>
      <c r="B32" s="235" t="e">
        <f>#REF!</f>
        <v>#REF!</v>
      </c>
      <c r="C32" s="171" t="s">
        <v>659</v>
      </c>
      <c r="D32" s="236" t="s">
        <v>662</v>
      </c>
      <c r="E32" s="237"/>
      <c r="F32" s="427" t="e">
        <f>E59/1.3</f>
        <v>#REF!</v>
      </c>
      <c r="G32" s="427">
        <f>F59/1.3</f>
        <v>254.81413648449731</v>
      </c>
      <c r="H32" s="427"/>
      <c r="I32" s="428" t="e">
        <f>(#REF!-#REF!+#REF!-#REF!+#REF!-#REF!)/100</f>
        <v>#REF!</v>
      </c>
      <c r="J32" s="427" t="e">
        <f t="shared" si="0"/>
        <v>#REF!</v>
      </c>
      <c r="K32" s="427" t="e">
        <f t="shared" si="2"/>
        <v>#REF!</v>
      </c>
      <c r="L32" s="427" t="e">
        <f t="shared" si="1"/>
        <v>#REF!</v>
      </c>
      <c r="M32" s="1810"/>
      <c r="AS32" s="233"/>
      <c r="AT32" s="233"/>
      <c r="AU32" s="233"/>
      <c r="AV32" s="233"/>
      <c r="AW32" s="233"/>
      <c r="AX32" s="233"/>
      <c r="AY32" s="233"/>
      <c r="AZ32" s="233"/>
      <c r="BA32" s="233"/>
      <c r="BB32" s="233"/>
      <c r="BC32" s="233"/>
      <c r="BD32" s="233"/>
      <c r="BE32" s="233"/>
      <c r="BF32" s="233"/>
      <c r="BG32" s="233"/>
      <c r="BH32" s="233"/>
      <c r="BI32" s="233"/>
      <c r="BJ32" s="233"/>
      <c r="BK32" s="233"/>
      <c r="BL32" s="233"/>
      <c r="BM32" s="233"/>
      <c r="BN32" s="233"/>
      <c r="BO32" s="233"/>
      <c r="BP32" s="233"/>
      <c r="BQ32" s="233"/>
      <c r="BR32" s="233"/>
      <c r="BS32" s="233"/>
      <c r="BT32" s="233"/>
      <c r="BU32" s="233"/>
      <c r="BV32" s="233"/>
      <c r="BW32" s="233"/>
      <c r="BX32" s="233"/>
      <c r="BY32" s="233"/>
      <c r="BZ32" s="233"/>
      <c r="CA32" s="233"/>
      <c r="CB32" s="233"/>
      <c r="CC32" s="233"/>
      <c r="CD32" s="233"/>
      <c r="CE32" s="233"/>
      <c r="CF32" s="233"/>
      <c r="CG32" s="233"/>
      <c r="CH32" s="233"/>
      <c r="CI32" s="233"/>
      <c r="CJ32" s="233"/>
      <c r="CK32" s="233"/>
      <c r="CL32" s="233"/>
      <c r="CM32" s="233"/>
      <c r="CN32" s="233"/>
      <c r="CO32" s="233"/>
      <c r="CP32" s="233"/>
      <c r="CQ32" s="233"/>
      <c r="CR32" s="233"/>
      <c r="CS32" s="233"/>
      <c r="CT32" s="233"/>
      <c r="CU32" s="233"/>
      <c r="CV32" s="233"/>
      <c r="CW32" s="233"/>
      <c r="CX32" s="233"/>
      <c r="CY32" s="233"/>
      <c r="CZ32" s="233"/>
      <c r="DA32" s="233"/>
      <c r="DB32" s="233"/>
      <c r="DC32" s="233"/>
      <c r="DD32" s="233"/>
      <c r="DE32" s="233"/>
      <c r="DF32" s="233"/>
      <c r="DG32" s="233"/>
      <c r="DH32" s="233"/>
      <c r="DI32" s="233"/>
      <c r="DJ32" s="233"/>
      <c r="DK32" s="233"/>
      <c r="DL32" s="233"/>
      <c r="DM32" s="233"/>
      <c r="DN32" s="233"/>
      <c r="DO32" s="233"/>
      <c r="DP32" s="233"/>
      <c r="DQ32" s="233"/>
      <c r="DR32" s="233"/>
      <c r="DS32" s="233"/>
      <c r="DT32" s="233"/>
      <c r="DU32" s="233"/>
      <c r="DV32" s="233"/>
      <c r="DW32" s="233"/>
      <c r="DX32" s="233"/>
      <c r="DY32" s="233"/>
      <c r="DZ32" s="233"/>
      <c r="EA32" s="233"/>
      <c r="EB32" s="233"/>
      <c r="EC32" s="233"/>
      <c r="ED32" s="233"/>
      <c r="EE32" s="233"/>
      <c r="EF32" s="233"/>
      <c r="EG32" s="233"/>
      <c r="EH32" s="233"/>
      <c r="EI32" s="233"/>
      <c r="EJ32" s="233"/>
      <c r="EK32" s="233"/>
      <c r="EL32" s="233"/>
      <c r="EM32" s="233"/>
      <c r="EN32" s="233"/>
      <c r="EO32" s="233"/>
      <c r="EP32" s="233"/>
    </row>
    <row r="33" spans="1:146" s="232" customFormat="1" ht="56.25" customHeight="1">
      <c r="A33" s="234"/>
      <c r="B33" s="1806" t="e">
        <f>#REF!</f>
        <v>#REF!</v>
      </c>
      <c r="C33" s="171" t="s">
        <v>674</v>
      </c>
      <c r="D33" s="236" t="s">
        <v>663</v>
      </c>
      <c r="E33" s="237"/>
      <c r="F33" s="427"/>
      <c r="G33" s="427" t="e">
        <f>G60</f>
        <v>#REF!</v>
      </c>
      <c r="H33" s="427"/>
      <c r="I33" s="428"/>
      <c r="J33" s="427">
        <f t="shared" si="0"/>
        <v>0</v>
      </c>
      <c r="K33" s="427" t="e">
        <f t="shared" si="2"/>
        <v>#REF!</v>
      </c>
      <c r="L33" s="427" t="e">
        <f t="shared" si="1"/>
        <v>#REF!</v>
      </c>
      <c r="M33" s="1810"/>
      <c r="AS33" s="233"/>
      <c r="AT33" s="233"/>
      <c r="AU33" s="233"/>
      <c r="AV33" s="233"/>
      <c r="AW33" s="233"/>
      <c r="AX33" s="233"/>
      <c r="AY33" s="233"/>
      <c r="AZ33" s="233"/>
      <c r="BA33" s="233"/>
      <c r="BB33" s="233"/>
      <c r="BC33" s="233"/>
      <c r="BD33" s="233"/>
      <c r="BE33" s="233"/>
      <c r="BF33" s="233"/>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C33" s="233"/>
      <c r="CD33" s="233"/>
      <c r="CE33" s="233"/>
      <c r="CF33" s="233"/>
      <c r="CG33" s="233"/>
      <c r="CH33" s="233"/>
      <c r="CI33" s="233"/>
      <c r="CJ33" s="233"/>
      <c r="CK33" s="233"/>
      <c r="CL33" s="233"/>
      <c r="CM33" s="233"/>
      <c r="CN33" s="233"/>
      <c r="CO33" s="233"/>
      <c r="CP33" s="233"/>
      <c r="CQ33" s="233"/>
      <c r="CR33" s="233"/>
      <c r="CS33" s="233"/>
      <c r="CT33" s="233"/>
      <c r="CU33" s="233"/>
      <c r="CV33" s="233"/>
      <c r="CW33" s="233"/>
      <c r="CX33" s="233"/>
      <c r="CY33" s="233"/>
      <c r="CZ33" s="233"/>
      <c r="DA33" s="233"/>
      <c r="DB33" s="233"/>
      <c r="DC33" s="233"/>
      <c r="DD33" s="233"/>
      <c r="DE33" s="233"/>
      <c r="DF33" s="233"/>
      <c r="DG33" s="233"/>
      <c r="DH33" s="233"/>
      <c r="DI33" s="233"/>
      <c r="DJ33" s="233"/>
      <c r="DK33" s="233"/>
      <c r="DL33" s="233"/>
      <c r="DM33" s="233"/>
      <c r="DN33" s="233"/>
      <c r="DO33" s="233"/>
      <c r="DP33" s="233"/>
      <c r="DQ33" s="233"/>
      <c r="DR33" s="233"/>
      <c r="DS33" s="233"/>
      <c r="DT33" s="233"/>
      <c r="DU33" s="233"/>
      <c r="DV33" s="233"/>
      <c r="DW33" s="233"/>
      <c r="DX33" s="233"/>
      <c r="DY33" s="233"/>
      <c r="DZ33" s="233"/>
      <c r="EA33" s="233"/>
      <c r="EB33" s="233"/>
      <c r="EC33" s="233"/>
      <c r="ED33" s="233"/>
      <c r="EE33" s="233"/>
      <c r="EF33" s="233"/>
      <c r="EG33" s="233"/>
      <c r="EH33" s="233"/>
      <c r="EI33" s="233"/>
      <c r="EJ33" s="233"/>
      <c r="EK33" s="233"/>
      <c r="EL33" s="233"/>
      <c r="EM33" s="233"/>
      <c r="EN33" s="233"/>
      <c r="EO33" s="233"/>
      <c r="EP33" s="233"/>
    </row>
    <row r="34" spans="1:146" s="232" customFormat="1" ht="37.5" customHeight="1">
      <c r="A34" s="234"/>
      <c r="B34" s="1807"/>
      <c r="C34" s="171" t="s">
        <v>539</v>
      </c>
      <c r="D34" s="236" t="s">
        <v>664</v>
      </c>
      <c r="E34" s="237"/>
      <c r="F34" s="427"/>
      <c r="G34" s="427" t="e">
        <f>G61</f>
        <v>#REF!</v>
      </c>
      <c r="H34" s="427"/>
      <c r="I34" s="428"/>
      <c r="J34" s="427">
        <f t="shared" si="0"/>
        <v>0</v>
      </c>
      <c r="K34" s="427" t="e">
        <f t="shared" si="2"/>
        <v>#REF!</v>
      </c>
      <c r="L34" s="427" t="e">
        <f t="shared" si="1"/>
        <v>#REF!</v>
      </c>
      <c r="M34" s="1810"/>
      <c r="AS34" s="233"/>
      <c r="AT34" s="233"/>
      <c r="AU34" s="233"/>
      <c r="AV34" s="233"/>
      <c r="AW34" s="233"/>
      <c r="AX34" s="233"/>
      <c r="AY34" s="233"/>
      <c r="AZ34" s="233"/>
      <c r="BA34" s="233"/>
      <c r="BB34" s="233"/>
      <c r="BC34" s="233"/>
      <c r="BD34" s="233"/>
      <c r="BE34" s="233"/>
      <c r="BF34" s="233"/>
      <c r="BG34" s="233"/>
      <c r="BH34" s="233"/>
      <c r="BI34" s="233"/>
      <c r="BJ34" s="233"/>
      <c r="BK34" s="233"/>
      <c r="BL34" s="233"/>
      <c r="BM34" s="233"/>
      <c r="BN34" s="233"/>
      <c r="BO34" s="233"/>
      <c r="BP34" s="233"/>
      <c r="BQ34" s="233"/>
      <c r="BR34" s="233"/>
      <c r="BS34" s="233"/>
      <c r="BT34" s="233"/>
      <c r="BU34" s="233"/>
      <c r="BV34" s="233"/>
      <c r="BW34" s="233"/>
      <c r="BX34" s="233"/>
      <c r="BY34" s="233"/>
      <c r="BZ34" s="233"/>
      <c r="CA34" s="233"/>
      <c r="CB34" s="233"/>
      <c r="CC34" s="233"/>
      <c r="CD34" s="233"/>
      <c r="CE34" s="233"/>
      <c r="CF34" s="233"/>
      <c r="CG34" s="233"/>
      <c r="CH34" s="233"/>
      <c r="CI34" s="233"/>
      <c r="CJ34" s="233"/>
      <c r="CK34" s="233"/>
      <c r="CL34" s="233"/>
      <c r="CM34" s="233"/>
      <c r="CN34" s="233"/>
      <c r="CO34" s="233"/>
      <c r="CP34" s="233"/>
      <c r="CQ34" s="233"/>
      <c r="CR34" s="233"/>
      <c r="CS34" s="233"/>
      <c r="CT34" s="233"/>
      <c r="CU34" s="233"/>
      <c r="CV34" s="233"/>
      <c r="CW34" s="233"/>
      <c r="CX34" s="233"/>
      <c r="CY34" s="233"/>
      <c r="CZ34" s="233"/>
      <c r="DA34" s="233"/>
      <c r="DB34" s="233"/>
      <c r="DC34" s="233"/>
      <c r="DD34" s="233"/>
      <c r="DE34" s="233"/>
      <c r="DF34" s="233"/>
      <c r="DG34" s="233"/>
      <c r="DH34" s="233"/>
      <c r="DI34" s="233"/>
      <c r="DJ34" s="233"/>
      <c r="DK34" s="233"/>
      <c r="DL34" s="233"/>
      <c r="DM34" s="233"/>
      <c r="DN34" s="233"/>
      <c r="DO34" s="233"/>
      <c r="DP34" s="233"/>
      <c r="DQ34" s="233"/>
      <c r="DR34" s="233"/>
      <c r="DS34" s="233"/>
      <c r="DT34" s="233"/>
      <c r="DU34" s="233"/>
      <c r="DV34" s="233"/>
      <c r="DW34" s="233"/>
      <c r="DX34" s="233"/>
      <c r="DY34" s="233"/>
      <c r="DZ34" s="233"/>
      <c r="EA34" s="233"/>
      <c r="EB34" s="233"/>
      <c r="EC34" s="233"/>
      <c r="ED34" s="233"/>
      <c r="EE34" s="233"/>
      <c r="EF34" s="233"/>
      <c r="EG34" s="233"/>
      <c r="EH34" s="233"/>
      <c r="EI34" s="233"/>
      <c r="EJ34" s="233"/>
      <c r="EK34" s="233"/>
      <c r="EL34" s="233"/>
      <c r="EM34" s="233"/>
      <c r="EN34" s="233"/>
      <c r="EO34" s="233"/>
      <c r="EP34" s="233"/>
    </row>
    <row r="35" spans="1:146" s="232" customFormat="1" ht="51.75" customHeight="1">
      <c r="A35" s="234"/>
      <c r="B35" s="1808"/>
      <c r="C35" s="171" t="s">
        <v>658</v>
      </c>
      <c r="D35" s="236" t="s">
        <v>645</v>
      </c>
      <c r="E35" s="237"/>
      <c r="F35" s="427"/>
      <c r="G35" s="427"/>
      <c r="H35" s="427"/>
      <c r="I35" s="428" t="e">
        <f>(#REF!-#REF!-#REF!+#REF!+#REF!)/100</f>
        <v>#REF!</v>
      </c>
      <c r="J35" s="427">
        <f t="shared" si="0"/>
        <v>0</v>
      </c>
      <c r="K35" s="427" t="e">
        <f t="shared" si="2"/>
        <v>#REF!</v>
      </c>
      <c r="L35" s="427" t="e">
        <f t="shared" si="1"/>
        <v>#REF!</v>
      </c>
      <c r="M35" s="1810"/>
      <c r="AS35" s="233"/>
      <c r="AT35" s="233"/>
      <c r="AU35" s="233"/>
      <c r="AV35" s="233"/>
      <c r="AW35" s="233"/>
      <c r="AX35" s="233"/>
      <c r="AY35" s="233"/>
      <c r="AZ35" s="233"/>
      <c r="BA35" s="233"/>
      <c r="BB35" s="233"/>
      <c r="BC35" s="233"/>
      <c r="BD35" s="233"/>
      <c r="BE35" s="233"/>
      <c r="BF35" s="233"/>
      <c r="BG35" s="233"/>
      <c r="BH35" s="233"/>
      <c r="BI35" s="233"/>
      <c r="BJ35" s="233"/>
      <c r="BK35" s="233"/>
      <c r="BL35" s="233"/>
      <c r="BM35" s="233"/>
      <c r="BN35" s="233"/>
      <c r="BO35" s="233"/>
      <c r="BP35" s="233"/>
      <c r="BQ35" s="233"/>
      <c r="BR35" s="233"/>
      <c r="BS35" s="233"/>
      <c r="BT35" s="233"/>
      <c r="BU35" s="233"/>
      <c r="BV35" s="233"/>
      <c r="BW35" s="233"/>
      <c r="BX35" s="233"/>
      <c r="BY35" s="233"/>
      <c r="BZ35" s="233"/>
      <c r="CA35" s="233"/>
      <c r="CB35" s="233"/>
      <c r="CC35" s="233"/>
      <c r="CD35" s="233"/>
      <c r="CE35" s="233"/>
      <c r="CF35" s="233"/>
      <c r="CG35" s="233"/>
      <c r="CH35" s="233"/>
      <c r="CI35" s="233"/>
      <c r="CJ35" s="233"/>
      <c r="CK35" s="233"/>
      <c r="CL35" s="233"/>
      <c r="CM35" s="233"/>
      <c r="CN35" s="233"/>
      <c r="CO35" s="233"/>
      <c r="CP35" s="233"/>
      <c r="CQ35" s="233"/>
      <c r="CR35" s="233"/>
      <c r="CS35" s="233"/>
      <c r="CT35" s="233"/>
      <c r="CU35" s="233"/>
      <c r="CV35" s="233"/>
      <c r="CW35" s="233"/>
      <c r="CX35" s="233"/>
      <c r="CY35" s="233"/>
      <c r="CZ35" s="233"/>
      <c r="DA35" s="233"/>
      <c r="DB35" s="233"/>
      <c r="DC35" s="233"/>
      <c r="DD35" s="233"/>
      <c r="DE35" s="233"/>
      <c r="DF35" s="233"/>
      <c r="DG35" s="233"/>
      <c r="DH35" s="233"/>
      <c r="DI35" s="233"/>
      <c r="DJ35" s="233"/>
      <c r="DK35" s="233"/>
      <c r="DL35" s="233"/>
      <c r="DM35" s="233"/>
      <c r="DN35" s="233"/>
      <c r="DO35" s="233"/>
      <c r="DP35" s="233"/>
      <c r="DQ35" s="233"/>
      <c r="DR35" s="233"/>
      <c r="DS35" s="233"/>
      <c r="DT35" s="233"/>
      <c r="DU35" s="233"/>
      <c r="DV35" s="233"/>
      <c r="DW35" s="233"/>
      <c r="DX35" s="233"/>
      <c r="DY35" s="233"/>
      <c r="DZ35" s="233"/>
      <c r="EA35" s="233"/>
      <c r="EB35" s="233"/>
      <c r="EC35" s="233"/>
      <c r="ED35" s="233"/>
      <c r="EE35" s="233"/>
      <c r="EF35" s="233"/>
      <c r="EG35" s="233"/>
      <c r="EH35" s="233"/>
      <c r="EI35" s="233"/>
      <c r="EJ35" s="233"/>
      <c r="EK35" s="233"/>
      <c r="EL35" s="233"/>
      <c r="EM35" s="233"/>
      <c r="EN35" s="233"/>
      <c r="EO35" s="233"/>
      <c r="EP35" s="233"/>
    </row>
    <row r="36" spans="1:146" s="232" customFormat="1" ht="63.75" customHeight="1">
      <c r="A36" s="234"/>
      <c r="B36" s="1806" t="e">
        <f>#REF!</f>
        <v>#REF!</v>
      </c>
      <c r="C36" s="171" t="s">
        <v>545</v>
      </c>
      <c r="D36" s="236" t="s">
        <v>688</v>
      </c>
      <c r="E36" s="237"/>
      <c r="F36" s="427"/>
      <c r="G36" s="427" t="e">
        <f>G62</f>
        <v>#REF!</v>
      </c>
      <c r="H36" s="427"/>
      <c r="I36" s="428"/>
      <c r="J36" s="427">
        <f t="shared" si="0"/>
        <v>0</v>
      </c>
      <c r="K36" s="427" t="e">
        <f t="shared" si="2"/>
        <v>#REF!</v>
      </c>
      <c r="L36" s="427" t="e">
        <f t="shared" si="1"/>
        <v>#REF!</v>
      </c>
      <c r="M36" s="1810"/>
      <c r="AS36" s="233"/>
      <c r="AT36" s="233"/>
      <c r="AU36" s="233"/>
      <c r="AV36" s="233"/>
      <c r="AW36" s="233"/>
      <c r="AX36" s="233"/>
      <c r="AY36" s="233"/>
      <c r="AZ36" s="233"/>
      <c r="BA36" s="233"/>
      <c r="BB36" s="233"/>
      <c r="BC36" s="233"/>
      <c r="BD36" s="233"/>
      <c r="BE36" s="233"/>
      <c r="BF36" s="233"/>
      <c r="BG36" s="233"/>
      <c r="BH36" s="233"/>
      <c r="BI36" s="233"/>
      <c r="BJ36" s="233"/>
      <c r="BK36" s="233"/>
      <c r="BL36" s="233"/>
      <c r="BM36" s="233"/>
      <c r="BN36" s="233"/>
      <c r="BO36" s="233"/>
      <c r="BP36" s="233"/>
      <c r="BQ36" s="233"/>
      <c r="BR36" s="233"/>
      <c r="BS36" s="233"/>
      <c r="BT36" s="233"/>
      <c r="BU36" s="233"/>
      <c r="BV36" s="233"/>
      <c r="BW36" s="233"/>
      <c r="BX36" s="233"/>
      <c r="BY36" s="233"/>
      <c r="BZ36" s="233"/>
      <c r="CA36" s="233"/>
      <c r="CB36" s="233"/>
      <c r="CC36" s="233"/>
      <c r="CD36" s="233"/>
      <c r="CE36" s="233"/>
      <c r="CF36" s="233"/>
      <c r="CG36" s="233"/>
      <c r="CH36" s="233"/>
      <c r="CI36" s="233"/>
      <c r="CJ36" s="233"/>
      <c r="CK36" s="233"/>
      <c r="CL36" s="233"/>
      <c r="CM36" s="233"/>
      <c r="CN36" s="233"/>
      <c r="CO36" s="233"/>
      <c r="CP36" s="233"/>
      <c r="CQ36" s="233"/>
      <c r="CR36" s="233"/>
      <c r="CS36" s="233"/>
      <c r="CT36" s="233"/>
      <c r="CU36" s="233"/>
      <c r="CV36" s="233"/>
      <c r="CW36" s="233"/>
      <c r="CX36" s="233"/>
      <c r="CY36" s="233"/>
      <c r="CZ36" s="233"/>
      <c r="DA36" s="233"/>
      <c r="DB36" s="233"/>
      <c r="DC36" s="233"/>
      <c r="DD36" s="233"/>
      <c r="DE36" s="233"/>
      <c r="DF36" s="233"/>
      <c r="DG36" s="233"/>
      <c r="DH36" s="233"/>
      <c r="DI36" s="233"/>
      <c r="DJ36" s="233"/>
      <c r="DK36" s="233"/>
      <c r="DL36" s="233"/>
      <c r="DM36" s="233"/>
      <c r="DN36" s="233"/>
      <c r="DO36" s="233"/>
      <c r="DP36" s="233"/>
      <c r="DQ36" s="233"/>
      <c r="DR36" s="233"/>
      <c r="DS36" s="233"/>
      <c r="DT36" s="233"/>
      <c r="DU36" s="233"/>
      <c r="DV36" s="233"/>
      <c r="DW36" s="233"/>
      <c r="DX36" s="233"/>
      <c r="DY36" s="233"/>
      <c r="DZ36" s="233"/>
      <c r="EA36" s="233"/>
      <c r="EB36" s="233"/>
      <c r="EC36" s="233"/>
      <c r="ED36" s="233"/>
      <c r="EE36" s="233"/>
      <c r="EF36" s="233"/>
      <c r="EG36" s="233"/>
      <c r="EH36" s="233"/>
      <c r="EI36" s="233"/>
      <c r="EJ36" s="233"/>
      <c r="EK36" s="233"/>
      <c r="EL36" s="233"/>
      <c r="EM36" s="233"/>
      <c r="EN36" s="233"/>
      <c r="EO36" s="233"/>
      <c r="EP36" s="233"/>
    </row>
    <row r="37" spans="1:146" s="232" customFormat="1" ht="95.25" customHeight="1">
      <c r="A37" s="234"/>
      <c r="B37" s="1807"/>
      <c r="C37" s="171" t="s">
        <v>546</v>
      </c>
      <c r="D37" s="236" t="s">
        <v>691</v>
      </c>
      <c r="E37" s="237"/>
      <c r="F37" s="427"/>
      <c r="G37" s="427" t="e">
        <f>G64</f>
        <v>#REF!</v>
      </c>
      <c r="H37" s="427"/>
      <c r="I37" s="428"/>
      <c r="J37" s="427">
        <f t="shared" si="0"/>
        <v>0</v>
      </c>
      <c r="K37" s="427" t="e">
        <f t="shared" si="2"/>
        <v>#REF!</v>
      </c>
      <c r="L37" s="427" t="e">
        <f t="shared" si="1"/>
        <v>#REF!</v>
      </c>
      <c r="M37" s="1810"/>
      <c r="AS37" s="233"/>
      <c r="AT37" s="233"/>
      <c r="AU37" s="233"/>
      <c r="AV37" s="233"/>
      <c r="AW37" s="233"/>
      <c r="AX37" s="233"/>
      <c r="AY37" s="233"/>
      <c r="AZ37" s="233"/>
      <c r="BA37" s="233"/>
      <c r="BB37" s="233"/>
      <c r="BC37" s="233"/>
      <c r="BD37" s="233"/>
      <c r="BE37" s="233"/>
      <c r="BF37" s="233"/>
      <c r="BG37" s="233"/>
      <c r="BH37" s="233"/>
      <c r="BI37" s="233"/>
      <c r="BJ37" s="233"/>
      <c r="BK37" s="233"/>
      <c r="BL37" s="233"/>
      <c r="BM37" s="233"/>
      <c r="BN37" s="233"/>
      <c r="BO37" s="233"/>
      <c r="BP37" s="233"/>
      <c r="BQ37" s="233"/>
      <c r="BR37" s="233"/>
      <c r="BS37" s="233"/>
      <c r="BT37" s="233"/>
      <c r="BU37" s="233"/>
      <c r="BV37" s="233"/>
      <c r="BW37" s="233"/>
      <c r="BX37" s="233"/>
      <c r="BY37" s="233"/>
      <c r="BZ37" s="233"/>
      <c r="CA37" s="233"/>
      <c r="CB37" s="233"/>
      <c r="CC37" s="233"/>
      <c r="CD37" s="233"/>
      <c r="CE37" s="233"/>
      <c r="CF37" s="233"/>
      <c r="CG37" s="233"/>
      <c r="CH37" s="233"/>
      <c r="CI37" s="233"/>
      <c r="CJ37" s="233"/>
      <c r="CK37" s="233"/>
      <c r="CL37" s="233"/>
      <c r="CM37" s="233"/>
      <c r="CN37" s="233"/>
      <c r="CO37" s="233"/>
      <c r="CP37" s="233"/>
      <c r="CQ37" s="233"/>
      <c r="CR37" s="233"/>
      <c r="CS37" s="233"/>
      <c r="CT37" s="233"/>
      <c r="CU37" s="233"/>
      <c r="CV37" s="233"/>
      <c r="CW37" s="233"/>
      <c r="CX37" s="233"/>
      <c r="CY37" s="233"/>
      <c r="CZ37" s="233"/>
      <c r="DA37" s="233"/>
      <c r="DB37" s="233"/>
      <c r="DC37" s="233"/>
      <c r="DD37" s="233"/>
      <c r="DE37" s="233"/>
      <c r="DF37" s="233"/>
      <c r="DG37" s="233"/>
      <c r="DH37" s="233"/>
      <c r="DI37" s="233"/>
      <c r="DJ37" s="233"/>
      <c r="DK37" s="233"/>
      <c r="DL37" s="233"/>
      <c r="DM37" s="233"/>
      <c r="DN37" s="233"/>
      <c r="DO37" s="233"/>
      <c r="DP37" s="233"/>
      <c r="DQ37" s="233"/>
      <c r="DR37" s="233"/>
      <c r="DS37" s="233"/>
      <c r="DT37" s="233"/>
      <c r="DU37" s="233"/>
      <c r="DV37" s="233"/>
      <c r="DW37" s="233"/>
      <c r="DX37" s="233"/>
      <c r="DY37" s="233"/>
      <c r="DZ37" s="233"/>
      <c r="EA37" s="233"/>
      <c r="EB37" s="233"/>
      <c r="EC37" s="233"/>
      <c r="ED37" s="233"/>
      <c r="EE37" s="233"/>
      <c r="EF37" s="233"/>
      <c r="EG37" s="233"/>
      <c r="EH37" s="233"/>
      <c r="EI37" s="233"/>
      <c r="EJ37" s="233"/>
      <c r="EK37" s="233"/>
      <c r="EL37" s="233"/>
      <c r="EM37" s="233"/>
      <c r="EN37" s="233"/>
      <c r="EO37" s="233"/>
      <c r="EP37" s="233"/>
    </row>
    <row r="38" spans="1:146" s="232" customFormat="1" ht="51" customHeight="1">
      <c r="A38" s="234"/>
      <c r="B38" s="1808"/>
      <c r="C38" s="171" t="s">
        <v>658</v>
      </c>
      <c r="D38" s="236"/>
      <c r="E38" s="237"/>
      <c r="F38" s="427"/>
      <c r="G38" s="427"/>
      <c r="H38" s="427"/>
      <c r="I38" s="428" t="e">
        <f>(#REF!-#REF!-#REF!+#REF!+#REF!)/100</f>
        <v>#REF!</v>
      </c>
      <c r="J38" s="427">
        <f t="shared" si="0"/>
        <v>0</v>
      </c>
      <c r="K38" s="427" t="e">
        <f t="shared" si="2"/>
        <v>#REF!</v>
      </c>
      <c r="L38" s="427" t="e">
        <f t="shared" si="1"/>
        <v>#REF!</v>
      </c>
      <c r="M38" s="1810"/>
      <c r="AS38" s="233"/>
      <c r="AT38" s="233"/>
      <c r="AU38" s="233"/>
      <c r="AV38" s="233"/>
      <c r="AW38" s="233"/>
      <c r="AX38" s="233"/>
      <c r="AY38" s="233"/>
      <c r="AZ38" s="233"/>
      <c r="BA38" s="233"/>
      <c r="BB38" s="233"/>
      <c r="BC38" s="233"/>
      <c r="BD38" s="233"/>
      <c r="BE38" s="233"/>
      <c r="BF38" s="233"/>
      <c r="BG38" s="233"/>
      <c r="BH38" s="233"/>
      <c r="BI38" s="233"/>
      <c r="BJ38" s="233"/>
      <c r="BK38" s="233"/>
      <c r="BL38" s="233"/>
      <c r="BM38" s="233"/>
      <c r="BN38" s="233"/>
      <c r="BO38" s="233"/>
      <c r="BP38" s="233"/>
      <c r="BQ38" s="233"/>
      <c r="BR38" s="233"/>
      <c r="BS38" s="233"/>
      <c r="BT38" s="233"/>
      <c r="BU38" s="233"/>
      <c r="BV38" s="233"/>
      <c r="BW38" s="233"/>
      <c r="BX38" s="233"/>
      <c r="BY38" s="233"/>
      <c r="BZ38" s="233"/>
      <c r="CA38" s="233"/>
      <c r="CB38" s="233"/>
      <c r="CC38" s="233"/>
      <c r="CD38" s="233"/>
      <c r="CE38" s="233"/>
      <c r="CF38" s="233"/>
      <c r="CG38" s="233"/>
      <c r="CH38" s="233"/>
      <c r="CI38" s="233"/>
      <c r="CJ38" s="233"/>
      <c r="CK38" s="233"/>
      <c r="CL38" s="233"/>
      <c r="CM38" s="233"/>
      <c r="CN38" s="233"/>
      <c r="CO38" s="233"/>
      <c r="CP38" s="233"/>
      <c r="CQ38" s="233"/>
      <c r="CR38" s="233"/>
      <c r="CS38" s="233"/>
      <c r="CT38" s="233"/>
      <c r="CU38" s="233"/>
      <c r="CV38" s="233"/>
      <c r="CW38" s="233"/>
      <c r="CX38" s="233"/>
      <c r="CY38" s="233"/>
      <c r="CZ38" s="233"/>
      <c r="DA38" s="233"/>
      <c r="DB38" s="233"/>
      <c r="DC38" s="233"/>
      <c r="DD38" s="233"/>
      <c r="DE38" s="233"/>
      <c r="DF38" s="233"/>
      <c r="DG38" s="233"/>
      <c r="DH38" s="233"/>
      <c r="DI38" s="233"/>
      <c r="DJ38" s="233"/>
      <c r="DK38" s="233"/>
      <c r="DL38" s="233"/>
      <c r="DM38" s="233"/>
      <c r="DN38" s="233"/>
      <c r="DO38" s="233"/>
      <c r="DP38" s="233"/>
      <c r="DQ38" s="233"/>
      <c r="DR38" s="233"/>
      <c r="DS38" s="233"/>
      <c r="DT38" s="233"/>
      <c r="DU38" s="233"/>
      <c r="DV38" s="233"/>
      <c r="DW38" s="233"/>
      <c r="DX38" s="233"/>
      <c r="DY38" s="233"/>
      <c r="DZ38" s="233"/>
      <c r="EA38" s="233"/>
      <c r="EB38" s="233"/>
      <c r="EC38" s="233"/>
      <c r="ED38" s="233"/>
      <c r="EE38" s="233"/>
      <c r="EF38" s="233"/>
      <c r="EG38" s="233"/>
      <c r="EH38" s="233"/>
      <c r="EI38" s="233"/>
      <c r="EJ38" s="233"/>
      <c r="EK38" s="233"/>
      <c r="EL38" s="233"/>
      <c r="EM38" s="233"/>
      <c r="EN38" s="233"/>
      <c r="EO38" s="233"/>
      <c r="EP38" s="233"/>
    </row>
    <row r="39" spans="1:146" s="434" customFormat="1" ht="27" customHeight="1">
      <c r="A39" s="442"/>
      <c r="B39" s="443" t="s">
        <v>627</v>
      </c>
      <c r="C39" s="443"/>
      <c r="D39" s="238"/>
      <c r="E39" s="238"/>
      <c r="F39" s="238"/>
      <c r="G39" s="238"/>
      <c r="H39" s="238"/>
      <c r="I39" s="238"/>
      <c r="J39" s="238"/>
      <c r="K39" s="238"/>
      <c r="L39" s="238"/>
      <c r="M39" s="1810"/>
      <c r="AS39" s="435"/>
      <c r="AT39" s="435"/>
      <c r="AU39" s="435"/>
      <c r="AV39" s="435"/>
      <c r="AW39" s="435"/>
      <c r="AX39" s="435"/>
      <c r="AY39" s="435"/>
      <c r="AZ39" s="435"/>
      <c r="BA39" s="435"/>
      <c r="BB39" s="435"/>
      <c r="BC39" s="435"/>
      <c r="BD39" s="435"/>
      <c r="BE39" s="435"/>
      <c r="BF39" s="435"/>
      <c r="BG39" s="435"/>
      <c r="BH39" s="435"/>
      <c r="BI39" s="435"/>
      <c r="BJ39" s="435"/>
      <c r="BK39" s="435"/>
      <c r="BL39" s="435"/>
      <c r="BM39" s="435"/>
      <c r="BN39" s="435"/>
      <c r="BO39" s="435"/>
      <c r="BP39" s="435"/>
      <c r="BQ39" s="435"/>
      <c r="BR39" s="435"/>
      <c r="BS39" s="435"/>
      <c r="BT39" s="435"/>
      <c r="BU39" s="435"/>
      <c r="BV39" s="435"/>
      <c r="BW39" s="435"/>
      <c r="BX39" s="435"/>
      <c r="BY39" s="435"/>
      <c r="BZ39" s="435"/>
      <c r="CA39" s="435"/>
      <c r="CB39" s="435"/>
      <c r="CC39" s="435"/>
      <c r="CD39" s="435"/>
      <c r="CE39" s="435"/>
      <c r="CF39" s="435"/>
      <c r="CG39" s="435"/>
      <c r="CH39" s="435"/>
      <c r="CI39" s="435"/>
      <c r="CJ39" s="435"/>
      <c r="CK39" s="435"/>
      <c r="CL39" s="435"/>
      <c r="CM39" s="435"/>
      <c r="CN39" s="435"/>
      <c r="CO39" s="435"/>
      <c r="CP39" s="435"/>
      <c r="CQ39" s="435"/>
      <c r="CR39" s="435"/>
      <c r="CS39" s="435"/>
      <c r="CT39" s="435"/>
      <c r="CU39" s="435"/>
      <c r="CV39" s="435"/>
      <c r="CW39" s="435"/>
      <c r="CX39" s="435"/>
      <c r="CY39" s="435"/>
      <c r="CZ39" s="435"/>
      <c r="DA39" s="435"/>
      <c r="DB39" s="435"/>
      <c r="DC39" s="435"/>
      <c r="DD39" s="435"/>
      <c r="DE39" s="435"/>
      <c r="DF39" s="435"/>
      <c r="DG39" s="435"/>
      <c r="DH39" s="435"/>
      <c r="DI39" s="435"/>
      <c r="DJ39" s="435"/>
      <c r="DK39" s="435"/>
      <c r="DL39" s="435"/>
      <c r="DM39" s="435"/>
      <c r="DN39" s="435"/>
      <c r="DO39" s="435"/>
      <c r="DP39" s="435"/>
      <c r="DQ39" s="435"/>
      <c r="DR39" s="435"/>
      <c r="DS39" s="435"/>
      <c r="DT39" s="435"/>
      <c r="DU39" s="435"/>
      <c r="DV39" s="435"/>
      <c r="DW39" s="435"/>
      <c r="DX39" s="435"/>
      <c r="DY39" s="435"/>
      <c r="DZ39" s="435"/>
      <c r="EA39" s="435"/>
      <c r="EB39" s="435"/>
      <c r="EC39" s="435"/>
      <c r="ED39" s="435"/>
      <c r="EE39" s="435"/>
      <c r="EF39" s="435"/>
      <c r="EG39" s="435"/>
      <c r="EH39" s="435"/>
      <c r="EI39" s="435"/>
      <c r="EJ39" s="435"/>
      <c r="EK39" s="435"/>
      <c r="EL39" s="435"/>
      <c r="EM39" s="435"/>
      <c r="EN39" s="435"/>
      <c r="EO39" s="435"/>
      <c r="EP39" s="435"/>
    </row>
    <row r="40" spans="1:146" s="232" customFormat="1" ht="24" customHeight="1">
      <c r="A40" s="234"/>
      <c r="B40" s="423" t="s">
        <v>17</v>
      </c>
      <c r="C40" s="1826" t="s">
        <v>363</v>
      </c>
      <c r="D40" s="1828"/>
      <c r="E40" s="239"/>
      <c r="F40" s="239"/>
      <c r="G40" s="437"/>
      <c r="H40" s="239"/>
      <c r="I40" s="437"/>
      <c r="J40" s="239"/>
      <c r="K40" s="423">
        <f>G40+I40</f>
        <v>0</v>
      </c>
      <c r="L40" s="423">
        <f>J40+K40</f>
        <v>0</v>
      </c>
      <c r="M40" s="1810"/>
      <c r="AS40" s="233"/>
      <c r="AT40" s="233"/>
      <c r="AU40" s="233"/>
      <c r="AV40" s="233"/>
      <c r="AW40" s="233"/>
      <c r="AX40" s="233"/>
      <c r="AY40" s="233"/>
      <c r="AZ40" s="233"/>
      <c r="BA40" s="233"/>
      <c r="BB40" s="233"/>
      <c r="BC40" s="233"/>
      <c r="BD40" s="233"/>
      <c r="BE40" s="233"/>
      <c r="BF40" s="233"/>
      <c r="BG40" s="233"/>
      <c r="BH40" s="233"/>
      <c r="BI40" s="233"/>
      <c r="BJ40" s="233"/>
      <c r="BK40" s="233"/>
      <c r="BL40" s="233"/>
      <c r="BM40" s="233"/>
      <c r="BN40" s="233"/>
      <c r="BO40" s="233"/>
      <c r="BP40" s="233"/>
      <c r="BQ40" s="233"/>
      <c r="BR40" s="233"/>
      <c r="BS40" s="233"/>
      <c r="BT40" s="233"/>
      <c r="BU40" s="233"/>
      <c r="BV40" s="233"/>
      <c r="BW40" s="233"/>
      <c r="BX40" s="233"/>
      <c r="BY40" s="233"/>
      <c r="BZ40" s="233"/>
      <c r="CA40" s="233"/>
      <c r="CB40" s="233"/>
      <c r="CC40" s="233"/>
      <c r="CD40" s="233"/>
      <c r="CE40" s="233"/>
      <c r="CF40" s="233"/>
      <c r="CG40" s="233"/>
      <c r="CH40" s="233"/>
      <c r="CI40" s="233"/>
      <c r="CJ40" s="233"/>
      <c r="CK40" s="233"/>
      <c r="CL40" s="233"/>
      <c r="CM40" s="233"/>
      <c r="CN40" s="233"/>
      <c r="CO40" s="233"/>
      <c r="CP40" s="233"/>
      <c r="CQ40" s="233"/>
      <c r="CR40" s="233"/>
      <c r="CS40" s="233"/>
      <c r="CT40" s="233"/>
      <c r="CU40" s="233"/>
      <c r="CV40" s="233"/>
      <c r="CW40" s="233"/>
      <c r="CX40" s="233"/>
      <c r="CY40" s="233"/>
      <c r="CZ40" s="233"/>
      <c r="DA40" s="233"/>
      <c r="DB40" s="233"/>
      <c r="DC40" s="233"/>
      <c r="DD40" s="233"/>
      <c r="DE40" s="233"/>
      <c r="DF40" s="233"/>
      <c r="DG40" s="233"/>
      <c r="DH40" s="233"/>
      <c r="DI40" s="233"/>
      <c r="DJ40" s="233"/>
      <c r="DK40" s="233"/>
      <c r="DL40" s="233"/>
      <c r="DM40" s="233"/>
      <c r="DN40" s="233"/>
      <c r="DO40" s="233"/>
      <c r="DP40" s="233"/>
      <c r="DQ40" s="233"/>
      <c r="DR40" s="233"/>
      <c r="DS40" s="233"/>
      <c r="DT40" s="233"/>
      <c r="DU40" s="233"/>
      <c r="DV40" s="233"/>
      <c r="DW40" s="233"/>
      <c r="DX40" s="233"/>
      <c r="DY40" s="233"/>
      <c r="DZ40" s="233"/>
      <c r="EA40" s="233"/>
      <c r="EB40" s="233"/>
      <c r="EC40" s="233"/>
      <c r="ED40" s="233"/>
      <c r="EE40" s="233"/>
      <c r="EF40" s="233"/>
      <c r="EG40" s="233"/>
      <c r="EH40" s="233"/>
      <c r="EI40" s="233"/>
      <c r="EJ40" s="233"/>
      <c r="EK40" s="233"/>
      <c r="EL40" s="233"/>
      <c r="EM40" s="233"/>
      <c r="EN40" s="233"/>
      <c r="EO40" s="233"/>
      <c r="EP40" s="233"/>
    </row>
    <row r="41" spans="1:146" s="232" customFormat="1" ht="15.75" customHeight="1">
      <c r="A41" s="253"/>
      <c r="B41" s="254"/>
      <c r="C41" s="255"/>
      <c r="D41" s="256"/>
      <c r="E41" s="257"/>
      <c r="F41" s="254"/>
      <c r="G41" s="258"/>
      <c r="H41" s="254"/>
      <c r="I41" s="254"/>
      <c r="J41" s="254"/>
      <c r="K41" s="254"/>
      <c r="L41" s="254"/>
      <c r="AS41" s="233"/>
      <c r="AT41" s="233"/>
      <c r="AU41" s="233"/>
      <c r="AV41" s="233"/>
      <c r="AW41" s="233"/>
      <c r="AX41" s="233"/>
      <c r="AY41" s="233"/>
      <c r="AZ41" s="233"/>
      <c r="BA41" s="233"/>
      <c r="BB41" s="233"/>
      <c r="BC41" s="233"/>
      <c r="BD41" s="233"/>
      <c r="BE41" s="233"/>
      <c r="BF41" s="233"/>
      <c r="BG41" s="233"/>
      <c r="BH41" s="233"/>
      <c r="BI41" s="233"/>
      <c r="BJ41" s="233"/>
      <c r="BK41" s="233"/>
      <c r="BL41" s="233"/>
      <c r="BM41" s="233"/>
      <c r="BN41" s="233"/>
      <c r="BO41" s="233"/>
      <c r="BP41" s="233"/>
      <c r="BQ41" s="233"/>
      <c r="BR41" s="233"/>
      <c r="BS41" s="233"/>
      <c r="BT41" s="233"/>
      <c r="BU41" s="233"/>
      <c r="BV41" s="233"/>
      <c r="BW41" s="233"/>
      <c r="BX41" s="233"/>
      <c r="BY41" s="233"/>
      <c r="BZ41" s="233"/>
      <c r="CA41" s="233"/>
      <c r="CB41" s="233"/>
      <c r="CC41" s="233"/>
      <c r="CD41" s="233"/>
      <c r="CE41" s="233"/>
      <c r="CF41" s="233"/>
      <c r="CG41" s="233"/>
      <c r="CH41" s="233"/>
      <c r="CI41" s="233"/>
      <c r="CJ41" s="233"/>
      <c r="CK41" s="233"/>
      <c r="CL41" s="233"/>
      <c r="CM41" s="233"/>
      <c r="CN41" s="233"/>
      <c r="CO41" s="233"/>
      <c r="CP41" s="233"/>
      <c r="CQ41" s="233"/>
      <c r="CR41" s="233"/>
      <c r="CS41" s="233"/>
      <c r="CT41" s="233"/>
      <c r="CU41" s="233"/>
      <c r="CV41" s="233"/>
      <c r="CW41" s="233"/>
      <c r="CX41" s="233"/>
      <c r="CY41" s="233"/>
      <c r="CZ41" s="233"/>
      <c r="DA41" s="233"/>
      <c r="DB41" s="233"/>
      <c r="DC41" s="233"/>
      <c r="DD41" s="233"/>
      <c r="DE41" s="233"/>
      <c r="DF41" s="233"/>
      <c r="DG41" s="233"/>
      <c r="DH41" s="233"/>
      <c r="DI41" s="233"/>
      <c r="DJ41" s="233"/>
      <c r="DK41" s="233"/>
      <c r="DL41" s="233"/>
      <c r="DM41" s="233"/>
      <c r="DN41" s="233"/>
      <c r="DO41" s="233"/>
      <c r="DP41" s="233"/>
      <c r="DQ41" s="233"/>
      <c r="DR41" s="233"/>
      <c r="DS41" s="233"/>
      <c r="DT41" s="233"/>
      <c r="DU41" s="233"/>
      <c r="DV41" s="233"/>
      <c r="DW41" s="233"/>
      <c r="DX41" s="233"/>
      <c r="DY41" s="233"/>
      <c r="DZ41" s="233"/>
      <c r="EA41" s="233"/>
      <c r="EB41" s="233"/>
      <c r="EC41" s="233"/>
      <c r="ED41" s="233"/>
      <c r="EE41" s="233"/>
      <c r="EF41" s="233"/>
      <c r="EG41" s="233"/>
      <c r="EH41" s="233"/>
      <c r="EI41" s="233"/>
      <c r="EJ41" s="233"/>
      <c r="EK41" s="233"/>
      <c r="EL41" s="233"/>
      <c r="EM41" s="233"/>
      <c r="EN41" s="233"/>
      <c r="EO41" s="233"/>
      <c r="EP41" s="233"/>
    </row>
    <row r="42" spans="1:146" s="232" customFormat="1" ht="53.25" customHeight="1">
      <c r="A42" s="253"/>
      <c r="B42" s="1830" t="s">
        <v>710</v>
      </c>
      <c r="C42" s="1831"/>
      <c r="D42" s="1831"/>
      <c r="E42" s="1831"/>
      <c r="F42" s="1831"/>
      <c r="G42" s="1831"/>
      <c r="H42" s="1831"/>
      <c r="I42" s="1831"/>
      <c r="J42" s="1831"/>
      <c r="K42" s="1831"/>
      <c r="L42" s="1831"/>
      <c r="M42" s="1832"/>
      <c r="AS42" s="233"/>
      <c r="AT42" s="233"/>
      <c r="AU42" s="233"/>
      <c r="AV42" s="233"/>
      <c r="AW42" s="233"/>
      <c r="AX42" s="233"/>
      <c r="AY42" s="233"/>
      <c r="AZ42" s="233"/>
      <c r="BA42" s="233"/>
      <c r="BB42" s="233"/>
      <c r="BC42" s="233"/>
      <c r="BD42" s="233"/>
      <c r="BE42" s="233"/>
      <c r="BF42" s="233"/>
      <c r="BG42" s="233"/>
      <c r="BH42" s="233"/>
      <c r="BI42" s="233"/>
      <c r="BJ42" s="233"/>
      <c r="BK42" s="233"/>
      <c r="BL42" s="233"/>
      <c r="BM42" s="233"/>
      <c r="BN42" s="233"/>
      <c r="BO42" s="233"/>
      <c r="BP42" s="233"/>
      <c r="BQ42" s="233"/>
      <c r="BR42" s="233"/>
      <c r="BS42" s="233"/>
      <c r="BT42" s="233"/>
      <c r="BU42" s="233"/>
      <c r="BV42" s="233"/>
      <c r="BW42" s="233"/>
      <c r="BX42" s="233"/>
      <c r="BY42" s="233"/>
      <c r="BZ42" s="233"/>
      <c r="CA42" s="233"/>
      <c r="CB42" s="233"/>
      <c r="CC42" s="233"/>
      <c r="CD42" s="233"/>
      <c r="CE42" s="233"/>
      <c r="CF42" s="233"/>
      <c r="CG42" s="233"/>
      <c r="CH42" s="233"/>
      <c r="CI42" s="233"/>
      <c r="CJ42" s="233"/>
      <c r="CK42" s="233"/>
      <c r="CL42" s="233"/>
      <c r="CM42" s="233"/>
      <c r="CN42" s="233"/>
      <c r="CO42" s="233"/>
      <c r="CP42" s="233"/>
      <c r="CQ42" s="233"/>
      <c r="CR42" s="233"/>
      <c r="CS42" s="233"/>
      <c r="CT42" s="233"/>
      <c r="CU42" s="233"/>
      <c r="CV42" s="233"/>
      <c r="CW42" s="233"/>
      <c r="CX42" s="233"/>
      <c r="CY42" s="233"/>
      <c r="CZ42" s="233"/>
      <c r="DA42" s="233"/>
      <c r="DB42" s="233"/>
      <c r="DC42" s="233"/>
      <c r="DD42" s="233"/>
      <c r="DE42" s="233"/>
      <c r="DF42" s="233"/>
      <c r="DG42" s="233"/>
      <c r="DH42" s="233"/>
      <c r="DI42" s="233"/>
      <c r="DJ42" s="233"/>
      <c r="DK42" s="233"/>
      <c r="DL42" s="233"/>
      <c r="DM42" s="233"/>
      <c r="DN42" s="233"/>
      <c r="DO42" s="233"/>
      <c r="DP42" s="233"/>
      <c r="DQ42" s="233"/>
      <c r="DR42" s="233"/>
      <c r="DS42" s="233"/>
      <c r="DT42" s="233"/>
      <c r="DU42" s="233"/>
      <c r="DV42" s="233"/>
      <c r="DW42" s="233"/>
      <c r="DX42" s="233"/>
      <c r="DY42" s="233"/>
      <c r="DZ42" s="233"/>
      <c r="EA42" s="233"/>
      <c r="EB42" s="233"/>
      <c r="EC42" s="233"/>
      <c r="ED42" s="233"/>
      <c r="EE42" s="233"/>
      <c r="EF42" s="233"/>
      <c r="EG42" s="233"/>
      <c r="EH42" s="233"/>
      <c r="EI42" s="233"/>
      <c r="EJ42" s="233"/>
      <c r="EK42" s="233"/>
      <c r="EL42" s="233"/>
      <c r="EM42" s="233"/>
      <c r="EN42" s="233"/>
      <c r="EO42" s="233"/>
      <c r="EP42" s="233"/>
    </row>
    <row r="43" spans="1:146" s="244" customFormat="1" ht="10.5" customHeight="1">
      <c r="B43" s="245"/>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c r="DM43" s="246"/>
      <c r="DN43" s="246"/>
      <c r="DO43" s="246"/>
      <c r="DP43" s="246"/>
      <c r="DQ43" s="246"/>
      <c r="DR43" s="246"/>
      <c r="DS43" s="246"/>
      <c r="DT43" s="246"/>
      <c r="DU43" s="246"/>
      <c r="DV43" s="246"/>
      <c r="DW43" s="246"/>
      <c r="DX43" s="246"/>
      <c r="DY43" s="246"/>
      <c r="DZ43" s="246"/>
      <c r="EA43" s="246"/>
      <c r="EB43" s="246"/>
      <c r="EC43" s="246"/>
      <c r="ED43" s="246"/>
      <c r="EE43" s="246"/>
      <c r="EF43" s="246"/>
      <c r="EG43" s="246"/>
      <c r="EH43" s="246"/>
      <c r="EI43" s="246"/>
      <c r="EJ43" s="246"/>
      <c r="EK43" s="246"/>
      <c r="EL43" s="246"/>
      <c r="EM43" s="246"/>
      <c r="EN43" s="246"/>
      <c r="EO43" s="246"/>
      <c r="EP43" s="246"/>
    </row>
    <row r="44" spans="1:146" s="247" customFormat="1" ht="24.75" customHeight="1">
      <c r="B44" s="438" t="s">
        <v>628</v>
      </c>
      <c r="AS44" s="249"/>
      <c r="AT44" s="249"/>
      <c r="AU44" s="249"/>
      <c r="AV44" s="249"/>
      <c r="AW44" s="249"/>
      <c r="AX44" s="249"/>
      <c r="AY44" s="249"/>
      <c r="AZ44" s="249"/>
      <c r="BA44" s="249"/>
      <c r="BB44" s="249"/>
      <c r="BC44" s="249"/>
      <c r="BD44" s="249"/>
      <c r="BE44" s="249"/>
      <c r="BF44" s="249"/>
      <c r="BG44" s="249"/>
      <c r="BH44" s="249"/>
      <c r="BI44" s="249"/>
      <c r="BJ44" s="249"/>
      <c r="BK44" s="249"/>
      <c r="BL44" s="249"/>
      <c r="BM44" s="249"/>
      <c r="BN44" s="249"/>
      <c r="BO44" s="249"/>
      <c r="BP44" s="249"/>
      <c r="BQ44" s="249"/>
      <c r="BR44" s="249"/>
      <c r="BS44" s="249"/>
      <c r="BT44" s="249"/>
      <c r="BU44" s="249"/>
      <c r="BV44" s="249"/>
      <c r="BW44" s="249"/>
      <c r="BX44" s="249"/>
      <c r="BY44" s="249"/>
      <c r="BZ44" s="249"/>
      <c r="CA44" s="249"/>
      <c r="CB44" s="249"/>
      <c r="CC44" s="249"/>
      <c r="CD44" s="249"/>
      <c r="CE44" s="249"/>
      <c r="CF44" s="249"/>
      <c r="CG44" s="249"/>
      <c r="CH44" s="249"/>
      <c r="CI44" s="249"/>
      <c r="CJ44" s="249"/>
      <c r="CK44" s="249"/>
      <c r="CL44" s="249"/>
      <c r="CM44" s="249"/>
      <c r="CN44" s="249"/>
      <c r="CO44" s="249"/>
      <c r="CP44" s="249"/>
      <c r="CQ44" s="249"/>
      <c r="CR44" s="249"/>
      <c r="CS44" s="249"/>
      <c r="CT44" s="249"/>
      <c r="CU44" s="249"/>
      <c r="CV44" s="249"/>
      <c r="CW44" s="249"/>
      <c r="CX44" s="249"/>
      <c r="CY44" s="249"/>
      <c r="CZ44" s="249"/>
      <c r="DA44" s="249"/>
      <c r="DB44" s="249"/>
      <c r="DC44" s="249"/>
      <c r="DD44" s="249"/>
      <c r="DE44" s="249"/>
      <c r="DF44" s="249"/>
      <c r="DG44" s="249"/>
      <c r="DH44" s="249"/>
      <c r="DI44" s="249"/>
      <c r="DJ44" s="249"/>
      <c r="DK44" s="249"/>
      <c r="DL44" s="249"/>
      <c r="DM44" s="249"/>
      <c r="DN44" s="249"/>
      <c r="DO44" s="249"/>
      <c r="DP44" s="249"/>
      <c r="DQ44" s="249"/>
      <c r="DR44" s="249"/>
      <c r="DS44" s="249"/>
      <c r="DT44" s="249"/>
      <c r="DU44" s="249"/>
      <c r="DV44" s="249"/>
      <c r="DW44" s="249"/>
      <c r="DX44" s="249"/>
      <c r="DY44" s="249"/>
      <c r="DZ44" s="249"/>
      <c r="EA44" s="249"/>
      <c r="EB44" s="249"/>
      <c r="EC44" s="249"/>
      <c r="ED44" s="249"/>
      <c r="EE44" s="249"/>
      <c r="EF44" s="249"/>
      <c r="EG44" s="249"/>
      <c r="EH44" s="249"/>
      <c r="EI44" s="249"/>
      <c r="EJ44" s="249"/>
      <c r="EK44" s="249"/>
      <c r="EL44" s="249"/>
      <c r="EM44" s="249"/>
      <c r="EN44" s="249"/>
      <c r="EO44" s="249"/>
      <c r="EP44" s="249"/>
    </row>
    <row r="45" spans="1:146" s="244" customFormat="1" ht="21.75" customHeight="1" thickBot="1">
      <c r="B45" s="1829" t="s">
        <v>675</v>
      </c>
      <c r="C45" s="1829"/>
      <c r="D45" s="1829"/>
      <c r="E45" s="1829"/>
      <c r="F45" s="1829"/>
      <c r="G45" s="1829"/>
      <c r="H45" s="1829"/>
      <c r="AS45" s="246"/>
      <c r="AT45" s="246"/>
      <c r="AU45" s="246"/>
      <c r="AV45" s="246"/>
      <c r="AW45" s="246"/>
      <c r="AX45" s="246"/>
      <c r="AY45" s="246"/>
      <c r="AZ45" s="246"/>
      <c r="BA45" s="246"/>
      <c r="BB45" s="246"/>
      <c r="BC45" s="246"/>
      <c r="BD45" s="246"/>
      <c r="BE45" s="246"/>
      <c r="BF45" s="246"/>
      <c r="BG45" s="246"/>
      <c r="BH45" s="246"/>
      <c r="BI45" s="246"/>
      <c r="BJ45" s="246"/>
      <c r="BK45" s="246"/>
      <c r="BL45" s="246"/>
      <c r="BM45" s="246"/>
      <c r="BN45" s="246"/>
      <c r="BO45" s="246"/>
      <c r="BP45" s="246"/>
      <c r="BQ45" s="246"/>
      <c r="BR45" s="246"/>
      <c r="BS45" s="246"/>
      <c r="BT45" s="246"/>
      <c r="BU45" s="246"/>
      <c r="BV45" s="246"/>
      <c r="BW45" s="246"/>
      <c r="BX45" s="246"/>
      <c r="BY45" s="246"/>
      <c r="BZ45" s="246"/>
      <c r="CA45" s="246"/>
      <c r="CB45" s="246"/>
      <c r="CC45" s="246"/>
      <c r="CD45" s="246"/>
      <c r="CE45" s="246"/>
      <c r="CF45" s="246"/>
      <c r="CG45" s="246"/>
      <c r="CH45" s="246"/>
      <c r="CI45" s="246"/>
      <c r="CJ45" s="246"/>
      <c r="CK45" s="246"/>
      <c r="CL45" s="246"/>
      <c r="CM45" s="246"/>
      <c r="CN45" s="246"/>
      <c r="CO45" s="246"/>
      <c r="CP45" s="246"/>
      <c r="CQ45" s="246"/>
      <c r="CR45" s="246"/>
      <c r="CS45" s="246"/>
      <c r="CT45" s="246"/>
      <c r="CU45" s="246"/>
      <c r="CV45" s="246"/>
      <c r="CW45" s="246"/>
      <c r="CX45" s="246"/>
      <c r="CY45" s="246"/>
      <c r="CZ45" s="246"/>
      <c r="DA45" s="246"/>
      <c r="DB45" s="246"/>
      <c r="DC45" s="246"/>
      <c r="DD45" s="246"/>
      <c r="DE45" s="246"/>
      <c r="DF45" s="246"/>
      <c r="DG45" s="246"/>
      <c r="DH45" s="246"/>
      <c r="DI45" s="246"/>
      <c r="DJ45" s="246"/>
      <c r="DK45" s="246"/>
      <c r="DL45" s="246"/>
      <c r="DM45" s="246"/>
      <c r="DN45" s="246"/>
      <c r="DO45" s="246"/>
      <c r="DP45" s="246"/>
      <c r="DQ45" s="246"/>
      <c r="DR45" s="246"/>
      <c r="DS45" s="246"/>
      <c r="DT45" s="246"/>
      <c r="DU45" s="246"/>
      <c r="DV45" s="246"/>
      <c r="DW45" s="246"/>
      <c r="DX45" s="246"/>
      <c r="DY45" s="246"/>
      <c r="DZ45" s="246"/>
      <c r="EA45" s="246"/>
      <c r="EB45" s="246"/>
      <c r="EC45" s="246"/>
      <c r="ED45" s="246"/>
      <c r="EE45" s="246"/>
      <c r="EF45" s="246"/>
      <c r="EG45" s="246"/>
      <c r="EH45" s="246"/>
      <c r="EI45" s="246"/>
      <c r="EJ45" s="246"/>
      <c r="EK45" s="246"/>
      <c r="EL45" s="246"/>
      <c r="EM45" s="246"/>
      <c r="EN45" s="246"/>
      <c r="EO45" s="246"/>
      <c r="EP45" s="246"/>
    </row>
    <row r="46" spans="1:146" s="244" customFormat="1" ht="65.25" customHeight="1" thickBot="1">
      <c r="B46" s="448" t="s">
        <v>646</v>
      </c>
      <c r="C46" s="449" t="s">
        <v>648</v>
      </c>
      <c r="D46" s="450" t="s">
        <v>656</v>
      </c>
      <c r="E46" s="450" t="s">
        <v>367</v>
      </c>
      <c r="F46" s="451" t="s">
        <v>368</v>
      </c>
      <c r="G46" s="452" t="s">
        <v>661</v>
      </c>
      <c r="H46" s="1757" t="s">
        <v>603</v>
      </c>
      <c r="I46" s="1757"/>
      <c r="J46" s="1758"/>
      <c r="AS46" s="246"/>
      <c r="AT46" s="246"/>
      <c r="AU46" s="246"/>
      <c r="AV46" s="246"/>
      <c r="AW46" s="246"/>
      <c r="AX46" s="246"/>
      <c r="AY46" s="246"/>
      <c r="AZ46" s="246"/>
      <c r="BA46" s="246"/>
      <c r="BB46" s="246"/>
      <c r="BC46" s="246"/>
      <c r="BD46" s="246"/>
      <c r="BE46" s="246"/>
      <c r="BF46" s="246"/>
      <c r="BG46" s="246"/>
      <c r="BH46" s="246"/>
      <c r="BI46" s="246"/>
      <c r="BJ46" s="246"/>
      <c r="BK46" s="246"/>
      <c r="BL46" s="246"/>
      <c r="BM46" s="246"/>
      <c r="BN46" s="246"/>
      <c r="BO46" s="246"/>
      <c r="BP46" s="246"/>
      <c r="BQ46" s="246"/>
      <c r="BR46" s="246"/>
      <c r="BS46" s="246"/>
      <c r="BT46" s="246"/>
      <c r="BU46" s="246"/>
      <c r="BV46" s="246"/>
      <c r="BW46" s="246"/>
      <c r="BX46" s="246"/>
      <c r="BY46" s="246"/>
      <c r="BZ46" s="246"/>
      <c r="CA46" s="246"/>
      <c r="CB46" s="246"/>
      <c r="CC46" s="246"/>
      <c r="CD46" s="246"/>
      <c r="CE46" s="246"/>
      <c r="CF46" s="246"/>
      <c r="CG46" s="246"/>
      <c r="CH46" s="246"/>
      <c r="CI46" s="246"/>
      <c r="CJ46" s="246"/>
      <c r="CK46" s="246"/>
      <c r="CL46" s="246"/>
      <c r="CM46" s="246"/>
      <c r="CN46" s="246"/>
      <c r="CO46" s="246"/>
      <c r="CP46" s="246"/>
      <c r="CQ46" s="246"/>
      <c r="CR46" s="246"/>
      <c r="CS46" s="246"/>
      <c r="CT46" s="246"/>
      <c r="CU46" s="246"/>
      <c r="CV46" s="246"/>
      <c r="CW46" s="246"/>
      <c r="CX46" s="246"/>
      <c r="CY46" s="246"/>
      <c r="CZ46" s="246"/>
      <c r="DA46" s="246"/>
      <c r="DB46" s="246"/>
      <c r="DC46" s="246"/>
      <c r="DD46" s="246"/>
      <c r="DE46" s="246"/>
      <c r="DF46" s="246"/>
      <c r="DG46" s="246"/>
      <c r="DH46" s="246"/>
      <c r="DI46" s="246"/>
      <c r="DJ46" s="246"/>
      <c r="DK46" s="246"/>
      <c r="DL46" s="246"/>
      <c r="DM46" s="246"/>
      <c r="DN46" s="246"/>
      <c r="DO46" s="246"/>
      <c r="DP46" s="246"/>
      <c r="DQ46" s="246"/>
      <c r="DR46" s="246"/>
      <c r="DS46" s="246"/>
      <c r="DT46" s="246"/>
      <c r="DU46" s="246"/>
      <c r="DV46" s="246"/>
      <c r="DW46" s="246"/>
      <c r="DX46" s="246"/>
      <c r="DY46" s="246"/>
      <c r="DZ46" s="246"/>
      <c r="EA46" s="246"/>
      <c r="EB46" s="246"/>
      <c r="EC46" s="246"/>
      <c r="ED46" s="246"/>
      <c r="EE46" s="246"/>
      <c r="EF46" s="246"/>
      <c r="EG46" s="246"/>
      <c r="EH46" s="246"/>
      <c r="EI46" s="246"/>
      <c r="EJ46" s="246"/>
      <c r="EK46" s="246"/>
      <c r="EL46" s="246"/>
      <c r="EM46" s="246"/>
      <c r="EN46" s="246"/>
      <c r="EO46" s="246"/>
      <c r="EP46" s="246"/>
    </row>
    <row r="47" spans="1:146" s="244" customFormat="1" ht="40.5" customHeight="1">
      <c r="B47" s="1778" t="s">
        <v>641</v>
      </c>
      <c r="C47" s="453" t="s">
        <v>636</v>
      </c>
      <c r="D47" s="454">
        <f>27100000/1.05</f>
        <v>25809523.80952381</v>
      </c>
      <c r="E47" s="455" t="e">
        <f>D47*$F$21/10^7</f>
        <v>#REF!</v>
      </c>
      <c r="F47" s="456"/>
      <c r="G47" s="1790" t="e">
        <f>E48/1.15</f>
        <v>#REF!</v>
      </c>
      <c r="H47" s="1759" t="s">
        <v>695</v>
      </c>
      <c r="I47" s="1760"/>
      <c r="J47" s="1761"/>
      <c r="AS47" s="246"/>
      <c r="AT47" s="246"/>
      <c r="AU47" s="246"/>
      <c r="AV47" s="246"/>
      <c r="AW47" s="246"/>
      <c r="AX47" s="246"/>
      <c r="AY47" s="246"/>
      <c r="AZ47" s="246"/>
      <c r="BA47" s="246"/>
      <c r="BB47" s="246"/>
      <c r="BC47" s="246"/>
      <c r="BD47" s="246"/>
      <c r="BE47" s="246"/>
      <c r="BF47" s="246"/>
      <c r="BG47" s="246"/>
      <c r="BH47" s="246"/>
      <c r="BI47" s="246"/>
      <c r="BJ47" s="246"/>
      <c r="BK47" s="246"/>
      <c r="BL47" s="246"/>
      <c r="BM47" s="246"/>
      <c r="BN47" s="246"/>
      <c r="BO47" s="246"/>
      <c r="BP47" s="246"/>
      <c r="BQ47" s="246"/>
      <c r="BR47" s="246"/>
      <c r="BS47" s="246"/>
      <c r="BT47" s="246"/>
      <c r="BU47" s="246"/>
      <c r="BV47" s="246"/>
      <c r="BW47" s="246"/>
      <c r="BX47" s="246"/>
      <c r="BY47" s="246"/>
      <c r="BZ47" s="246"/>
      <c r="CA47" s="246"/>
      <c r="CB47" s="246"/>
      <c r="CC47" s="246"/>
      <c r="CD47" s="246"/>
      <c r="CE47" s="246"/>
      <c r="CF47" s="246"/>
      <c r="CG47" s="246"/>
      <c r="CH47" s="246"/>
      <c r="CI47" s="246"/>
      <c r="CJ47" s="246"/>
      <c r="CK47" s="246"/>
      <c r="CL47" s="246"/>
      <c r="CM47" s="246"/>
      <c r="CN47" s="246"/>
      <c r="CO47" s="246"/>
      <c r="CP47" s="246"/>
      <c r="CQ47" s="246"/>
      <c r="CR47" s="246"/>
      <c r="CS47" s="246"/>
      <c r="CT47" s="246"/>
      <c r="CU47" s="246"/>
      <c r="CV47" s="246"/>
      <c r="CW47" s="246"/>
      <c r="CX47" s="246"/>
      <c r="CY47" s="246"/>
      <c r="CZ47" s="246"/>
      <c r="DA47" s="246"/>
      <c r="DB47" s="246"/>
      <c r="DC47" s="246"/>
      <c r="DD47" s="246"/>
      <c r="DE47" s="246"/>
      <c r="DF47" s="246"/>
      <c r="DG47" s="246"/>
      <c r="DH47" s="246"/>
      <c r="DI47" s="246"/>
      <c r="DJ47" s="246"/>
      <c r="DK47" s="246"/>
      <c r="DL47" s="246"/>
      <c r="DM47" s="246"/>
      <c r="DN47" s="246"/>
      <c r="DO47" s="246"/>
      <c r="DP47" s="246"/>
      <c r="DQ47" s="246"/>
      <c r="DR47" s="246"/>
      <c r="DS47" s="246"/>
      <c r="DT47" s="246"/>
      <c r="DU47" s="246"/>
      <c r="DV47" s="246"/>
      <c r="DW47" s="246"/>
      <c r="DX47" s="246"/>
      <c r="DY47" s="246"/>
      <c r="DZ47" s="246"/>
      <c r="EA47" s="246"/>
      <c r="EB47" s="246"/>
      <c r="EC47" s="246"/>
      <c r="ED47" s="246"/>
      <c r="EE47" s="246"/>
      <c r="EF47" s="246"/>
      <c r="EG47" s="246"/>
      <c r="EH47" s="246"/>
      <c r="EI47" s="246"/>
      <c r="EJ47" s="246"/>
      <c r="EK47" s="246"/>
      <c r="EL47" s="246"/>
      <c r="EM47" s="246"/>
      <c r="EN47" s="246"/>
      <c r="EO47" s="246"/>
      <c r="EP47" s="246"/>
    </row>
    <row r="48" spans="1:146" s="244" customFormat="1" ht="33" customHeight="1">
      <c r="B48" s="1779"/>
      <c r="C48" s="236" t="s">
        <v>637</v>
      </c>
      <c r="D48" s="148">
        <f>25600000/1.05</f>
        <v>24380952.380952381</v>
      </c>
      <c r="E48" s="444" t="e">
        <f>D48*$F$21/10^7</f>
        <v>#REF!</v>
      </c>
      <c r="F48" s="250"/>
      <c r="G48" s="1791"/>
      <c r="H48" s="1762"/>
      <c r="I48" s="1763"/>
      <c r="J48" s="1764"/>
      <c r="AS48" s="246"/>
      <c r="AT48" s="246"/>
      <c r="AU48" s="246"/>
      <c r="AV48" s="246"/>
      <c r="AW48" s="246"/>
      <c r="AX48" s="246"/>
      <c r="AY48" s="246"/>
      <c r="AZ48" s="246"/>
      <c r="BA48" s="246"/>
      <c r="BB48" s="246"/>
      <c r="BC48" s="246"/>
      <c r="BD48" s="246"/>
      <c r="BE48" s="246"/>
      <c r="BF48" s="246"/>
      <c r="BG48" s="246"/>
      <c r="BH48" s="246"/>
      <c r="BI48" s="246"/>
      <c r="BJ48" s="246"/>
      <c r="BK48" s="246"/>
      <c r="BL48" s="246"/>
      <c r="BM48" s="246"/>
      <c r="BN48" s="246"/>
      <c r="BO48" s="246"/>
      <c r="BP48" s="246"/>
      <c r="BQ48" s="246"/>
      <c r="BR48" s="246"/>
      <c r="BS48" s="246"/>
      <c r="BT48" s="246"/>
      <c r="BU48" s="246"/>
      <c r="BV48" s="246"/>
      <c r="BW48" s="246"/>
      <c r="BX48" s="246"/>
      <c r="BY48" s="246"/>
      <c r="BZ48" s="246"/>
      <c r="CA48" s="246"/>
      <c r="CB48" s="246"/>
      <c r="CC48" s="246"/>
      <c r="CD48" s="246"/>
      <c r="CE48" s="246"/>
      <c r="CF48" s="246"/>
      <c r="CG48" s="246"/>
      <c r="CH48" s="246"/>
      <c r="CI48" s="246"/>
      <c r="CJ48" s="246"/>
      <c r="CK48" s="246"/>
      <c r="CL48" s="246"/>
      <c r="CM48" s="246"/>
      <c r="CN48" s="246"/>
      <c r="CO48" s="246"/>
      <c r="CP48" s="246"/>
      <c r="CQ48" s="246"/>
      <c r="CR48" s="246"/>
      <c r="CS48" s="246"/>
      <c r="CT48" s="246"/>
      <c r="CU48" s="246"/>
      <c r="CV48" s="246"/>
      <c r="CW48" s="246"/>
      <c r="CX48" s="246"/>
      <c r="CY48" s="246"/>
      <c r="CZ48" s="246"/>
      <c r="DA48" s="246"/>
      <c r="DB48" s="246"/>
      <c r="DC48" s="246"/>
      <c r="DD48" s="246"/>
      <c r="DE48" s="246"/>
      <c r="DF48" s="246"/>
      <c r="DG48" s="246"/>
      <c r="DH48" s="246"/>
      <c r="DI48" s="246"/>
      <c r="DJ48" s="246"/>
      <c r="DK48" s="246"/>
      <c r="DL48" s="246"/>
      <c r="DM48" s="246"/>
      <c r="DN48" s="246"/>
      <c r="DO48" s="246"/>
      <c r="DP48" s="246"/>
      <c r="DQ48" s="246"/>
      <c r="DR48" s="246"/>
      <c r="DS48" s="246"/>
      <c r="DT48" s="246"/>
      <c r="DU48" s="246"/>
      <c r="DV48" s="246"/>
      <c r="DW48" s="246"/>
      <c r="DX48" s="246"/>
      <c r="DY48" s="246"/>
      <c r="DZ48" s="246"/>
      <c r="EA48" s="246"/>
      <c r="EB48" s="246"/>
      <c r="EC48" s="246"/>
      <c r="ED48" s="246"/>
      <c r="EE48" s="246"/>
      <c r="EF48" s="246"/>
      <c r="EG48" s="246"/>
      <c r="EH48" s="246"/>
      <c r="EI48" s="246"/>
      <c r="EJ48" s="246"/>
      <c r="EK48" s="246"/>
      <c r="EL48" s="246"/>
      <c r="EM48" s="246"/>
      <c r="EN48" s="246"/>
      <c r="EO48" s="246"/>
      <c r="EP48" s="246"/>
    </row>
    <row r="49" spans="2:146" s="244" customFormat="1" ht="33.75" customHeight="1">
      <c r="B49" s="1779"/>
      <c r="C49" s="236" t="s">
        <v>638</v>
      </c>
      <c r="D49" s="457">
        <f>(2*1100*7500+2*65*7000)/1.05/1.06/1.1</f>
        <v>14220370.824144406</v>
      </c>
      <c r="E49" s="444" t="e">
        <f>D49*$F$20/10^7</f>
        <v>#REF!</v>
      </c>
      <c r="F49" s="250"/>
      <c r="G49" s="1791"/>
      <c r="H49" s="1762"/>
      <c r="I49" s="1763"/>
      <c r="J49" s="1764"/>
      <c r="AS49" s="246"/>
      <c r="AT49" s="246"/>
      <c r="AU49" s="246"/>
      <c r="AV49" s="246"/>
      <c r="AW49" s="246"/>
      <c r="AX49" s="246"/>
      <c r="AY49" s="246"/>
      <c r="AZ49" s="246"/>
      <c r="BA49" s="246"/>
      <c r="BB49" s="246"/>
      <c r="BC49" s="246"/>
      <c r="BD49" s="246"/>
      <c r="BE49" s="246"/>
      <c r="BF49" s="246"/>
      <c r="BG49" s="246"/>
      <c r="BH49" s="246"/>
      <c r="BI49" s="246"/>
      <c r="BJ49" s="246"/>
      <c r="BK49" s="246"/>
      <c r="BL49" s="246"/>
      <c r="BM49" s="246"/>
      <c r="BN49" s="246"/>
      <c r="BO49" s="246"/>
      <c r="BP49" s="246"/>
      <c r="BQ49" s="246"/>
      <c r="BR49" s="246"/>
      <c r="BS49" s="246"/>
      <c r="BT49" s="246"/>
      <c r="BU49" s="246"/>
      <c r="BV49" s="246"/>
      <c r="BW49" s="246"/>
      <c r="BX49" s="246"/>
      <c r="BY49" s="246"/>
      <c r="BZ49" s="246"/>
      <c r="CA49" s="246"/>
      <c r="CB49" s="246"/>
      <c r="CC49" s="246"/>
      <c r="CD49" s="246"/>
      <c r="CE49" s="246"/>
      <c r="CF49" s="246"/>
      <c r="CG49" s="246"/>
      <c r="CH49" s="246"/>
      <c r="CI49" s="246"/>
      <c r="CJ49" s="246"/>
      <c r="CK49" s="246"/>
      <c r="CL49" s="246"/>
      <c r="CM49" s="246"/>
      <c r="CN49" s="246"/>
      <c r="CO49" s="246"/>
      <c r="CP49" s="246"/>
      <c r="CQ49" s="246"/>
      <c r="CR49" s="246"/>
      <c r="CS49" s="246"/>
      <c r="CT49" s="246"/>
      <c r="CU49" s="246"/>
      <c r="CV49" s="246"/>
      <c r="CW49" s="246"/>
      <c r="CX49" s="246"/>
      <c r="CY49" s="246"/>
      <c r="CZ49" s="246"/>
      <c r="DA49" s="246"/>
      <c r="DB49" s="246"/>
      <c r="DC49" s="246"/>
      <c r="DD49" s="246"/>
      <c r="DE49" s="246"/>
      <c r="DF49" s="246"/>
      <c r="DG49" s="246"/>
      <c r="DH49" s="246"/>
      <c r="DI49" s="246"/>
      <c r="DJ49" s="246"/>
      <c r="DK49" s="246"/>
      <c r="DL49" s="246"/>
      <c r="DM49" s="246"/>
      <c r="DN49" s="246"/>
      <c r="DO49" s="246"/>
      <c r="DP49" s="246"/>
      <c r="DQ49" s="246"/>
      <c r="DR49" s="246"/>
      <c r="DS49" s="246"/>
      <c r="DT49" s="246"/>
      <c r="DU49" s="246"/>
      <c r="DV49" s="246"/>
      <c r="DW49" s="246"/>
      <c r="DX49" s="246"/>
      <c r="DY49" s="246"/>
      <c r="DZ49" s="246"/>
      <c r="EA49" s="246"/>
      <c r="EB49" s="246"/>
      <c r="EC49" s="246"/>
      <c r="ED49" s="246"/>
      <c r="EE49" s="246"/>
      <c r="EF49" s="246"/>
      <c r="EG49" s="246"/>
      <c r="EH49" s="246"/>
      <c r="EI49" s="246"/>
      <c r="EJ49" s="246"/>
      <c r="EK49" s="246"/>
      <c r="EL49" s="246"/>
      <c r="EM49" s="246"/>
      <c r="EN49" s="246"/>
      <c r="EO49" s="246"/>
      <c r="EP49" s="246"/>
    </row>
    <row r="50" spans="2:146" s="244" customFormat="1" ht="42" customHeight="1">
      <c r="B50" s="1779"/>
      <c r="C50" s="236" t="s">
        <v>639</v>
      </c>
      <c r="D50" s="148">
        <f>(2*6078961+2*823256)/1.05</f>
        <v>13147080</v>
      </c>
      <c r="E50" s="444" t="e">
        <f>D50*$F$20/10^7</f>
        <v>#REF!</v>
      </c>
      <c r="F50" s="250"/>
      <c r="G50" s="1791"/>
      <c r="H50" s="1762"/>
      <c r="I50" s="1763"/>
      <c r="J50" s="1764"/>
      <c r="AS50" s="246"/>
      <c r="AT50" s="246"/>
      <c r="AU50" s="246"/>
      <c r="AV50" s="246"/>
      <c r="AW50" s="246"/>
      <c r="AX50" s="246"/>
      <c r="AY50" s="246"/>
      <c r="AZ50" s="246"/>
      <c r="BA50" s="246"/>
      <c r="BB50" s="246"/>
      <c r="BC50" s="246"/>
      <c r="BD50" s="246"/>
      <c r="BE50" s="246"/>
      <c r="BF50" s="246"/>
      <c r="BG50" s="246"/>
      <c r="BH50" s="246"/>
      <c r="BI50" s="246"/>
      <c r="BJ50" s="246"/>
      <c r="BK50" s="246"/>
      <c r="BL50" s="246"/>
      <c r="BM50" s="246"/>
      <c r="BN50" s="246"/>
      <c r="BO50" s="246"/>
      <c r="BP50" s="246"/>
      <c r="BQ50" s="246"/>
      <c r="BR50" s="246"/>
      <c r="BS50" s="246"/>
      <c r="BT50" s="246"/>
      <c r="BU50" s="246"/>
      <c r="BV50" s="246"/>
      <c r="BW50" s="246"/>
      <c r="BX50" s="246"/>
      <c r="BY50" s="246"/>
      <c r="BZ50" s="246"/>
      <c r="CA50" s="246"/>
      <c r="CB50" s="246"/>
      <c r="CC50" s="246"/>
      <c r="CD50" s="246"/>
      <c r="CE50" s="246"/>
      <c r="CF50" s="246"/>
      <c r="CG50" s="246"/>
      <c r="CH50" s="246"/>
      <c r="CI50" s="246"/>
      <c r="CJ50" s="246"/>
      <c r="CK50" s="246"/>
      <c r="CL50" s="246"/>
      <c r="CM50" s="246"/>
      <c r="CN50" s="246"/>
      <c r="CO50" s="246"/>
      <c r="CP50" s="246"/>
      <c r="CQ50" s="246"/>
      <c r="CR50" s="246"/>
      <c r="CS50" s="246"/>
      <c r="CT50" s="246"/>
      <c r="CU50" s="246"/>
      <c r="CV50" s="246"/>
      <c r="CW50" s="246"/>
      <c r="CX50" s="246"/>
      <c r="CY50" s="246"/>
      <c r="CZ50" s="246"/>
      <c r="DA50" s="246"/>
      <c r="DB50" s="246"/>
      <c r="DC50" s="246"/>
      <c r="DD50" s="246"/>
      <c r="DE50" s="246"/>
      <c r="DF50" s="246"/>
      <c r="DG50" s="246"/>
      <c r="DH50" s="246"/>
      <c r="DI50" s="246"/>
      <c r="DJ50" s="246"/>
      <c r="DK50" s="246"/>
      <c r="DL50" s="246"/>
      <c r="DM50" s="246"/>
      <c r="DN50" s="246"/>
      <c r="DO50" s="246"/>
      <c r="DP50" s="246"/>
      <c r="DQ50" s="246"/>
      <c r="DR50" s="246"/>
      <c r="DS50" s="246"/>
      <c r="DT50" s="246"/>
      <c r="DU50" s="246"/>
      <c r="DV50" s="246"/>
      <c r="DW50" s="246"/>
      <c r="DX50" s="246"/>
      <c r="DY50" s="246"/>
      <c r="DZ50" s="246"/>
      <c r="EA50" s="246"/>
      <c r="EB50" s="246"/>
      <c r="EC50" s="246"/>
      <c r="ED50" s="246"/>
      <c r="EE50" s="246"/>
      <c r="EF50" s="246"/>
      <c r="EG50" s="246"/>
      <c r="EH50" s="246"/>
      <c r="EI50" s="246"/>
      <c r="EJ50" s="246"/>
      <c r="EK50" s="246"/>
      <c r="EL50" s="246"/>
      <c r="EM50" s="246"/>
      <c r="EN50" s="246"/>
      <c r="EO50" s="246"/>
      <c r="EP50" s="246"/>
    </row>
    <row r="51" spans="2:146" s="244" customFormat="1" ht="33.75" customHeight="1" thickBot="1">
      <c r="B51" s="1780"/>
      <c r="C51" s="458" t="s">
        <v>640</v>
      </c>
      <c r="D51" s="459">
        <f>(2*5295082+2*524590)/1.05</f>
        <v>11085089.523809524</v>
      </c>
      <c r="E51" s="460" t="e">
        <f>D51*$F$20/10^7</f>
        <v>#REF!</v>
      </c>
      <c r="F51" s="461"/>
      <c r="G51" s="1792"/>
      <c r="H51" s="1765"/>
      <c r="I51" s="1766"/>
      <c r="J51" s="1767"/>
      <c r="AS51" s="246"/>
      <c r="AT51" s="246"/>
      <c r="AU51" s="246"/>
      <c r="AV51" s="246"/>
      <c r="AW51" s="246"/>
      <c r="AX51" s="246"/>
      <c r="AY51" s="246"/>
      <c r="AZ51" s="246"/>
      <c r="BA51" s="246"/>
      <c r="BB51" s="246"/>
      <c r="BC51" s="246"/>
      <c r="BD51" s="246"/>
      <c r="BE51" s="246"/>
      <c r="BF51" s="246"/>
      <c r="BG51" s="246"/>
      <c r="BH51" s="246"/>
      <c r="BI51" s="246"/>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6"/>
      <c r="CG51" s="246"/>
      <c r="CH51" s="246"/>
      <c r="CI51" s="246"/>
      <c r="CJ51" s="246"/>
      <c r="CK51" s="246"/>
      <c r="CL51" s="246"/>
      <c r="CM51" s="246"/>
      <c r="CN51" s="246"/>
      <c r="CO51" s="246"/>
      <c r="CP51" s="246"/>
      <c r="CQ51" s="246"/>
      <c r="CR51" s="246"/>
      <c r="CS51" s="246"/>
      <c r="CT51" s="246"/>
      <c r="CU51" s="246"/>
      <c r="CV51" s="246"/>
      <c r="CW51" s="246"/>
      <c r="CX51" s="246"/>
      <c r="CY51" s="246"/>
      <c r="CZ51" s="246"/>
      <c r="DA51" s="246"/>
      <c r="DB51" s="246"/>
      <c r="DC51" s="246"/>
      <c r="DD51" s="246"/>
      <c r="DE51" s="246"/>
      <c r="DF51" s="246"/>
      <c r="DG51" s="246"/>
      <c r="DH51" s="246"/>
      <c r="DI51" s="246"/>
      <c r="DJ51" s="246"/>
      <c r="DK51" s="246"/>
      <c r="DL51" s="246"/>
      <c r="DM51" s="246"/>
      <c r="DN51" s="246"/>
      <c r="DO51" s="246"/>
      <c r="DP51" s="246"/>
      <c r="DQ51" s="246"/>
      <c r="DR51" s="246"/>
      <c r="DS51" s="246"/>
      <c r="DT51" s="246"/>
      <c r="DU51" s="246"/>
      <c r="DV51" s="246"/>
      <c r="DW51" s="246"/>
      <c r="DX51" s="246"/>
      <c r="DY51" s="246"/>
      <c r="DZ51" s="246"/>
      <c r="EA51" s="246"/>
      <c r="EB51" s="246"/>
      <c r="EC51" s="246"/>
      <c r="ED51" s="246"/>
      <c r="EE51" s="246"/>
      <c r="EF51" s="246"/>
      <c r="EG51" s="246"/>
      <c r="EH51" s="246"/>
      <c r="EI51" s="246"/>
      <c r="EJ51" s="246"/>
      <c r="EK51" s="246"/>
      <c r="EL51" s="246"/>
      <c r="EM51" s="246"/>
      <c r="EN51" s="246"/>
      <c r="EO51" s="246"/>
      <c r="EP51" s="246"/>
    </row>
    <row r="52" spans="2:146" s="244" customFormat="1" ht="30" customHeight="1">
      <c r="B52" s="1778" t="s">
        <v>647</v>
      </c>
      <c r="C52" s="453" t="s">
        <v>636</v>
      </c>
      <c r="D52" s="454">
        <f>7500000/1.05</f>
        <v>7142857.1428571427</v>
      </c>
      <c r="E52" s="455" t="e">
        <f>D52*$F$21/10^7</f>
        <v>#REF!</v>
      </c>
      <c r="F52" s="456"/>
      <c r="G52" s="1794" t="e">
        <f>SUM(E52:E55)/4</f>
        <v>#REF!</v>
      </c>
      <c r="H52" s="1781" t="s">
        <v>696</v>
      </c>
      <c r="I52" s="1781"/>
      <c r="J52" s="1782"/>
      <c r="AS52" s="246"/>
      <c r="AT52" s="246"/>
      <c r="AU52" s="246"/>
      <c r="AV52" s="246"/>
      <c r="AW52" s="246"/>
      <c r="AX52" s="246"/>
      <c r="AY52" s="246"/>
      <c r="AZ52" s="246"/>
      <c r="BA52" s="246"/>
      <c r="BB52" s="246"/>
      <c r="BC52" s="246"/>
      <c r="BD52" s="246"/>
      <c r="BE52" s="246"/>
      <c r="BF52" s="246"/>
      <c r="BG52" s="246"/>
      <c r="BH52" s="246"/>
      <c r="BI52" s="246"/>
      <c r="BJ52" s="246"/>
      <c r="BK52" s="246"/>
      <c r="BL52" s="246"/>
      <c r="BM52" s="246"/>
      <c r="BN52" s="246"/>
      <c r="BO52" s="246"/>
      <c r="BP52" s="246"/>
      <c r="BQ52" s="246"/>
      <c r="BR52" s="246"/>
      <c r="BS52" s="246"/>
      <c r="BT52" s="246"/>
      <c r="BU52" s="246"/>
      <c r="BV52" s="246"/>
      <c r="BW52" s="246"/>
      <c r="BX52" s="246"/>
      <c r="BY52" s="246"/>
      <c r="BZ52" s="246"/>
      <c r="CA52" s="246"/>
      <c r="CB52" s="246"/>
      <c r="CC52" s="246"/>
      <c r="CD52" s="246"/>
      <c r="CE52" s="246"/>
      <c r="CF52" s="246"/>
      <c r="CG52" s="246"/>
      <c r="CH52" s="246"/>
      <c r="CI52" s="246"/>
      <c r="CJ52" s="246"/>
      <c r="CK52" s="246"/>
      <c r="CL52" s="246"/>
      <c r="CM52" s="246"/>
      <c r="CN52" s="246"/>
      <c r="CO52" s="246"/>
      <c r="CP52" s="246"/>
      <c r="CQ52" s="246"/>
      <c r="CR52" s="246"/>
      <c r="CS52" s="246"/>
      <c r="CT52" s="246"/>
      <c r="CU52" s="246"/>
      <c r="CV52" s="246"/>
      <c r="CW52" s="246"/>
      <c r="CX52" s="246"/>
      <c r="CY52" s="246"/>
      <c r="CZ52" s="246"/>
      <c r="DA52" s="246"/>
      <c r="DB52" s="246"/>
      <c r="DC52" s="246"/>
      <c r="DD52" s="246"/>
      <c r="DE52" s="246"/>
      <c r="DF52" s="246"/>
      <c r="DG52" s="246"/>
      <c r="DH52" s="246"/>
      <c r="DI52" s="246"/>
      <c r="DJ52" s="246"/>
      <c r="DK52" s="246"/>
      <c r="DL52" s="246"/>
      <c r="DM52" s="246"/>
      <c r="DN52" s="246"/>
      <c r="DO52" s="246"/>
      <c r="DP52" s="246"/>
      <c r="DQ52" s="246"/>
      <c r="DR52" s="246"/>
      <c r="DS52" s="246"/>
      <c r="DT52" s="246"/>
      <c r="DU52" s="246"/>
      <c r="DV52" s="246"/>
      <c r="DW52" s="246"/>
      <c r="DX52" s="246"/>
      <c r="DY52" s="246"/>
      <c r="DZ52" s="246"/>
      <c r="EA52" s="246"/>
      <c r="EB52" s="246"/>
      <c r="EC52" s="246"/>
      <c r="ED52" s="246"/>
      <c r="EE52" s="246"/>
      <c r="EF52" s="246"/>
      <c r="EG52" s="246"/>
      <c r="EH52" s="246"/>
      <c r="EI52" s="246"/>
      <c r="EJ52" s="246"/>
      <c r="EK52" s="246"/>
      <c r="EL52" s="246"/>
      <c r="EM52" s="246"/>
      <c r="EN52" s="246"/>
      <c r="EO52" s="246"/>
      <c r="EP52" s="246"/>
    </row>
    <row r="53" spans="2:146" s="244" customFormat="1" ht="26.25" customHeight="1">
      <c r="B53" s="1779"/>
      <c r="C53" s="236" t="s">
        <v>638</v>
      </c>
      <c r="D53" s="457">
        <f>2*250*7000/1.05/1.06/1.1</f>
        <v>2858776.4436821034</v>
      </c>
      <c r="E53" s="444" t="e">
        <f>D53*$F$20/10^7</f>
        <v>#REF!</v>
      </c>
      <c r="F53" s="250"/>
      <c r="G53" s="1795"/>
      <c r="H53" s="1783"/>
      <c r="I53" s="1783"/>
      <c r="J53" s="1784"/>
      <c r="AS53" s="246"/>
      <c r="AT53" s="246"/>
      <c r="AU53" s="246"/>
      <c r="AV53" s="246"/>
      <c r="AW53" s="246"/>
      <c r="AX53" s="246"/>
      <c r="AY53" s="246"/>
      <c r="AZ53" s="246"/>
      <c r="BA53" s="246"/>
      <c r="BB53" s="246"/>
      <c r="BC53" s="246"/>
      <c r="BD53" s="246"/>
      <c r="BE53" s="246"/>
      <c r="BF53" s="246"/>
      <c r="BG53" s="246"/>
      <c r="BH53" s="246"/>
      <c r="BI53" s="246"/>
      <c r="BJ53" s="246"/>
      <c r="BK53" s="246"/>
      <c r="BL53" s="246"/>
      <c r="BM53" s="246"/>
      <c r="BN53" s="246"/>
      <c r="BO53" s="246"/>
      <c r="BP53" s="246"/>
      <c r="BQ53" s="246"/>
      <c r="BR53" s="246"/>
      <c r="BS53" s="246"/>
      <c r="BT53" s="246"/>
      <c r="BU53" s="246"/>
      <c r="BV53" s="246"/>
      <c r="BW53" s="246"/>
      <c r="BX53" s="246"/>
      <c r="BY53" s="246"/>
      <c r="BZ53" s="246"/>
      <c r="CA53" s="246"/>
      <c r="CB53" s="246"/>
      <c r="CC53" s="246"/>
      <c r="CD53" s="246"/>
      <c r="CE53" s="246"/>
      <c r="CF53" s="246"/>
      <c r="CG53" s="246"/>
      <c r="CH53" s="246"/>
      <c r="CI53" s="246"/>
      <c r="CJ53" s="246"/>
      <c r="CK53" s="246"/>
      <c r="CL53" s="246"/>
      <c r="CM53" s="246"/>
      <c r="CN53" s="246"/>
      <c r="CO53" s="246"/>
      <c r="CP53" s="246"/>
      <c r="CQ53" s="246"/>
      <c r="CR53" s="246"/>
      <c r="CS53" s="246"/>
      <c r="CT53" s="246"/>
      <c r="CU53" s="246"/>
      <c r="CV53" s="246"/>
      <c r="CW53" s="246"/>
      <c r="CX53" s="246"/>
      <c r="CY53" s="246"/>
      <c r="CZ53" s="246"/>
      <c r="DA53" s="246"/>
      <c r="DB53" s="246"/>
      <c r="DC53" s="246"/>
      <c r="DD53" s="246"/>
      <c r="DE53" s="246"/>
      <c r="DF53" s="246"/>
      <c r="DG53" s="246"/>
      <c r="DH53" s="246"/>
      <c r="DI53" s="246"/>
      <c r="DJ53" s="246"/>
      <c r="DK53" s="246"/>
      <c r="DL53" s="246"/>
      <c r="DM53" s="246"/>
      <c r="DN53" s="246"/>
      <c r="DO53" s="246"/>
      <c r="DP53" s="246"/>
      <c r="DQ53" s="246"/>
      <c r="DR53" s="246"/>
      <c r="DS53" s="246"/>
      <c r="DT53" s="246"/>
      <c r="DU53" s="246"/>
      <c r="DV53" s="246"/>
      <c r="DW53" s="246"/>
      <c r="DX53" s="246"/>
      <c r="DY53" s="246"/>
      <c r="DZ53" s="246"/>
      <c r="EA53" s="246"/>
      <c r="EB53" s="246"/>
      <c r="EC53" s="246"/>
      <c r="ED53" s="246"/>
      <c r="EE53" s="246"/>
      <c r="EF53" s="246"/>
      <c r="EG53" s="246"/>
      <c r="EH53" s="246"/>
      <c r="EI53" s="246"/>
      <c r="EJ53" s="246"/>
      <c r="EK53" s="246"/>
      <c r="EL53" s="246"/>
      <c r="EM53" s="246"/>
      <c r="EN53" s="246"/>
      <c r="EO53" s="246"/>
      <c r="EP53" s="246"/>
    </row>
    <row r="54" spans="2:146" s="244" customFormat="1" ht="36.75" customHeight="1">
      <c r="B54" s="1779"/>
      <c r="C54" s="236" t="s">
        <v>639</v>
      </c>
      <c r="D54" s="148">
        <f>2*2484344/1.05</f>
        <v>4732083.8095238097</v>
      </c>
      <c r="E54" s="444" t="e">
        <f>D54*$F$20/10^7</f>
        <v>#REF!</v>
      </c>
      <c r="F54" s="250"/>
      <c r="G54" s="1795"/>
      <c r="H54" s="1783"/>
      <c r="I54" s="1783"/>
      <c r="J54" s="1784"/>
      <c r="AS54" s="246"/>
      <c r="AT54" s="246"/>
      <c r="AU54" s="246"/>
      <c r="AV54" s="246"/>
      <c r="AW54" s="246"/>
      <c r="AX54" s="246"/>
      <c r="AY54" s="246"/>
      <c r="AZ54" s="246"/>
      <c r="BA54" s="246"/>
      <c r="BB54" s="246"/>
      <c r="BC54" s="246"/>
      <c r="BD54" s="246"/>
      <c r="BE54" s="246"/>
      <c r="BF54" s="246"/>
      <c r="BG54" s="246"/>
      <c r="BH54" s="246"/>
      <c r="BI54" s="246"/>
      <c r="BJ54" s="246"/>
      <c r="BK54" s="246"/>
      <c r="BL54" s="246"/>
      <c r="BM54" s="246"/>
      <c r="BN54" s="246"/>
      <c r="BO54" s="246"/>
      <c r="BP54" s="246"/>
      <c r="BQ54" s="246"/>
      <c r="BR54" s="246"/>
      <c r="BS54" s="246"/>
      <c r="BT54" s="246"/>
      <c r="BU54" s="246"/>
      <c r="BV54" s="246"/>
      <c r="BW54" s="246"/>
      <c r="BX54" s="246"/>
      <c r="BY54" s="246"/>
      <c r="BZ54" s="246"/>
      <c r="CA54" s="246"/>
      <c r="CB54" s="246"/>
      <c r="CC54" s="246"/>
      <c r="CD54" s="246"/>
      <c r="CE54" s="246"/>
      <c r="CF54" s="246"/>
      <c r="CG54" s="246"/>
      <c r="CH54" s="246"/>
      <c r="CI54" s="246"/>
      <c r="CJ54" s="246"/>
      <c r="CK54" s="246"/>
      <c r="CL54" s="246"/>
      <c r="CM54" s="246"/>
      <c r="CN54" s="246"/>
      <c r="CO54" s="246"/>
      <c r="CP54" s="246"/>
      <c r="CQ54" s="246"/>
      <c r="CR54" s="246"/>
      <c r="CS54" s="246"/>
      <c r="CT54" s="246"/>
      <c r="CU54" s="246"/>
      <c r="CV54" s="246"/>
      <c r="CW54" s="246"/>
      <c r="CX54" s="246"/>
      <c r="CY54" s="246"/>
      <c r="CZ54" s="246"/>
      <c r="DA54" s="246"/>
      <c r="DB54" s="246"/>
      <c r="DC54" s="246"/>
      <c r="DD54" s="246"/>
      <c r="DE54" s="246"/>
      <c r="DF54" s="246"/>
      <c r="DG54" s="246"/>
      <c r="DH54" s="246"/>
      <c r="DI54" s="246"/>
      <c r="DJ54" s="246"/>
      <c r="DK54" s="246"/>
      <c r="DL54" s="246"/>
      <c r="DM54" s="246"/>
      <c r="DN54" s="246"/>
      <c r="DO54" s="246"/>
      <c r="DP54" s="246"/>
      <c r="DQ54" s="246"/>
      <c r="DR54" s="246"/>
      <c r="DS54" s="246"/>
      <c r="DT54" s="246"/>
      <c r="DU54" s="246"/>
      <c r="DV54" s="246"/>
      <c r="DW54" s="246"/>
      <c r="DX54" s="246"/>
      <c r="DY54" s="246"/>
      <c r="DZ54" s="246"/>
      <c r="EA54" s="246"/>
      <c r="EB54" s="246"/>
      <c r="EC54" s="246"/>
      <c r="ED54" s="246"/>
      <c r="EE54" s="246"/>
      <c r="EF54" s="246"/>
      <c r="EG54" s="246"/>
      <c r="EH54" s="246"/>
      <c r="EI54" s="246"/>
      <c r="EJ54" s="246"/>
      <c r="EK54" s="246"/>
      <c r="EL54" s="246"/>
      <c r="EM54" s="246"/>
      <c r="EN54" s="246"/>
      <c r="EO54" s="246"/>
      <c r="EP54" s="246"/>
    </row>
    <row r="55" spans="2:146" s="244" customFormat="1" ht="21.75" customHeight="1" thickBot="1">
      <c r="B55" s="1780"/>
      <c r="C55" s="458" t="s">
        <v>640</v>
      </c>
      <c r="D55" s="459">
        <f>2*2196721/1.05</f>
        <v>4184230.4761904762</v>
      </c>
      <c r="E55" s="460" t="e">
        <f>D55*$F$20/10^7</f>
        <v>#REF!</v>
      </c>
      <c r="F55" s="461"/>
      <c r="G55" s="1796"/>
      <c r="H55" s="1785"/>
      <c r="I55" s="1785"/>
      <c r="J55" s="1786"/>
      <c r="AS55" s="246"/>
      <c r="AT55" s="246"/>
      <c r="AU55" s="246"/>
      <c r="AV55" s="246"/>
      <c r="AW55" s="246"/>
      <c r="AX55" s="246"/>
      <c r="AY55" s="246"/>
      <c r="AZ55" s="246"/>
      <c r="BA55" s="246"/>
      <c r="BB55" s="246"/>
      <c r="BC55" s="246"/>
      <c r="BD55" s="246"/>
      <c r="BE55" s="246"/>
      <c r="BF55" s="246"/>
      <c r="BG55" s="246"/>
      <c r="BH55" s="246"/>
      <c r="BI55" s="246"/>
      <c r="BJ55" s="246"/>
      <c r="BK55" s="246"/>
      <c r="BL55" s="246"/>
      <c r="BM55" s="246"/>
      <c r="BN55" s="246"/>
      <c r="BO55" s="246"/>
      <c r="BP55" s="246"/>
      <c r="BQ55" s="246"/>
      <c r="BR55" s="246"/>
      <c r="BS55" s="246"/>
      <c r="BT55" s="246"/>
      <c r="BU55" s="246"/>
      <c r="BV55" s="246"/>
      <c r="BW55" s="246"/>
      <c r="BX55" s="246"/>
      <c r="BY55" s="246"/>
      <c r="BZ55" s="246"/>
      <c r="CA55" s="246"/>
      <c r="CB55" s="246"/>
      <c r="CC55" s="246"/>
      <c r="CD55" s="246"/>
      <c r="CE55" s="246"/>
      <c r="CF55" s="246"/>
      <c r="CG55" s="246"/>
      <c r="CH55" s="246"/>
      <c r="CI55" s="246"/>
      <c r="CJ55" s="246"/>
      <c r="CK55" s="246"/>
      <c r="CL55" s="246"/>
      <c r="CM55" s="246"/>
      <c r="CN55" s="246"/>
      <c r="CO55" s="246"/>
      <c r="CP55" s="246"/>
      <c r="CQ55" s="246"/>
      <c r="CR55" s="246"/>
      <c r="CS55" s="246"/>
      <c r="CT55" s="246"/>
      <c r="CU55" s="246"/>
      <c r="CV55" s="246"/>
      <c r="CW55" s="246"/>
      <c r="CX55" s="246"/>
      <c r="CY55" s="246"/>
      <c r="CZ55" s="246"/>
      <c r="DA55" s="246"/>
      <c r="DB55" s="246"/>
      <c r="DC55" s="246"/>
      <c r="DD55" s="246"/>
      <c r="DE55" s="246"/>
      <c r="DF55" s="246"/>
      <c r="DG55" s="246"/>
      <c r="DH55" s="246"/>
      <c r="DI55" s="246"/>
      <c r="DJ55" s="246"/>
      <c r="DK55" s="246"/>
      <c r="DL55" s="246"/>
      <c r="DM55" s="246"/>
      <c r="DN55" s="246"/>
      <c r="DO55" s="246"/>
      <c r="DP55" s="246"/>
      <c r="DQ55" s="246"/>
      <c r="DR55" s="246"/>
      <c r="DS55" s="246"/>
      <c r="DT55" s="246"/>
      <c r="DU55" s="246"/>
      <c r="DV55" s="246"/>
      <c r="DW55" s="246"/>
      <c r="DX55" s="246"/>
      <c r="DY55" s="246"/>
      <c r="DZ55" s="246"/>
      <c r="EA55" s="246"/>
      <c r="EB55" s="246"/>
      <c r="EC55" s="246"/>
      <c r="ED55" s="246"/>
      <c r="EE55" s="246"/>
      <c r="EF55" s="246"/>
      <c r="EG55" s="246"/>
      <c r="EH55" s="246"/>
      <c r="EI55" s="246"/>
      <c r="EJ55" s="246"/>
      <c r="EK55" s="246"/>
      <c r="EL55" s="246"/>
      <c r="EM55" s="246"/>
      <c r="EN55" s="246"/>
      <c r="EO55" s="246"/>
      <c r="EP55" s="246"/>
    </row>
    <row r="56" spans="2:146" s="244" customFormat="1" ht="39" customHeight="1" thickBot="1">
      <c r="B56" s="463" t="s">
        <v>642</v>
      </c>
      <c r="C56" s="464" t="s">
        <v>643</v>
      </c>
      <c r="D56" s="465"/>
      <c r="E56" s="466"/>
      <c r="F56" s="466" t="e">
        <f>#REF!/100</f>
        <v>#REF!</v>
      </c>
      <c r="G56" s="466" t="e">
        <f>F56</f>
        <v>#REF!</v>
      </c>
      <c r="H56" s="1771" t="s">
        <v>649</v>
      </c>
      <c r="I56" s="1771"/>
      <c r="J56" s="1772"/>
      <c r="AS56" s="246"/>
      <c r="AT56" s="246"/>
      <c r="AU56" s="246"/>
      <c r="AV56" s="246"/>
      <c r="AW56" s="246"/>
      <c r="AX56" s="246"/>
      <c r="AY56" s="246"/>
      <c r="AZ56" s="246"/>
      <c r="BA56" s="246"/>
      <c r="BB56" s="246"/>
      <c r="BC56" s="246"/>
      <c r="BD56" s="246"/>
      <c r="BE56" s="246"/>
      <c r="BF56" s="246"/>
      <c r="BG56" s="246"/>
      <c r="BH56" s="246"/>
      <c r="BI56" s="246"/>
      <c r="BJ56" s="246"/>
      <c r="BK56" s="246"/>
      <c r="BL56" s="246"/>
      <c r="BM56" s="246"/>
      <c r="BN56" s="246"/>
      <c r="BO56" s="246"/>
      <c r="BP56" s="246"/>
      <c r="BQ56" s="246"/>
      <c r="BR56" s="246"/>
      <c r="BS56" s="246"/>
      <c r="BT56" s="246"/>
      <c r="BU56" s="246"/>
      <c r="BV56" s="246"/>
      <c r="BW56" s="246"/>
      <c r="BX56" s="246"/>
      <c r="BY56" s="246"/>
      <c r="BZ56" s="246"/>
      <c r="CA56" s="246"/>
      <c r="CB56" s="246"/>
      <c r="CC56" s="246"/>
      <c r="CD56" s="246"/>
      <c r="CE56" s="246"/>
      <c r="CF56" s="246"/>
      <c r="CG56" s="246"/>
      <c r="CH56" s="246"/>
      <c r="CI56" s="246"/>
      <c r="CJ56" s="246"/>
      <c r="CK56" s="246"/>
      <c r="CL56" s="246"/>
      <c r="CM56" s="246"/>
      <c r="CN56" s="246"/>
      <c r="CO56" s="246"/>
      <c r="CP56" s="246"/>
      <c r="CQ56" s="246"/>
      <c r="CR56" s="246"/>
      <c r="CS56" s="246"/>
      <c r="CT56" s="246"/>
      <c r="CU56" s="246"/>
      <c r="CV56" s="246"/>
      <c r="CW56" s="246"/>
      <c r="CX56" s="246"/>
      <c r="CY56" s="246"/>
      <c r="CZ56" s="246"/>
      <c r="DA56" s="246"/>
      <c r="DB56" s="246"/>
      <c r="DC56" s="246"/>
      <c r="DD56" s="246"/>
      <c r="DE56" s="246"/>
      <c r="DF56" s="246"/>
      <c r="DG56" s="246"/>
      <c r="DH56" s="246"/>
      <c r="DI56" s="246"/>
      <c r="DJ56" s="246"/>
      <c r="DK56" s="246"/>
      <c r="DL56" s="246"/>
      <c r="DM56" s="246"/>
      <c r="DN56" s="246"/>
      <c r="DO56" s="246"/>
      <c r="DP56" s="246"/>
      <c r="DQ56" s="246"/>
      <c r="DR56" s="246"/>
      <c r="DS56" s="246"/>
      <c r="DT56" s="246"/>
      <c r="DU56" s="246"/>
      <c r="DV56" s="246"/>
      <c r="DW56" s="246"/>
      <c r="DX56" s="246"/>
      <c r="DY56" s="246"/>
      <c r="DZ56" s="246"/>
      <c r="EA56" s="246"/>
      <c r="EB56" s="246"/>
      <c r="EC56" s="246"/>
      <c r="ED56" s="246"/>
      <c r="EE56" s="246"/>
      <c r="EF56" s="246"/>
      <c r="EG56" s="246"/>
      <c r="EH56" s="246"/>
      <c r="EI56" s="246"/>
      <c r="EJ56" s="246"/>
      <c r="EK56" s="246"/>
      <c r="EL56" s="246"/>
      <c r="EM56" s="246"/>
      <c r="EN56" s="246"/>
      <c r="EO56" s="246"/>
      <c r="EP56" s="246"/>
    </row>
    <row r="57" spans="2:146" s="244" customFormat="1" ht="38.25" customHeight="1" thickBot="1">
      <c r="B57" s="1804" t="s">
        <v>654</v>
      </c>
      <c r="C57" s="449" t="s">
        <v>655</v>
      </c>
      <c r="D57" s="492">
        <f>42*10^6/1.05/1.06/1.1</f>
        <v>34305317.324185245</v>
      </c>
      <c r="E57" s="490" t="e">
        <f>D57*$F$20/10^7</f>
        <v>#REF!</v>
      </c>
      <c r="F57" s="490"/>
      <c r="G57" s="490" t="e">
        <f>(E57+F57)/1.1+#REF!/100</f>
        <v>#REF!</v>
      </c>
      <c r="H57" s="1771" t="s">
        <v>657</v>
      </c>
      <c r="I57" s="1771"/>
      <c r="J57" s="1772"/>
      <c r="AS57" s="246"/>
      <c r="AT57" s="246"/>
      <c r="AU57" s="246"/>
      <c r="AV57" s="246"/>
      <c r="AW57" s="246"/>
      <c r="AX57" s="246"/>
      <c r="AY57" s="246"/>
      <c r="AZ57" s="246"/>
      <c r="BA57" s="246"/>
      <c r="BB57" s="246"/>
      <c r="BC57" s="246"/>
      <c r="BD57" s="246"/>
      <c r="BE57" s="246"/>
      <c r="BF57" s="246"/>
      <c r="BG57" s="246"/>
      <c r="BH57" s="246"/>
      <c r="BI57" s="246"/>
      <c r="BJ57" s="246"/>
      <c r="BK57" s="246"/>
      <c r="BL57" s="246"/>
      <c r="BM57" s="246"/>
      <c r="BN57" s="246"/>
      <c r="BO57" s="246"/>
      <c r="BP57" s="246"/>
      <c r="BQ57" s="246"/>
      <c r="BR57" s="246"/>
      <c r="BS57" s="246"/>
      <c r="BT57" s="246"/>
      <c r="BU57" s="246"/>
      <c r="BV57" s="246"/>
      <c r="BW57" s="246"/>
      <c r="BX57" s="246"/>
      <c r="BY57" s="246"/>
      <c r="BZ57" s="246"/>
      <c r="CA57" s="246"/>
      <c r="CB57" s="246"/>
      <c r="CC57" s="246"/>
      <c r="CD57" s="246"/>
      <c r="CE57" s="246"/>
      <c r="CF57" s="246"/>
      <c r="CG57" s="246"/>
      <c r="CH57" s="246"/>
      <c r="CI57" s="246"/>
      <c r="CJ57" s="246"/>
      <c r="CK57" s="246"/>
      <c r="CL57" s="246"/>
      <c r="CM57" s="246"/>
      <c r="CN57" s="246"/>
      <c r="CO57" s="246"/>
      <c r="CP57" s="246"/>
      <c r="CQ57" s="246"/>
      <c r="CR57" s="246"/>
      <c r="CS57" s="246"/>
      <c r="CT57" s="246"/>
      <c r="CU57" s="246"/>
      <c r="CV57" s="246"/>
      <c r="CW57" s="246"/>
      <c r="CX57" s="246"/>
      <c r="CY57" s="246"/>
      <c r="CZ57" s="246"/>
      <c r="DA57" s="246"/>
      <c r="DB57" s="246"/>
      <c r="DC57" s="246"/>
      <c r="DD57" s="246"/>
      <c r="DE57" s="246"/>
      <c r="DF57" s="246"/>
      <c r="DG57" s="246"/>
      <c r="DH57" s="246"/>
      <c r="DI57" s="246"/>
      <c r="DJ57" s="246"/>
      <c r="DK57" s="246"/>
      <c r="DL57" s="246"/>
      <c r="DM57" s="246"/>
      <c r="DN57" s="246"/>
      <c r="DO57" s="246"/>
      <c r="DP57" s="246"/>
      <c r="DQ57" s="246"/>
      <c r="DR57" s="246"/>
      <c r="DS57" s="246"/>
      <c r="DT57" s="246"/>
      <c r="DU57" s="246"/>
      <c r="DV57" s="246"/>
      <c r="DW57" s="246"/>
      <c r="DX57" s="246"/>
      <c r="DY57" s="246"/>
      <c r="DZ57" s="246"/>
      <c r="EA57" s="246"/>
      <c r="EB57" s="246"/>
      <c r="EC57" s="246"/>
      <c r="ED57" s="246"/>
      <c r="EE57" s="246"/>
      <c r="EF57" s="246"/>
      <c r="EG57" s="246"/>
      <c r="EH57" s="246"/>
      <c r="EI57" s="246"/>
      <c r="EJ57" s="246"/>
      <c r="EK57" s="246"/>
      <c r="EL57" s="246"/>
      <c r="EM57" s="246"/>
      <c r="EN57" s="246"/>
      <c r="EO57" s="246"/>
      <c r="EP57" s="246"/>
    </row>
    <row r="58" spans="2:146" s="244" customFormat="1" ht="68.25" customHeight="1" thickBot="1">
      <c r="B58" s="1805"/>
      <c r="C58" s="449" t="s">
        <v>708</v>
      </c>
      <c r="D58" s="492"/>
      <c r="E58" s="490">
        <f>300/1.05/1.06/1.1</f>
        <v>245.03798088703746</v>
      </c>
      <c r="F58" s="490" t="e">
        <f>(#REF!+#REF!+#REF!+#REF!)/100</f>
        <v>#REF!</v>
      </c>
      <c r="G58" s="490" t="e">
        <f>E58/1.1+F58</f>
        <v>#REF!</v>
      </c>
      <c r="H58" s="1771" t="s">
        <v>709</v>
      </c>
      <c r="I58" s="1771"/>
      <c r="J58" s="1772"/>
      <c r="AS58" s="246"/>
      <c r="AT58" s="246"/>
      <c r="AU58" s="246"/>
      <c r="AV58" s="246"/>
      <c r="AW58" s="246"/>
      <c r="AX58" s="246"/>
      <c r="AY58" s="246"/>
      <c r="AZ58" s="246"/>
      <c r="BA58" s="246"/>
      <c r="BB58" s="246"/>
      <c r="BC58" s="246"/>
      <c r="BD58" s="246"/>
      <c r="BE58" s="246"/>
      <c r="BF58" s="246"/>
      <c r="BG58" s="246"/>
      <c r="BH58" s="246"/>
      <c r="BI58" s="246"/>
      <c r="BJ58" s="246"/>
      <c r="BK58" s="246"/>
      <c r="BL58" s="246"/>
      <c r="BM58" s="246"/>
      <c r="BN58" s="246"/>
      <c r="BO58" s="246"/>
      <c r="BP58" s="246"/>
      <c r="BQ58" s="246"/>
      <c r="BR58" s="246"/>
      <c r="BS58" s="246"/>
      <c r="BT58" s="246"/>
      <c r="BU58" s="246"/>
      <c r="BV58" s="246"/>
      <c r="BW58" s="246"/>
      <c r="BX58" s="246"/>
      <c r="BY58" s="246"/>
      <c r="BZ58" s="246"/>
      <c r="CA58" s="246"/>
      <c r="CB58" s="246"/>
      <c r="CC58" s="246"/>
      <c r="CD58" s="246"/>
      <c r="CE58" s="246"/>
      <c r="CF58" s="246"/>
      <c r="CG58" s="246"/>
      <c r="CH58" s="246"/>
      <c r="CI58" s="246"/>
      <c r="CJ58" s="246"/>
      <c r="CK58" s="246"/>
      <c r="CL58" s="246"/>
      <c r="CM58" s="246"/>
      <c r="CN58" s="246"/>
      <c r="CO58" s="246"/>
      <c r="CP58" s="246"/>
      <c r="CQ58" s="246"/>
      <c r="CR58" s="246"/>
      <c r="CS58" s="246"/>
      <c r="CT58" s="246"/>
      <c r="CU58" s="246"/>
      <c r="CV58" s="246"/>
      <c r="CW58" s="246"/>
      <c r="CX58" s="246"/>
      <c r="CY58" s="246"/>
      <c r="CZ58" s="246"/>
      <c r="DA58" s="246"/>
      <c r="DB58" s="246"/>
      <c r="DC58" s="246"/>
      <c r="DD58" s="246"/>
      <c r="DE58" s="246"/>
      <c r="DF58" s="246"/>
      <c r="DG58" s="246"/>
      <c r="DH58" s="246"/>
      <c r="DI58" s="246"/>
      <c r="DJ58" s="246"/>
      <c r="DK58" s="246"/>
      <c r="DL58" s="246"/>
      <c r="DM58" s="246"/>
      <c r="DN58" s="246"/>
      <c r="DO58" s="246"/>
      <c r="DP58" s="246"/>
      <c r="DQ58" s="246"/>
      <c r="DR58" s="246"/>
      <c r="DS58" s="246"/>
      <c r="DT58" s="246"/>
      <c r="DU58" s="246"/>
      <c r="DV58" s="246"/>
      <c r="DW58" s="246"/>
      <c r="DX58" s="246"/>
      <c r="DY58" s="246"/>
      <c r="DZ58" s="246"/>
      <c r="EA58" s="246"/>
      <c r="EB58" s="246"/>
      <c r="EC58" s="246"/>
      <c r="ED58" s="246"/>
      <c r="EE58" s="246"/>
      <c r="EF58" s="246"/>
      <c r="EG58" s="246"/>
      <c r="EH58" s="246"/>
      <c r="EI58" s="246"/>
      <c r="EJ58" s="246"/>
      <c r="EK58" s="246"/>
      <c r="EL58" s="246"/>
      <c r="EM58" s="246"/>
      <c r="EN58" s="246"/>
      <c r="EO58" s="246"/>
      <c r="EP58" s="246"/>
    </row>
    <row r="59" spans="2:146" s="244" customFormat="1" ht="83.25" customHeight="1" thickBot="1">
      <c r="B59" s="467" t="s">
        <v>659</v>
      </c>
      <c r="C59" s="464" t="s">
        <v>679</v>
      </c>
      <c r="D59" s="489">
        <v>4996184</v>
      </c>
      <c r="E59" s="490" t="e">
        <f>D59*F21/10^7</f>
        <v>#REF!</v>
      </c>
      <c r="F59" s="490">
        <f>(28736/1.17+7481/1.13+2431/1.25)/100</f>
        <v>331.25837742984652</v>
      </c>
      <c r="G59" s="490" t="e">
        <f>(E59+F59)/1.3</f>
        <v>#REF!</v>
      </c>
      <c r="H59" s="1787" t="s">
        <v>660</v>
      </c>
      <c r="I59" s="1788"/>
      <c r="J59" s="1789"/>
      <c r="AS59" s="246"/>
      <c r="AT59" s="246"/>
      <c r="AU59" s="246"/>
      <c r="AV59" s="246"/>
      <c r="AW59" s="246"/>
      <c r="AX59" s="246"/>
      <c r="AY59" s="246"/>
      <c r="AZ59" s="246"/>
      <c r="BA59" s="246"/>
      <c r="BB59" s="246"/>
      <c r="BC59" s="246"/>
      <c r="BD59" s="246"/>
      <c r="BE59" s="246"/>
      <c r="BF59" s="246"/>
      <c r="BG59" s="246"/>
      <c r="BH59" s="246"/>
      <c r="BI59" s="246"/>
      <c r="BJ59" s="246"/>
      <c r="BK59" s="246"/>
      <c r="BL59" s="246"/>
      <c r="BM59" s="246"/>
      <c r="BN59" s="246"/>
      <c r="BO59" s="246"/>
      <c r="BP59" s="246"/>
      <c r="BQ59" s="246"/>
      <c r="BR59" s="246"/>
      <c r="BS59" s="246"/>
      <c r="BT59" s="246"/>
      <c r="BU59" s="246"/>
      <c r="BV59" s="246"/>
      <c r="BW59" s="246"/>
      <c r="BX59" s="246"/>
      <c r="BY59" s="246"/>
      <c r="BZ59" s="246"/>
      <c r="CA59" s="246"/>
      <c r="CB59" s="246"/>
      <c r="CC59" s="246"/>
      <c r="CD59" s="246"/>
      <c r="CE59" s="246"/>
      <c r="CF59" s="246"/>
      <c r="CG59" s="246"/>
      <c r="CH59" s="246"/>
      <c r="CI59" s="246"/>
      <c r="CJ59" s="246"/>
      <c r="CK59" s="246"/>
      <c r="CL59" s="246"/>
      <c r="CM59" s="246"/>
      <c r="CN59" s="246"/>
      <c r="CO59" s="246"/>
      <c r="CP59" s="246"/>
      <c r="CQ59" s="246"/>
      <c r="CR59" s="246"/>
      <c r="CS59" s="246"/>
      <c r="CT59" s="246"/>
      <c r="CU59" s="246"/>
      <c r="CV59" s="246"/>
      <c r="CW59" s="246"/>
      <c r="CX59" s="246"/>
      <c r="CY59" s="246"/>
      <c r="CZ59" s="246"/>
      <c r="DA59" s="246"/>
      <c r="DB59" s="246"/>
      <c r="DC59" s="246"/>
      <c r="DD59" s="246"/>
      <c r="DE59" s="246"/>
      <c r="DF59" s="246"/>
      <c r="DG59" s="246"/>
      <c r="DH59" s="246"/>
      <c r="DI59" s="246"/>
      <c r="DJ59" s="246"/>
      <c r="DK59" s="246"/>
      <c r="DL59" s="246"/>
      <c r="DM59" s="246"/>
      <c r="DN59" s="246"/>
      <c r="DO59" s="246"/>
      <c r="DP59" s="246"/>
      <c r="DQ59" s="246"/>
      <c r="DR59" s="246"/>
      <c r="DS59" s="246"/>
      <c r="DT59" s="246"/>
      <c r="DU59" s="246"/>
      <c r="DV59" s="246"/>
      <c r="DW59" s="246"/>
      <c r="DX59" s="246"/>
      <c r="DY59" s="246"/>
      <c r="DZ59" s="246"/>
      <c r="EA59" s="246"/>
      <c r="EB59" s="246"/>
      <c r="EC59" s="246"/>
      <c r="ED59" s="246"/>
      <c r="EE59" s="246"/>
      <c r="EF59" s="246"/>
      <c r="EG59" s="246"/>
      <c r="EH59" s="246"/>
      <c r="EI59" s="246"/>
      <c r="EJ59" s="246"/>
      <c r="EK59" s="246"/>
      <c r="EL59" s="246"/>
      <c r="EM59" s="246"/>
      <c r="EN59" s="246"/>
      <c r="EO59" s="246"/>
      <c r="EP59" s="246"/>
    </row>
    <row r="60" spans="2:146" s="247" customFormat="1" ht="56.25" customHeight="1" thickBot="1">
      <c r="B60" s="467" t="s">
        <v>673</v>
      </c>
      <c r="C60" s="464" t="s">
        <v>665</v>
      </c>
      <c r="D60" s="489"/>
      <c r="E60" s="490"/>
      <c r="F60" s="490">
        <f>33000000/1.05/1.12/10^7</f>
        <v>2.8061224489795915</v>
      </c>
      <c r="G60" s="490" t="e">
        <f>#REF!/100</f>
        <v>#REF!</v>
      </c>
      <c r="H60" s="1771" t="s">
        <v>667</v>
      </c>
      <c r="I60" s="1771"/>
      <c r="J60" s="1772"/>
      <c r="AS60" s="249"/>
      <c r="AT60" s="249"/>
      <c r="AU60" s="249"/>
      <c r="AV60" s="249"/>
      <c r="AW60" s="249"/>
      <c r="AX60" s="249"/>
      <c r="AY60" s="249"/>
      <c r="AZ60" s="249"/>
      <c r="BA60" s="249"/>
      <c r="BB60" s="249"/>
      <c r="BC60" s="249"/>
      <c r="BD60" s="249"/>
      <c r="BE60" s="249"/>
      <c r="BF60" s="249"/>
      <c r="BG60" s="249"/>
      <c r="BH60" s="249"/>
      <c r="BI60" s="249"/>
      <c r="BJ60" s="249"/>
      <c r="BK60" s="249"/>
      <c r="BL60" s="249"/>
      <c r="BM60" s="249"/>
      <c r="BN60" s="249"/>
      <c r="BO60" s="249"/>
      <c r="BP60" s="249"/>
      <c r="BQ60" s="249"/>
      <c r="BR60" s="249"/>
      <c r="BS60" s="249"/>
      <c r="BT60" s="249"/>
      <c r="BU60" s="249"/>
      <c r="BV60" s="249"/>
      <c r="BW60" s="249"/>
      <c r="BX60" s="249"/>
      <c r="BY60" s="249"/>
      <c r="BZ60" s="249"/>
      <c r="CA60" s="249"/>
      <c r="CB60" s="249"/>
      <c r="CC60" s="249"/>
      <c r="CD60" s="249"/>
      <c r="CE60" s="249"/>
      <c r="CF60" s="249"/>
      <c r="CG60" s="249"/>
      <c r="CH60" s="249"/>
      <c r="CI60" s="249"/>
      <c r="CJ60" s="249"/>
      <c r="CK60" s="249"/>
      <c r="CL60" s="249"/>
      <c r="CM60" s="249"/>
      <c r="CN60" s="249"/>
      <c r="CO60" s="249"/>
      <c r="CP60" s="249"/>
      <c r="CQ60" s="249"/>
      <c r="CR60" s="249"/>
      <c r="CS60" s="249"/>
      <c r="CT60" s="249"/>
      <c r="CU60" s="249"/>
      <c r="CV60" s="249"/>
      <c r="CW60" s="249"/>
      <c r="CX60" s="249"/>
      <c r="CY60" s="249"/>
      <c r="CZ60" s="249"/>
      <c r="DA60" s="249"/>
      <c r="DB60" s="249"/>
      <c r="DC60" s="249"/>
      <c r="DD60" s="249"/>
      <c r="DE60" s="249"/>
      <c r="DF60" s="249"/>
      <c r="DG60" s="249"/>
      <c r="DH60" s="249"/>
      <c r="DI60" s="249"/>
      <c r="DJ60" s="249"/>
      <c r="DK60" s="249"/>
      <c r="DL60" s="249"/>
      <c r="DM60" s="249"/>
      <c r="DN60" s="249"/>
      <c r="DO60" s="249"/>
      <c r="DP60" s="249"/>
      <c r="DQ60" s="249"/>
      <c r="DR60" s="249"/>
      <c r="DS60" s="249"/>
      <c r="DT60" s="249"/>
      <c r="DU60" s="249"/>
      <c r="DV60" s="249"/>
      <c r="DW60" s="249"/>
      <c r="DX60" s="249"/>
      <c r="DY60" s="249"/>
      <c r="DZ60" s="249"/>
      <c r="EA60" s="249"/>
      <c r="EB60" s="249"/>
      <c r="EC60" s="249"/>
      <c r="ED60" s="249"/>
      <c r="EE60" s="249"/>
      <c r="EF60" s="249"/>
      <c r="EG60" s="249"/>
      <c r="EH60" s="249"/>
      <c r="EI60" s="249"/>
      <c r="EJ60" s="249"/>
      <c r="EK60" s="249"/>
      <c r="EL60" s="249"/>
      <c r="EM60" s="249"/>
      <c r="EN60" s="249"/>
      <c r="EO60" s="249"/>
      <c r="EP60" s="249"/>
    </row>
    <row r="61" spans="2:146" s="244" customFormat="1" ht="45" customHeight="1" thickBot="1">
      <c r="B61" s="467" t="s">
        <v>668</v>
      </c>
      <c r="C61" s="449" t="s">
        <v>666</v>
      </c>
      <c r="D61" s="468"/>
      <c r="E61" s="466"/>
      <c r="F61" s="466">
        <f>1.7/1.05/1.02</f>
        <v>1.587301587301587</v>
      </c>
      <c r="G61" s="466" t="e">
        <f>#REF!/100</f>
        <v>#REF!</v>
      </c>
      <c r="H61" s="1773" t="s">
        <v>669</v>
      </c>
      <c r="I61" s="1773"/>
      <c r="J61" s="1774"/>
      <c r="AS61" s="246"/>
      <c r="AT61" s="246"/>
      <c r="AU61" s="246"/>
      <c r="AV61" s="246"/>
      <c r="AW61" s="246"/>
      <c r="AX61" s="246"/>
      <c r="AY61" s="246"/>
      <c r="AZ61" s="246"/>
      <c r="BA61" s="246"/>
      <c r="BB61" s="246"/>
      <c r="BC61" s="246"/>
      <c r="BD61" s="246"/>
      <c r="BE61" s="246"/>
      <c r="BF61" s="246"/>
      <c r="BG61" s="246"/>
      <c r="BH61" s="246"/>
      <c r="BI61" s="246"/>
      <c r="BJ61" s="246"/>
      <c r="BK61" s="246"/>
      <c r="BL61" s="246"/>
      <c r="BM61" s="246"/>
      <c r="BN61" s="246"/>
      <c r="BO61" s="246"/>
      <c r="BP61" s="246"/>
      <c r="BQ61" s="246"/>
      <c r="BR61" s="246"/>
      <c r="BS61" s="246"/>
      <c r="BT61" s="246"/>
      <c r="BU61" s="246"/>
      <c r="BV61" s="246"/>
      <c r="BW61" s="246"/>
      <c r="BX61" s="246"/>
      <c r="BY61" s="246"/>
      <c r="BZ61" s="246"/>
      <c r="CA61" s="246"/>
      <c r="CB61" s="246"/>
      <c r="CC61" s="246"/>
      <c r="CD61" s="246"/>
      <c r="CE61" s="246"/>
      <c r="CF61" s="246"/>
      <c r="CG61" s="246"/>
      <c r="CH61" s="246"/>
      <c r="CI61" s="246"/>
      <c r="CJ61" s="246"/>
      <c r="CK61" s="246"/>
      <c r="CL61" s="246"/>
      <c r="CM61" s="246"/>
      <c r="CN61" s="246"/>
      <c r="CO61" s="246"/>
      <c r="CP61" s="246"/>
      <c r="CQ61" s="246"/>
      <c r="CR61" s="246"/>
      <c r="CS61" s="246"/>
      <c r="CT61" s="246"/>
      <c r="CU61" s="246"/>
      <c r="CV61" s="246"/>
      <c r="CW61" s="246"/>
      <c r="CX61" s="246"/>
      <c r="CY61" s="246"/>
      <c r="CZ61" s="246"/>
      <c r="DA61" s="246"/>
      <c r="DB61" s="246"/>
      <c r="DC61" s="246"/>
      <c r="DD61" s="246"/>
      <c r="DE61" s="246"/>
      <c r="DF61" s="246"/>
      <c r="DG61" s="246"/>
      <c r="DH61" s="246"/>
      <c r="DI61" s="246"/>
      <c r="DJ61" s="246"/>
      <c r="DK61" s="246"/>
      <c r="DL61" s="246"/>
      <c r="DM61" s="246"/>
      <c r="DN61" s="246"/>
      <c r="DO61" s="246"/>
      <c r="DP61" s="246"/>
      <c r="DQ61" s="246"/>
      <c r="DR61" s="246"/>
      <c r="DS61" s="246"/>
      <c r="DT61" s="246"/>
      <c r="DU61" s="246"/>
      <c r="DV61" s="246"/>
      <c r="DW61" s="246"/>
      <c r="DX61" s="246"/>
      <c r="DY61" s="246"/>
      <c r="DZ61" s="246"/>
      <c r="EA61" s="246"/>
      <c r="EB61" s="246"/>
      <c r="EC61" s="246"/>
      <c r="ED61" s="246"/>
      <c r="EE61" s="246"/>
      <c r="EF61" s="246"/>
      <c r="EG61" s="246"/>
      <c r="EH61" s="246"/>
      <c r="EI61" s="246"/>
      <c r="EJ61" s="246"/>
      <c r="EK61" s="246"/>
      <c r="EL61" s="246"/>
      <c r="EM61" s="246"/>
      <c r="EN61" s="246"/>
      <c r="EO61" s="246"/>
      <c r="EP61" s="246"/>
    </row>
    <row r="62" spans="2:146" s="247" customFormat="1" ht="50.25" customHeight="1" thickBot="1">
      <c r="B62" s="1797" t="s">
        <v>545</v>
      </c>
      <c r="C62" s="469" t="s">
        <v>670</v>
      </c>
      <c r="D62" s="489"/>
      <c r="E62" s="490"/>
      <c r="F62" s="490">
        <f>43.2/1.05/1.12</f>
        <v>36.734693877551017</v>
      </c>
      <c r="G62" s="490" t="e">
        <f>#REF!/100</f>
        <v>#REF!</v>
      </c>
      <c r="H62" s="1771" t="s">
        <v>692</v>
      </c>
      <c r="I62" s="1771"/>
      <c r="J62" s="1772"/>
      <c r="K62" s="486"/>
      <c r="AS62" s="249"/>
      <c r="AT62" s="249"/>
      <c r="AU62" s="249"/>
      <c r="AV62" s="249"/>
      <c r="AW62" s="249"/>
      <c r="AX62" s="249"/>
      <c r="AY62" s="249"/>
      <c r="AZ62" s="249"/>
      <c r="BA62" s="249"/>
      <c r="BB62" s="249"/>
      <c r="BC62" s="249"/>
      <c r="BD62" s="249"/>
      <c r="BE62" s="249"/>
      <c r="BF62" s="249"/>
      <c r="BG62" s="249"/>
      <c r="BH62" s="249"/>
      <c r="BI62" s="249"/>
      <c r="BJ62" s="249"/>
      <c r="BK62" s="249"/>
      <c r="BL62" s="249"/>
      <c r="BM62" s="249"/>
      <c r="BN62" s="249"/>
      <c r="BO62" s="249"/>
      <c r="BP62" s="249"/>
      <c r="BQ62" s="249"/>
      <c r="BR62" s="249"/>
      <c r="BS62" s="249"/>
      <c r="BT62" s="249"/>
      <c r="BU62" s="249"/>
      <c r="BV62" s="249"/>
      <c r="BW62" s="249"/>
      <c r="BX62" s="249"/>
      <c r="BY62" s="249"/>
      <c r="BZ62" s="249"/>
      <c r="CA62" s="249"/>
      <c r="CB62" s="249"/>
      <c r="CC62" s="249"/>
      <c r="CD62" s="249"/>
      <c r="CE62" s="249"/>
      <c r="CF62" s="249"/>
      <c r="CG62" s="249"/>
      <c r="CH62" s="249"/>
      <c r="CI62" s="249"/>
      <c r="CJ62" s="249"/>
      <c r="CK62" s="249"/>
      <c r="CL62" s="249"/>
      <c r="CM62" s="249"/>
      <c r="CN62" s="249"/>
      <c r="CO62" s="249"/>
      <c r="CP62" s="249"/>
      <c r="CQ62" s="249"/>
      <c r="CR62" s="249"/>
      <c r="CS62" s="249"/>
      <c r="CT62" s="249"/>
      <c r="CU62" s="249"/>
      <c r="CV62" s="249"/>
      <c r="CW62" s="249"/>
      <c r="CX62" s="249"/>
      <c r="CY62" s="249"/>
      <c r="CZ62" s="249"/>
      <c r="DA62" s="249"/>
      <c r="DB62" s="249"/>
      <c r="DC62" s="249"/>
      <c r="DD62" s="249"/>
      <c r="DE62" s="249"/>
      <c r="DF62" s="249"/>
      <c r="DG62" s="249"/>
      <c r="DH62" s="249"/>
      <c r="DI62" s="249"/>
      <c r="DJ62" s="249"/>
      <c r="DK62" s="249"/>
      <c r="DL62" s="249"/>
      <c r="DM62" s="249"/>
      <c r="DN62" s="249"/>
      <c r="DO62" s="249"/>
      <c r="DP62" s="249"/>
      <c r="DQ62" s="249"/>
      <c r="DR62" s="249"/>
      <c r="DS62" s="249"/>
      <c r="DT62" s="249"/>
      <c r="DU62" s="249"/>
      <c r="DV62" s="249"/>
      <c r="DW62" s="249"/>
      <c r="DX62" s="249"/>
      <c r="DY62" s="249"/>
      <c r="DZ62" s="249"/>
      <c r="EA62" s="249"/>
      <c r="EB62" s="249"/>
      <c r="EC62" s="249"/>
      <c r="ED62" s="249"/>
      <c r="EE62" s="249"/>
      <c r="EF62" s="249"/>
      <c r="EG62" s="249"/>
      <c r="EH62" s="249"/>
      <c r="EI62" s="249"/>
      <c r="EJ62" s="249"/>
      <c r="EK62" s="249"/>
      <c r="EL62" s="249"/>
      <c r="EM62" s="249"/>
      <c r="EN62" s="249"/>
      <c r="EO62" s="249"/>
      <c r="EP62" s="249"/>
    </row>
    <row r="63" spans="2:146" s="247" customFormat="1" ht="39" customHeight="1" thickBot="1">
      <c r="B63" s="1798"/>
      <c r="C63" s="480" t="s">
        <v>686</v>
      </c>
      <c r="D63" s="487"/>
      <c r="E63" s="488"/>
      <c r="F63" s="488">
        <f>50/1.05</f>
        <v>47.61904761904762</v>
      </c>
      <c r="G63" s="488">
        <f>50*(60/75)^0.6/1.05</f>
        <v>41.651888531172496</v>
      </c>
      <c r="H63" s="1813" t="s">
        <v>687</v>
      </c>
      <c r="I63" s="1813"/>
      <c r="J63" s="1814"/>
      <c r="K63" s="486"/>
      <c r="AS63" s="249"/>
      <c r="AT63" s="249"/>
      <c r="AU63" s="249"/>
      <c r="AV63" s="249"/>
      <c r="AW63" s="249"/>
      <c r="AX63" s="249"/>
      <c r="AY63" s="249"/>
      <c r="AZ63" s="249"/>
      <c r="BA63" s="249"/>
      <c r="BB63" s="249"/>
      <c r="BC63" s="249"/>
      <c r="BD63" s="249"/>
      <c r="BE63" s="249"/>
      <c r="BF63" s="249"/>
      <c r="BG63" s="249"/>
      <c r="BH63" s="249"/>
      <c r="BI63" s="249"/>
      <c r="BJ63" s="249"/>
      <c r="BK63" s="249"/>
      <c r="BL63" s="249"/>
      <c r="BM63" s="249"/>
      <c r="BN63" s="249"/>
      <c r="BO63" s="249"/>
      <c r="BP63" s="249"/>
      <c r="BQ63" s="249"/>
      <c r="BR63" s="249"/>
      <c r="BS63" s="249"/>
      <c r="BT63" s="249"/>
      <c r="BU63" s="249"/>
      <c r="BV63" s="249"/>
      <c r="BW63" s="249"/>
      <c r="BX63" s="249"/>
      <c r="BY63" s="249"/>
      <c r="BZ63" s="249"/>
      <c r="CA63" s="249"/>
      <c r="CB63" s="249"/>
      <c r="CC63" s="249"/>
      <c r="CD63" s="249"/>
      <c r="CE63" s="249"/>
      <c r="CF63" s="249"/>
      <c r="CG63" s="249"/>
      <c r="CH63" s="249"/>
      <c r="CI63" s="249"/>
      <c r="CJ63" s="249"/>
      <c r="CK63" s="249"/>
      <c r="CL63" s="249"/>
      <c r="CM63" s="249"/>
      <c r="CN63" s="249"/>
      <c r="CO63" s="249"/>
      <c r="CP63" s="249"/>
      <c r="CQ63" s="249"/>
      <c r="CR63" s="249"/>
      <c r="CS63" s="249"/>
      <c r="CT63" s="249"/>
      <c r="CU63" s="249"/>
      <c r="CV63" s="249"/>
      <c r="CW63" s="249"/>
      <c r="CX63" s="249"/>
      <c r="CY63" s="249"/>
      <c r="CZ63" s="249"/>
      <c r="DA63" s="249"/>
      <c r="DB63" s="249"/>
      <c r="DC63" s="249"/>
      <c r="DD63" s="249"/>
      <c r="DE63" s="249"/>
      <c r="DF63" s="249"/>
      <c r="DG63" s="249"/>
      <c r="DH63" s="249"/>
      <c r="DI63" s="249"/>
      <c r="DJ63" s="249"/>
      <c r="DK63" s="249"/>
      <c r="DL63" s="249"/>
      <c r="DM63" s="249"/>
      <c r="DN63" s="249"/>
      <c r="DO63" s="249"/>
      <c r="DP63" s="249"/>
      <c r="DQ63" s="249"/>
      <c r="DR63" s="249"/>
      <c r="DS63" s="249"/>
      <c r="DT63" s="249"/>
      <c r="DU63" s="249"/>
      <c r="DV63" s="249"/>
      <c r="DW63" s="249"/>
      <c r="DX63" s="249"/>
      <c r="DY63" s="249"/>
      <c r="DZ63" s="249"/>
      <c r="EA63" s="249"/>
      <c r="EB63" s="249"/>
      <c r="EC63" s="249"/>
      <c r="ED63" s="249"/>
      <c r="EE63" s="249"/>
      <c r="EF63" s="249"/>
      <c r="EG63" s="249"/>
      <c r="EH63" s="249"/>
      <c r="EI63" s="249"/>
      <c r="EJ63" s="249"/>
      <c r="EK63" s="249"/>
      <c r="EL63" s="249"/>
      <c r="EM63" s="249"/>
      <c r="EN63" s="249"/>
      <c r="EO63" s="249"/>
      <c r="EP63" s="249"/>
    </row>
    <row r="64" spans="2:146" s="247" customFormat="1" ht="35.25" customHeight="1" thickBot="1">
      <c r="B64" s="1802" t="s">
        <v>546</v>
      </c>
      <c r="C64" s="481" t="s">
        <v>671</v>
      </c>
      <c r="D64" s="484"/>
      <c r="E64" s="485"/>
      <c r="F64" s="485">
        <f>14.5/1.05/1.12/1.02</f>
        <v>12.08816860077364</v>
      </c>
      <c r="G64" s="485" t="e">
        <f>#REF!/100</f>
        <v>#REF!</v>
      </c>
      <c r="H64" s="1775" t="s">
        <v>672</v>
      </c>
      <c r="I64" s="1775"/>
      <c r="J64" s="1776"/>
      <c r="K64" s="486"/>
      <c r="AS64" s="249"/>
      <c r="AT64" s="249"/>
      <c r="AU64" s="249"/>
      <c r="AV64" s="249"/>
      <c r="AW64" s="249"/>
      <c r="AX64" s="249"/>
      <c r="AY64" s="249"/>
      <c r="AZ64" s="249"/>
      <c r="BA64" s="249"/>
      <c r="BB64" s="249"/>
      <c r="BC64" s="249"/>
      <c r="BD64" s="249"/>
      <c r="BE64" s="249"/>
      <c r="BF64" s="249"/>
      <c r="BG64" s="249"/>
      <c r="BH64" s="249"/>
      <c r="BI64" s="249"/>
      <c r="BJ64" s="249"/>
      <c r="BK64" s="249"/>
      <c r="BL64" s="249"/>
      <c r="BM64" s="249"/>
      <c r="BN64" s="249"/>
      <c r="BO64" s="249"/>
      <c r="BP64" s="249"/>
      <c r="BQ64" s="249"/>
      <c r="BR64" s="249"/>
      <c r="BS64" s="249"/>
      <c r="BT64" s="249"/>
      <c r="BU64" s="249"/>
      <c r="BV64" s="249"/>
      <c r="BW64" s="249"/>
      <c r="BX64" s="249"/>
      <c r="BY64" s="249"/>
      <c r="BZ64" s="249"/>
      <c r="CA64" s="249"/>
      <c r="CB64" s="249"/>
      <c r="CC64" s="249"/>
      <c r="CD64" s="249"/>
      <c r="CE64" s="249"/>
      <c r="CF64" s="249"/>
      <c r="CG64" s="249"/>
      <c r="CH64" s="249"/>
      <c r="CI64" s="249"/>
      <c r="CJ64" s="249"/>
      <c r="CK64" s="249"/>
      <c r="CL64" s="249"/>
      <c r="CM64" s="249"/>
      <c r="CN64" s="249"/>
      <c r="CO64" s="249"/>
      <c r="CP64" s="249"/>
      <c r="CQ64" s="249"/>
      <c r="CR64" s="249"/>
      <c r="CS64" s="249"/>
      <c r="CT64" s="249"/>
      <c r="CU64" s="249"/>
      <c r="CV64" s="249"/>
      <c r="CW64" s="249"/>
      <c r="CX64" s="249"/>
      <c r="CY64" s="249"/>
      <c r="CZ64" s="249"/>
      <c r="DA64" s="249"/>
      <c r="DB64" s="249"/>
      <c r="DC64" s="249"/>
      <c r="DD64" s="249"/>
      <c r="DE64" s="249"/>
      <c r="DF64" s="249"/>
      <c r="DG64" s="249"/>
      <c r="DH64" s="249"/>
      <c r="DI64" s="249"/>
      <c r="DJ64" s="249"/>
      <c r="DK64" s="249"/>
      <c r="DL64" s="249"/>
      <c r="DM64" s="249"/>
      <c r="DN64" s="249"/>
      <c r="DO64" s="249"/>
      <c r="DP64" s="249"/>
      <c r="DQ64" s="249"/>
      <c r="DR64" s="249"/>
      <c r="DS64" s="249"/>
      <c r="DT64" s="249"/>
      <c r="DU64" s="249"/>
      <c r="DV64" s="249"/>
      <c r="DW64" s="249"/>
      <c r="DX64" s="249"/>
      <c r="DY64" s="249"/>
      <c r="DZ64" s="249"/>
      <c r="EA64" s="249"/>
      <c r="EB64" s="249"/>
      <c r="EC64" s="249"/>
      <c r="ED64" s="249"/>
      <c r="EE64" s="249"/>
      <c r="EF64" s="249"/>
      <c r="EG64" s="249"/>
      <c r="EH64" s="249"/>
      <c r="EI64" s="249"/>
      <c r="EJ64" s="249"/>
      <c r="EK64" s="249"/>
      <c r="EL64" s="249"/>
      <c r="EM64" s="249"/>
      <c r="EN64" s="249"/>
      <c r="EO64" s="249"/>
      <c r="EP64" s="249"/>
    </row>
    <row r="65" spans="1:146" s="244" customFormat="1" ht="34.5" customHeight="1" thickBot="1">
      <c r="B65" s="1803"/>
      <c r="C65" s="482" t="s">
        <v>689</v>
      </c>
      <c r="D65" s="483"/>
      <c r="E65" s="462"/>
      <c r="F65" s="491">
        <f>6.5*1.02/1.05/1.12</f>
        <v>5.6377551020408152</v>
      </c>
      <c r="G65" s="491">
        <f>F65*(360/150)^0.6</f>
        <v>9.5330737249058419</v>
      </c>
      <c r="H65" s="1771" t="s">
        <v>690</v>
      </c>
      <c r="I65" s="1771"/>
      <c r="J65" s="1772"/>
      <c r="K65" s="4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S65" s="246"/>
      <c r="CT65" s="246"/>
      <c r="CU65" s="246"/>
      <c r="CV65" s="246"/>
      <c r="CW65" s="246"/>
      <c r="CX65" s="246"/>
      <c r="CY65" s="246"/>
      <c r="CZ65" s="246"/>
      <c r="DA65" s="246"/>
      <c r="DB65" s="246"/>
      <c r="DC65" s="246"/>
      <c r="DD65" s="246"/>
      <c r="DE65" s="246"/>
      <c r="DF65" s="246"/>
      <c r="DG65" s="246"/>
      <c r="DH65" s="246"/>
      <c r="DI65" s="246"/>
      <c r="DJ65" s="246"/>
      <c r="DK65" s="246"/>
      <c r="DL65" s="246"/>
      <c r="DM65" s="246"/>
      <c r="DN65" s="246"/>
      <c r="DO65" s="246"/>
      <c r="DP65" s="246"/>
      <c r="DQ65" s="246"/>
      <c r="DR65" s="246"/>
      <c r="DS65" s="246"/>
      <c r="DT65" s="246"/>
      <c r="DU65" s="246"/>
      <c r="DV65" s="246"/>
      <c r="DW65" s="246"/>
      <c r="DX65" s="246"/>
      <c r="DY65" s="246"/>
      <c r="DZ65" s="246"/>
      <c r="EA65" s="246"/>
      <c r="EB65" s="246"/>
      <c r="EC65" s="246"/>
      <c r="ED65" s="246"/>
      <c r="EE65" s="246"/>
      <c r="EF65" s="246"/>
      <c r="EG65" s="246"/>
      <c r="EH65" s="246"/>
      <c r="EI65" s="246"/>
      <c r="EJ65" s="246"/>
      <c r="EK65" s="246"/>
      <c r="EL65" s="246"/>
      <c r="EM65" s="246"/>
      <c r="EN65" s="246"/>
      <c r="EO65" s="246"/>
      <c r="EP65" s="246"/>
    </row>
    <row r="66" spans="1:146" ht="9" customHeight="1">
      <c r="B66" s="231"/>
      <c r="AS66" s="226"/>
      <c r="AT66" s="226"/>
      <c r="AU66" s="226"/>
      <c r="AV66" s="226"/>
      <c r="AW66" s="226"/>
      <c r="AX66" s="226"/>
      <c r="AY66" s="226"/>
      <c r="AZ66" s="226"/>
      <c r="BA66" s="226"/>
      <c r="BB66" s="226"/>
      <c r="BC66" s="226"/>
      <c r="BD66" s="226"/>
      <c r="BE66" s="226"/>
      <c r="BF66" s="226"/>
      <c r="BG66" s="226"/>
      <c r="BH66" s="226"/>
      <c r="BI66" s="226"/>
      <c r="BJ66" s="226"/>
      <c r="BK66" s="226"/>
      <c r="BL66" s="226"/>
      <c r="BM66" s="226"/>
      <c r="BN66" s="226"/>
      <c r="BO66" s="226"/>
      <c r="BP66" s="226"/>
      <c r="BQ66" s="226"/>
      <c r="BR66" s="226"/>
      <c r="BS66" s="226"/>
      <c r="BT66" s="226"/>
      <c r="BU66" s="226"/>
      <c r="BV66" s="226"/>
      <c r="BW66" s="226"/>
      <c r="BX66" s="226"/>
      <c r="BY66" s="226"/>
      <c r="BZ66" s="226"/>
      <c r="CA66" s="226"/>
      <c r="CB66" s="226"/>
      <c r="CC66" s="226"/>
      <c r="CD66" s="226"/>
      <c r="CE66" s="226"/>
      <c r="CF66" s="226"/>
      <c r="CG66" s="226"/>
      <c r="CH66" s="226"/>
      <c r="CI66" s="226"/>
      <c r="CJ66" s="226"/>
      <c r="CK66" s="226"/>
      <c r="CL66" s="226"/>
      <c r="CM66" s="226"/>
      <c r="CN66" s="226"/>
      <c r="CO66" s="226"/>
      <c r="CP66" s="226"/>
      <c r="CQ66" s="226"/>
      <c r="CR66" s="226"/>
      <c r="CS66" s="226"/>
      <c r="CT66" s="226"/>
      <c r="CU66" s="226"/>
      <c r="CV66" s="226"/>
      <c r="CW66" s="226"/>
      <c r="CX66" s="226"/>
      <c r="CY66" s="226"/>
      <c r="CZ66" s="226"/>
      <c r="DA66" s="226"/>
      <c r="DB66" s="226"/>
      <c r="DC66" s="226"/>
      <c r="DD66" s="226"/>
      <c r="DE66" s="226"/>
      <c r="DF66" s="226"/>
      <c r="DG66" s="226"/>
      <c r="DH66" s="226"/>
      <c r="DI66" s="226"/>
      <c r="DJ66" s="226"/>
      <c r="DK66" s="226"/>
      <c r="DL66" s="226"/>
      <c r="DM66" s="226"/>
      <c r="DN66" s="226"/>
      <c r="DO66" s="226"/>
      <c r="DP66" s="226"/>
      <c r="DQ66" s="226"/>
      <c r="DR66" s="226"/>
      <c r="DS66" s="226"/>
      <c r="DT66" s="226"/>
      <c r="DU66" s="226"/>
      <c r="DV66" s="226"/>
      <c r="DW66" s="226"/>
      <c r="DX66" s="226"/>
      <c r="DY66" s="226"/>
      <c r="DZ66" s="226"/>
      <c r="EA66" s="226"/>
      <c r="EB66" s="226"/>
      <c r="EC66" s="226"/>
      <c r="ED66" s="226"/>
      <c r="EE66" s="226"/>
      <c r="EF66" s="226"/>
      <c r="EG66" s="226"/>
      <c r="EH66" s="226"/>
      <c r="EI66" s="226"/>
      <c r="EJ66" s="226"/>
      <c r="EK66" s="226"/>
      <c r="EL66" s="226"/>
      <c r="EM66" s="226"/>
      <c r="EN66" s="226"/>
      <c r="EO66" s="226"/>
      <c r="EP66" s="226"/>
    </row>
    <row r="67" spans="1:146" ht="15.6">
      <c r="B67" s="240" t="s">
        <v>629</v>
      </c>
      <c r="AS67" s="226"/>
      <c r="AT67" s="226"/>
      <c r="AU67" s="226"/>
      <c r="AV67" s="226"/>
      <c r="AW67" s="226"/>
      <c r="AX67" s="226"/>
      <c r="AY67" s="226"/>
      <c r="AZ67" s="226"/>
      <c r="BA67" s="226"/>
      <c r="BB67" s="226"/>
      <c r="BC67" s="226"/>
      <c r="BD67" s="226"/>
      <c r="BE67" s="226"/>
      <c r="BF67" s="226"/>
      <c r="BG67" s="226"/>
      <c r="BH67" s="226"/>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226"/>
      <c r="DJ67" s="226"/>
      <c r="DK67" s="226"/>
      <c r="DL67" s="226"/>
      <c r="DM67" s="226"/>
      <c r="DN67" s="226"/>
      <c r="DO67" s="226"/>
      <c r="DP67" s="226"/>
      <c r="DQ67" s="226"/>
      <c r="DR67" s="226"/>
      <c r="DS67" s="226"/>
      <c r="DT67" s="226"/>
      <c r="DU67" s="226"/>
      <c r="DV67" s="226"/>
      <c r="DW67" s="226"/>
      <c r="DX67" s="226"/>
      <c r="DY67" s="226"/>
      <c r="DZ67" s="226"/>
      <c r="EA67" s="226"/>
      <c r="EB67" s="226"/>
      <c r="EC67" s="226"/>
      <c r="ED67" s="226"/>
      <c r="EE67" s="226"/>
      <c r="EF67" s="226"/>
      <c r="EG67" s="226"/>
      <c r="EH67" s="226"/>
      <c r="EI67" s="226"/>
      <c r="EJ67" s="226"/>
      <c r="EK67" s="226"/>
      <c r="EL67" s="226"/>
      <c r="EM67" s="226"/>
      <c r="EN67" s="226"/>
      <c r="EO67" s="226"/>
      <c r="EP67" s="226"/>
    </row>
    <row r="68" spans="1:146" s="247" customFormat="1" ht="55.5" customHeight="1">
      <c r="B68" s="1768" t="s">
        <v>676</v>
      </c>
      <c r="C68" s="1768"/>
      <c r="D68" s="1769"/>
      <c r="E68" s="248" t="s">
        <v>101</v>
      </c>
      <c r="F68" s="248" t="s">
        <v>360</v>
      </c>
      <c r="G68" s="1770" t="s">
        <v>366</v>
      </c>
      <c r="H68" s="1770"/>
      <c r="AS68" s="249"/>
      <c r="AT68" s="249"/>
      <c r="AU68" s="249"/>
      <c r="AV68" s="249"/>
      <c r="AW68" s="249"/>
      <c r="AX68" s="249"/>
      <c r="AY68" s="249"/>
      <c r="AZ68" s="249"/>
      <c r="BA68" s="249"/>
      <c r="BB68" s="249"/>
      <c r="BC68" s="249"/>
      <c r="BD68" s="249"/>
      <c r="BE68" s="249"/>
      <c r="BF68" s="249"/>
      <c r="BG68" s="249"/>
      <c r="BH68" s="249"/>
      <c r="BI68" s="249"/>
      <c r="BJ68" s="249"/>
      <c r="BK68" s="249"/>
      <c r="BL68" s="249"/>
      <c r="BM68" s="249"/>
      <c r="BN68" s="249"/>
      <c r="BO68" s="249"/>
      <c r="BP68" s="249"/>
      <c r="BQ68" s="249"/>
      <c r="BR68" s="249"/>
      <c r="BS68" s="249"/>
      <c r="BT68" s="249"/>
      <c r="BU68" s="249"/>
      <c r="BV68" s="249"/>
      <c r="BW68" s="249"/>
      <c r="BX68" s="249"/>
      <c r="BY68" s="249"/>
      <c r="BZ68" s="249"/>
      <c r="CA68" s="249"/>
      <c r="CB68" s="249"/>
      <c r="CC68" s="249"/>
      <c r="CD68" s="249"/>
      <c r="CE68" s="249"/>
      <c r="CF68" s="249"/>
      <c r="CG68" s="249"/>
      <c r="CH68" s="249"/>
      <c r="CI68" s="249"/>
      <c r="CJ68" s="249"/>
      <c r="CK68" s="249"/>
      <c r="CL68" s="249"/>
      <c r="CM68" s="249"/>
      <c r="CN68" s="249"/>
      <c r="CO68" s="249"/>
      <c r="CP68" s="249"/>
      <c r="CQ68" s="249"/>
      <c r="CR68" s="249"/>
      <c r="CS68" s="249"/>
      <c r="CT68" s="249"/>
      <c r="CU68" s="249"/>
      <c r="CV68" s="249"/>
      <c r="CW68" s="249"/>
      <c r="CX68" s="249"/>
      <c r="CY68" s="249"/>
      <c r="CZ68" s="249"/>
      <c r="DA68" s="249"/>
      <c r="DB68" s="249"/>
      <c r="DC68" s="249"/>
      <c r="DD68" s="249"/>
      <c r="DE68" s="249"/>
      <c r="DF68" s="249"/>
      <c r="DG68" s="249"/>
      <c r="DH68" s="249"/>
      <c r="DI68" s="249"/>
      <c r="DJ68" s="249"/>
      <c r="DK68" s="249"/>
      <c r="DL68" s="249"/>
      <c r="DM68" s="249"/>
      <c r="DN68" s="249"/>
      <c r="DO68" s="249"/>
      <c r="DP68" s="249"/>
      <c r="DQ68" s="249"/>
      <c r="DR68" s="249"/>
      <c r="DS68" s="249"/>
      <c r="DT68" s="249"/>
      <c r="DU68" s="249"/>
      <c r="DV68" s="249"/>
      <c r="DW68" s="249"/>
      <c r="DX68" s="249"/>
      <c r="DY68" s="249"/>
      <c r="DZ68" s="249"/>
      <c r="EA68" s="249"/>
      <c r="EB68" s="249"/>
      <c r="EC68" s="249"/>
      <c r="ED68" s="249"/>
      <c r="EE68" s="249"/>
      <c r="EF68" s="249"/>
      <c r="EG68" s="249"/>
      <c r="EH68" s="249"/>
      <c r="EI68" s="249"/>
      <c r="EJ68" s="249"/>
      <c r="EK68" s="249"/>
      <c r="EL68" s="249"/>
      <c r="EM68" s="249"/>
      <c r="EN68" s="249"/>
      <c r="EO68" s="249"/>
      <c r="EP68" s="249"/>
    </row>
    <row r="69" spans="1:146" s="247" customFormat="1" ht="8.25" customHeight="1">
      <c r="B69" s="251"/>
      <c r="E69" s="252"/>
      <c r="F69" s="252"/>
      <c r="G69" s="1793"/>
      <c r="H69" s="1793"/>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249"/>
      <c r="CG69" s="249"/>
      <c r="CH69" s="249"/>
      <c r="CI69" s="249"/>
      <c r="CJ69" s="249"/>
      <c r="CK69" s="249"/>
      <c r="CL69" s="249"/>
      <c r="CM69" s="249"/>
      <c r="CN69" s="249"/>
      <c r="CO69" s="249"/>
      <c r="CP69" s="249"/>
      <c r="CQ69" s="249"/>
      <c r="CR69" s="249"/>
      <c r="CS69" s="249"/>
      <c r="CT69" s="249"/>
      <c r="CU69" s="249"/>
      <c r="CV69" s="249"/>
      <c r="CW69" s="249"/>
      <c r="CX69" s="249"/>
      <c r="CY69" s="249"/>
      <c r="CZ69" s="249"/>
      <c r="DA69" s="249"/>
      <c r="DB69" s="249"/>
      <c r="DC69" s="249"/>
      <c r="DD69" s="249"/>
      <c r="DE69" s="249"/>
      <c r="DF69" s="249"/>
      <c r="DG69" s="249"/>
      <c r="DH69" s="249"/>
      <c r="DI69" s="249"/>
      <c r="DJ69" s="249"/>
      <c r="DK69" s="249"/>
      <c r="DL69" s="249"/>
      <c r="DM69" s="249"/>
      <c r="DN69" s="249"/>
      <c r="DO69" s="249"/>
      <c r="DP69" s="249"/>
      <c r="DQ69" s="249"/>
      <c r="DR69" s="249"/>
      <c r="DS69" s="249"/>
      <c r="DT69" s="249"/>
      <c r="DU69" s="249"/>
      <c r="DV69" s="249"/>
      <c r="DW69" s="249"/>
      <c r="DX69" s="249"/>
      <c r="DY69" s="249"/>
      <c r="DZ69" s="249"/>
      <c r="EA69" s="249"/>
      <c r="EB69" s="249"/>
      <c r="EC69" s="249"/>
      <c r="ED69" s="249"/>
      <c r="EE69" s="249"/>
      <c r="EF69" s="249"/>
      <c r="EG69" s="249"/>
      <c r="EH69" s="249"/>
      <c r="EI69" s="249"/>
      <c r="EJ69" s="249"/>
      <c r="EK69" s="249"/>
      <c r="EL69" s="249"/>
      <c r="EM69" s="249"/>
      <c r="EN69" s="249"/>
      <c r="EO69" s="249"/>
      <c r="EP69" s="249"/>
    </row>
    <row r="70" spans="1:146" ht="16.2" thickBot="1">
      <c r="B70" s="241" t="s">
        <v>630</v>
      </c>
      <c r="AS70" s="226"/>
      <c r="AT70" s="226"/>
      <c r="AU70" s="226"/>
      <c r="AV70" s="226"/>
      <c r="AW70" s="226"/>
      <c r="AX70" s="226"/>
      <c r="AY70" s="226"/>
      <c r="AZ70" s="226"/>
      <c r="BA70" s="226"/>
      <c r="BB70" s="226"/>
      <c r="BC70" s="226"/>
      <c r="BD70" s="226"/>
      <c r="BE70" s="226"/>
      <c r="BF70" s="226"/>
      <c r="BG70" s="226"/>
      <c r="BH70" s="226"/>
      <c r="BI70" s="226"/>
      <c r="BJ70" s="226"/>
      <c r="BK70" s="226"/>
      <c r="BL70" s="226"/>
      <c r="BM70" s="226"/>
      <c r="BN70" s="226"/>
      <c r="BO70" s="226"/>
      <c r="BP70" s="226"/>
      <c r="BQ70" s="226"/>
      <c r="BR70" s="226"/>
      <c r="BS70" s="226"/>
      <c r="BT70" s="226"/>
      <c r="BU70" s="226"/>
      <c r="BV70" s="226"/>
      <c r="BW70" s="226"/>
      <c r="BX70" s="226"/>
      <c r="BY70" s="226"/>
      <c r="BZ70" s="226"/>
      <c r="CA70" s="226"/>
      <c r="CB70" s="226"/>
      <c r="CC70" s="226"/>
      <c r="CD70" s="226"/>
      <c r="CE70" s="226"/>
      <c r="CF70" s="226"/>
      <c r="CG70" s="226"/>
      <c r="CH70" s="226"/>
      <c r="CI70" s="226"/>
      <c r="CJ70" s="226"/>
      <c r="CK70" s="226"/>
      <c r="CL70" s="226"/>
      <c r="CM70" s="226"/>
      <c r="CN70" s="226"/>
      <c r="CO70" s="226"/>
      <c r="CP70" s="226"/>
      <c r="CQ70" s="226"/>
      <c r="CR70" s="226"/>
      <c r="CS70" s="226"/>
      <c r="CT70" s="226"/>
      <c r="CU70" s="226"/>
      <c r="CV70" s="226"/>
      <c r="CW70" s="226"/>
      <c r="CX70" s="226"/>
      <c r="CY70" s="226"/>
      <c r="CZ70" s="226"/>
      <c r="DA70" s="226"/>
      <c r="DB70" s="226"/>
      <c r="DC70" s="226"/>
      <c r="DD70" s="226"/>
      <c r="DE70" s="226"/>
      <c r="DF70" s="226"/>
      <c r="DG70" s="226"/>
      <c r="DH70" s="226"/>
      <c r="DI70" s="226"/>
      <c r="DJ70" s="226"/>
      <c r="DK70" s="226"/>
      <c r="DL70" s="226"/>
      <c r="DM70" s="226"/>
      <c r="DN70" s="226"/>
      <c r="DO70" s="226"/>
      <c r="DP70" s="226"/>
      <c r="DQ70" s="226"/>
      <c r="DR70" s="226"/>
      <c r="DS70" s="226"/>
      <c r="DT70" s="226"/>
      <c r="DU70" s="226"/>
      <c r="DV70" s="226"/>
      <c r="DW70" s="226"/>
      <c r="DX70" s="226"/>
      <c r="DY70" s="226"/>
      <c r="DZ70" s="226"/>
      <c r="EA70" s="226"/>
      <c r="EB70" s="226"/>
      <c r="EC70" s="226"/>
      <c r="ED70" s="226"/>
      <c r="EE70" s="226"/>
      <c r="EF70" s="226"/>
      <c r="EG70" s="226"/>
      <c r="EH70" s="226"/>
      <c r="EI70" s="226"/>
      <c r="EJ70" s="226"/>
      <c r="EK70" s="226"/>
      <c r="EL70" s="226"/>
      <c r="EM70" s="226"/>
      <c r="EN70" s="226"/>
      <c r="EO70" s="226"/>
      <c r="EP70" s="226"/>
    </row>
    <row r="71" spans="1:146" ht="18" customHeight="1" thickBot="1">
      <c r="B71" s="1777" t="s">
        <v>631</v>
      </c>
      <c r="C71" s="1777"/>
      <c r="D71" s="1777"/>
      <c r="E71" s="1777"/>
      <c r="F71" s="1777"/>
      <c r="G71" s="439" t="s">
        <v>226</v>
      </c>
      <c r="H71" s="440" t="e">
        <f>#REF!</f>
        <v>#REF!</v>
      </c>
      <c r="AS71" s="226"/>
      <c r="AT71" s="226"/>
      <c r="AU71" s="226"/>
      <c r="AV71" s="226"/>
      <c r="AW71" s="226"/>
      <c r="AX71" s="226"/>
      <c r="AY71" s="226"/>
      <c r="AZ71" s="226"/>
      <c r="BA71" s="226"/>
      <c r="BB71" s="226"/>
      <c r="BC71" s="226"/>
      <c r="BD71" s="226"/>
      <c r="BE71" s="226"/>
      <c r="BF71" s="226"/>
      <c r="BG71" s="226"/>
      <c r="BH71" s="226"/>
      <c r="BI71" s="226"/>
      <c r="BJ71" s="226"/>
      <c r="BK71" s="226"/>
      <c r="BL71" s="226"/>
      <c r="BM71" s="226"/>
      <c r="BN71" s="226"/>
      <c r="BO71" s="226"/>
      <c r="BP71" s="226"/>
      <c r="BQ71" s="226"/>
      <c r="BR71" s="226"/>
      <c r="BS71" s="226"/>
      <c r="BT71" s="226"/>
      <c r="BU71" s="226"/>
      <c r="BV71" s="226"/>
      <c r="BW71" s="226"/>
      <c r="BX71" s="226"/>
      <c r="BY71" s="226"/>
      <c r="BZ71" s="226"/>
      <c r="CA71" s="226"/>
      <c r="CB71" s="226"/>
      <c r="CC71" s="226"/>
      <c r="CD71" s="226"/>
      <c r="CE71" s="226"/>
      <c r="CF71" s="226"/>
      <c r="CG71" s="226"/>
      <c r="CH71" s="226"/>
      <c r="CI71" s="226"/>
      <c r="CJ71" s="226"/>
      <c r="CK71" s="226"/>
      <c r="CL71" s="226"/>
      <c r="CM71" s="226"/>
      <c r="CN71" s="226"/>
      <c r="CO71" s="226"/>
      <c r="CP71" s="226"/>
      <c r="CQ71" s="226"/>
      <c r="CR71" s="226"/>
      <c r="CS71" s="226"/>
      <c r="CT71" s="226"/>
      <c r="CU71" s="226"/>
      <c r="CV71" s="226"/>
      <c r="CW71" s="226"/>
      <c r="CX71" s="226"/>
      <c r="CY71" s="226"/>
      <c r="CZ71" s="226"/>
      <c r="DA71" s="226"/>
      <c r="DB71" s="226"/>
      <c r="DC71" s="226"/>
      <c r="DD71" s="226"/>
      <c r="DE71" s="226"/>
      <c r="DF71" s="226"/>
      <c r="DG71" s="226"/>
      <c r="DH71" s="226"/>
      <c r="DI71" s="226"/>
      <c r="DJ71" s="226"/>
      <c r="DK71" s="226"/>
      <c r="DL71" s="226"/>
      <c r="DM71" s="226"/>
      <c r="DN71" s="226"/>
      <c r="DO71" s="226"/>
      <c r="DP71" s="226"/>
      <c r="DQ71" s="226"/>
      <c r="DR71" s="226"/>
      <c r="DS71" s="226"/>
      <c r="DT71" s="226"/>
      <c r="DU71" s="226"/>
      <c r="DV71" s="226"/>
      <c r="DW71" s="226"/>
      <c r="DX71" s="226"/>
      <c r="DY71" s="226"/>
      <c r="DZ71" s="226"/>
      <c r="EA71" s="226"/>
      <c r="EB71" s="226"/>
      <c r="EC71" s="226"/>
      <c r="ED71" s="226"/>
      <c r="EE71" s="226"/>
      <c r="EF71" s="226"/>
      <c r="EG71" s="226"/>
      <c r="EH71" s="226"/>
      <c r="EI71" s="226"/>
      <c r="EJ71" s="226"/>
      <c r="EK71" s="226"/>
      <c r="EL71" s="226"/>
      <c r="EM71" s="226"/>
      <c r="EN71" s="226"/>
      <c r="EO71" s="226"/>
      <c r="EP71" s="226"/>
    </row>
    <row r="72" spans="1:146" ht="21" customHeight="1">
      <c r="B72" s="242" t="s">
        <v>361</v>
      </c>
      <c r="AS72" s="226"/>
      <c r="AT72" s="226"/>
      <c r="AU72" s="226"/>
      <c r="AV72" s="226"/>
      <c r="AW72" s="226"/>
      <c r="AX72" s="226"/>
      <c r="AY72" s="226"/>
      <c r="AZ72" s="226"/>
      <c r="BA72" s="226"/>
      <c r="BB72" s="226"/>
      <c r="BC72" s="226"/>
      <c r="BD72" s="226"/>
      <c r="BE72" s="226"/>
      <c r="BF72" s="226"/>
      <c r="BG72" s="226"/>
      <c r="BH72" s="226"/>
      <c r="BI72" s="226"/>
      <c r="BJ72" s="226"/>
      <c r="BK72" s="226"/>
      <c r="BL72" s="226"/>
      <c r="BM72" s="226"/>
      <c r="BN72" s="226"/>
      <c r="BO72" s="226"/>
      <c r="BP72" s="226"/>
      <c r="BQ72" s="226"/>
      <c r="BR72" s="226"/>
      <c r="BS72" s="226"/>
      <c r="BT72" s="226"/>
      <c r="BU72" s="226"/>
      <c r="BV72" s="226"/>
      <c r="BW72" s="226"/>
      <c r="BX72" s="226"/>
      <c r="BY72" s="226"/>
      <c r="BZ72" s="226"/>
      <c r="CA72" s="226"/>
      <c r="CB72" s="226"/>
      <c r="CC72" s="226"/>
      <c r="CD72" s="226"/>
      <c r="CE72" s="226"/>
      <c r="CF72" s="226"/>
      <c r="CG72" s="226"/>
      <c r="CH72" s="226"/>
      <c r="CI72" s="226"/>
      <c r="CJ72" s="226"/>
      <c r="CK72" s="226"/>
      <c r="CL72" s="226"/>
      <c r="CM72" s="226"/>
      <c r="CN72" s="226"/>
      <c r="CO72" s="226"/>
      <c r="CP72" s="226"/>
      <c r="CQ72" s="226"/>
      <c r="CR72" s="226"/>
      <c r="CS72" s="226"/>
      <c r="CT72" s="226"/>
      <c r="CU72" s="226"/>
      <c r="CV72" s="226"/>
      <c r="CW72" s="226"/>
      <c r="CX72" s="226"/>
      <c r="CY72" s="226"/>
      <c r="CZ72" s="226"/>
      <c r="DA72" s="226"/>
      <c r="DB72" s="226"/>
      <c r="DC72" s="226"/>
      <c r="DD72" s="226"/>
      <c r="DE72" s="226"/>
      <c r="DF72" s="226"/>
      <c r="DG72" s="226"/>
      <c r="DH72" s="226"/>
      <c r="DI72" s="226"/>
      <c r="DJ72" s="226"/>
      <c r="DK72" s="226"/>
      <c r="DL72" s="226"/>
      <c r="DM72" s="226"/>
      <c r="DN72" s="226"/>
      <c r="DO72" s="226"/>
      <c r="DP72" s="226"/>
      <c r="DQ72" s="226"/>
      <c r="DR72" s="226"/>
      <c r="DS72" s="226"/>
      <c r="DT72" s="226"/>
      <c r="DU72" s="226"/>
      <c r="DV72" s="226"/>
      <c r="DW72" s="226"/>
      <c r="DX72" s="226"/>
      <c r="DY72" s="226"/>
      <c r="DZ72" s="226"/>
      <c r="EA72" s="226"/>
      <c r="EB72" s="226"/>
      <c r="EC72" s="226"/>
      <c r="ED72" s="226"/>
      <c r="EE72" s="226"/>
      <c r="EF72" s="226"/>
      <c r="EG72" s="226"/>
      <c r="EH72" s="226"/>
      <c r="EI72" s="226"/>
      <c r="EJ72" s="226"/>
      <c r="EK72" s="226"/>
      <c r="EL72" s="226"/>
      <c r="EM72" s="226"/>
      <c r="EN72" s="226"/>
      <c r="EO72" s="226"/>
      <c r="EP72" s="226"/>
    </row>
    <row r="73" spans="1:146" ht="15.6">
      <c r="B73" s="242" t="s">
        <v>677</v>
      </c>
      <c r="AS73" s="226"/>
      <c r="AT73" s="226"/>
      <c r="AU73" s="226"/>
      <c r="AV73" s="226"/>
      <c r="AW73" s="226"/>
      <c r="AX73" s="226"/>
      <c r="AY73" s="226"/>
      <c r="AZ73" s="226"/>
      <c r="BA73" s="226"/>
      <c r="BB73" s="226"/>
      <c r="BC73" s="226"/>
      <c r="BD73" s="226"/>
      <c r="BE73" s="226"/>
      <c r="BF73" s="226"/>
      <c r="BG73" s="226"/>
      <c r="BH73" s="226"/>
      <c r="BI73" s="226"/>
      <c r="BJ73" s="226"/>
      <c r="BK73" s="226"/>
      <c r="BL73" s="226"/>
      <c r="BM73" s="226"/>
      <c r="BN73" s="226"/>
      <c r="BO73" s="226"/>
      <c r="BP73" s="226"/>
      <c r="BQ73" s="226"/>
      <c r="BR73" s="226"/>
      <c r="BS73" s="226"/>
      <c r="BT73" s="226"/>
      <c r="BU73" s="226"/>
      <c r="BV73" s="226"/>
      <c r="BW73" s="226"/>
      <c r="BX73" s="226"/>
      <c r="BY73" s="226"/>
      <c r="BZ73" s="226"/>
      <c r="CA73" s="226"/>
      <c r="CB73" s="226"/>
      <c r="CC73" s="226"/>
      <c r="CD73" s="226"/>
      <c r="CE73" s="226"/>
      <c r="CF73" s="226"/>
      <c r="CG73" s="226"/>
      <c r="CH73" s="226"/>
      <c r="CI73" s="226"/>
      <c r="CJ73" s="226"/>
      <c r="CK73" s="226"/>
      <c r="CL73" s="226"/>
      <c r="CM73" s="226"/>
      <c r="CN73" s="226"/>
      <c r="CO73" s="226"/>
      <c r="CP73" s="226"/>
      <c r="CQ73" s="226"/>
      <c r="CR73" s="226"/>
      <c r="CS73" s="226"/>
      <c r="CT73" s="226"/>
      <c r="CU73" s="226"/>
      <c r="CV73" s="226"/>
      <c r="CW73" s="226"/>
      <c r="CX73" s="226"/>
      <c r="CY73" s="226"/>
      <c r="CZ73" s="226"/>
      <c r="DA73" s="226"/>
      <c r="DB73" s="226"/>
      <c r="DC73" s="226"/>
      <c r="DD73" s="226"/>
      <c r="DE73" s="226"/>
      <c r="DF73" s="226"/>
      <c r="DG73" s="226"/>
      <c r="DH73" s="226"/>
      <c r="DI73" s="226"/>
      <c r="DJ73" s="226"/>
      <c r="DK73" s="226"/>
      <c r="DL73" s="226"/>
      <c r="DM73" s="226"/>
      <c r="DN73" s="226"/>
      <c r="DO73" s="226"/>
      <c r="DP73" s="226"/>
      <c r="DQ73" s="226"/>
      <c r="DR73" s="226"/>
      <c r="DS73" s="226"/>
      <c r="DT73" s="226"/>
      <c r="DU73" s="226"/>
      <c r="DV73" s="226"/>
      <c r="DW73" s="226"/>
      <c r="DX73" s="226"/>
      <c r="DY73" s="226"/>
      <c r="DZ73" s="226"/>
      <c r="EA73" s="226"/>
      <c r="EB73" s="226"/>
      <c r="EC73" s="226"/>
      <c r="ED73" s="226"/>
      <c r="EE73" s="226"/>
      <c r="EF73" s="226"/>
      <c r="EG73" s="226"/>
      <c r="EH73" s="226"/>
      <c r="EI73" s="226"/>
      <c r="EJ73" s="226"/>
      <c r="EK73" s="226"/>
      <c r="EL73" s="226"/>
      <c r="EM73" s="226"/>
      <c r="EN73" s="226"/>
      <c r="EO73" s="226"/>
      <c r="EP73" s="226"/>
    </row>
    <row r="74" spans="1:146">
      <c r="B74" s="226" t="s">
        <v>362</v>
      </c>
      <c r="AS74" s="226"/>
      <c r="AT74" s="226"/>
      <c r="AU74" s="226"/>
      <c r="AV74" s="226"/>
      <c r="AW74" s="226"/>
      <c r="AX74" s="226"/>
      <c r="AY74" s="226"/>
      <c r="AZ74" s="226"/>
      <c r="BA74" s="226"/>
      <c r="BB74" s="226"/>
      <c r="BC74" s="226"/>
      <c r="BD74" s="226"/>
      <c r="BE74" s="226"/>
      <c r="BF74" s="226"/>
      <c r="BG74" s="226"/>
      <c r="BH74" s="226"/>
      <c r="BI74" s="226"/>
      <c r="BJ74" s="226"/>
      <c r="BK74" s="226"/>
      <c r="BL74" s="226"/>
      <c r="BM74" s="226"/>
      <c r="BN74" s="226"/>
      <c r="BO74" s="226"/>
      <c r="BP74" s="226"/>
      <c r="BQ74" s="226"/>
      <c r="BR74" s="226"/>
      <c r="BS74" s="226"/>
      <c r="BT74" s="226"/>
      <c r="BU74" s="226"/>
      <c r="BV74" s="226"/>
      <c r="BW74" s="226"/>
      <c r="BX74" s="226"/>
      <c r="BY74" s="226"/>
      <c r="BZ74" s="226"/>
      <c r="CA74" s="226"/>
      <c r="CB74" s="226"/>
      <c r="CC74" s="226"/>
      <c r="CD74" s="226"/>
      <c r="CE74" s="226"/>
      <c r="CF74" s="226"/>
      <c r="CG74" s="226"/>
      <c r="CH74" s="226"/>
      <c r="CI74" s="226"/>
      <c r="CJ74" s="226"/>
      <c r="CK74" s="226"/>
      <c r="CL74" s="226"/>
      <c r="CM74" s="226"/>
      <c r="CN74" s="226"/>
      <c r="CO74" s="226"/>
      <c r="CP74" s="226"/>
      <c r="CQ74" s="226"/>
      <c r="CR74" s="226"/>
      <c r="CS74" s="226"/>
      <c r="CT74" s="226"/>
      <c r="CU74" s="226"/>
      <c r="CV74" s="226"/>
      <c r="CW74" s="226"/>
      <c r="CX74" s="226"/>
      <c r="CY74" s="226"/>
      <c r="CZ74" s="226"/>
      <c r="DA74" s="226"/>
      <c r="DB74" s="226"/>
      <c r="DC74" s="226"/>
      <c r="DD74" s="226"/>
      <c r="DE74" s="226"/>
      <c r="DF74" s="226"/>
      <c r="DG74" s="226"/>
      <c r="DH74" s="226"/>
      <c r="DI74" s="226"/>
      <c r="DJ74" s="226"/>
      <c r="DK74" s="226"/>
      <c r="DL74" s="226"/>
      <c r="DM74" s="226"/>
      <c r="DN74" s="226"/>
      <c r="DO74" s="226"/>
      <c r="DP74" s="226"/>
      <c r="DQ74" s="226"/>
      <c r="DR74" s="226"/>
      <c r="DS74" s="226"/>
      <c r="DT74" s="226"/>
      <c r="DU74" s="226"/>
      <c r="DV74" s="226"/>
      <c r="DW74" s="226"/>
      <c r="DX74" s="226"/>
      <c r="DY74" s="226"/>
      <c r="DZ74" s="226"/>
      <c r="EA74" s="226"/>
      <c r="EB74" s="226"/>
      <c r="EC74" s="226"/>
      <c r="ED74" s="226"/>
      <c r="EE74" s="226"/>
      <c r="EF74" s="226"/>
      <c r="EG74" s="226"/>
      <c r="EH74" s="226"/>
      <c r="EI74" s="226"/>
      <c r="EJ74" s="226"/>
      <c r="EK74" s="226"/>
      <c r="EL74" s="226"/>
      <c r="EM74" s="226"/>
      <c r="EN74" s="226"/>
      <c r="EO74" s="226"/>
      <c r="EP74" s="226"/>
    </row>
    <row r="75" spans="1:146">
      <c r="B75" s="242"/>
      <c r="AS75" s="226"/>
      <c r="AT75" s="226"/>
      <c r="AU75" s="226"/>
      <c r="AV75" s="226"/>
      <c r="AW75" s="226"/>
      <c r="AX75" s="226"/>
      <c r="AY75" s="226"/>
      <c r="AZ75" s="226"/>
      <c r="BA75" s="226"/>
      <c r="BB75" s="226"/>
      <c r="BC75" s="226"/>
      <c r="BD75" s="226"/>
      <c r="BE75" s="226"/>
      <c r="BF75" s="226"/>
      <c r="BG75" s="226"/>
      <c r="BH75" s="226"/>
      <c r="BI75" s="226"/>
      <c r="BJ75" s="226"/>
      <c r="BK75" s="226"/>
      <c r="BL75" s="226"/>
      <c r="BM75" s="226"/>
      <c r="BN75" s="226"/>
      <c r="BO75" s="226"/>
      <c r="BP75" s="226"/>
      <c r="BQ75" s="226"/>
      <c r="BR75" s="226"/>
      <c r="BS75" s="226"/>
      <c r="BT75" s="226"/>
      <c r="BU75" s="226"/>
      <c r="BV75" s="226"/>
      <c r="BW75" s="226"/>
      <c r="BX75" s="226"/>
      <c r="BY75" s="226"/>
      <c r="BZ75" s="226"/>
      <c r="CA75" s="226"/>
      <c r="CB75" s="226"/>
      <c r="CC75" s="226"/>
      <c r="CD75" s="226"/>
      <c r="CE75" s="226"/>
      <c r="CF75" s="226"/>
      <c r="CG75" s="226"/>
      <c r="CH75" s="226"/>
      <c r="CI75" s="226"/>
      <c r="CJ75" s="226"/>
      <c r="CK75" s="226"/>
      <c r="CL75" s="226"/>
      <c r="CM75" s="226"/>
      <c r="CN75" s="226"/>
      <c r="CO75" s="226"/>
      <c r="CP75" s="226"/>
      <c r="CQ75" s="226"/>
      <c r="CR75" s="226"/>
      <c r="CS75" s="226"/>
      <c r="CT75" s="226"/>
      <c r="CU75" s="226"/>
      <c r="CV75" s="226"/>
      <c r="CW75" s="226"/>
      <c r="CX75" s="226"/>
      <c r="CY75" s="226"/>
      <c r="CZ75" s="226"/>
      <c r="DA75" s="226"/>
      <c r="DB75" s="226"/>
      <c r="DC75" s="226"/>
      <c r="DD75" s="226"/>
      <c r="DE75" s="226"/>
      <c r="DF75" s="226"/>
      <c r="DG75" s="226"/>
      <c r="DH75" s="226"/>
      <c r="DI75" s="226"/>
      <c r="DJ75" s="226"/>
      <c r="DK75" s="226"/>
      <c r="DL75" s="226"/>
      <c r="DM75" s="226"/>
      <c r="DN75" s="226"/>
      <c r="DO75" s="226"/>
      <c r="DP75" s="226"/>
      <c r="DQ75" s="226"/>
      <c r="DR75" s="226"/>
      <c r="DS75" s="226"/>
      <c r="DT75" s="226"/>
      <c r="DU75" s="226"/>
      <c r="DV75" s="226"/>
      <c r="DW75" s="226"/>
      <c r="DX75" s="226"/>
      <c r="DY75" s="226"/>
      <c r="DZ75" s="226"/>
      <c r="EA75" s="226"/>
      <c r="EB75" s="226"/>
      <c r="EC75" s="226"/>
      <c r="ED75" s="226"/>
      <c r="EE75" s="226"/>
      <c r="EF75" s="226"/>
      <c r="EG75" s="226"/>
      <c r="EH75" s="226"/>
      <c r="EI75" s="226"/>
      <c r="EJ75" s="226"/>
      <c r="EK75" s="226"/>
      <c r="EL75" s="226"/>
      <c r="EM75" s="226"/>
      <c r="EN75" s="226"/>
      <c r="EO75" s="226"/>
      <c r="EP75" s="226"/>
    </row>
    <row r="76" spans="1:146" s="495" customFormat="1">
      <c r="AS76" s="496"/>
      <c r="AT76" s="496"/>
      <c r="AU76" s="496"/>
      <c r="AV76" s="496"/>
      <c r="AW76" s="496"/>
      <c r="AX76" s="496"/>
      <c r="AY76" s="496"/>
      <c r="AZ76" s="496"/>
      <c r="BA76" s="496"/>
      <c r="BB76" s="496"/>
      <c r="BC76" s="496"/>
      <c r="BD76" s="496"/>
      <c r="BE76" s="496"/>
      <c r="BF76" s="496"/>
      <c r="BG76" s="496"/>
      <c r="BH76" s="496"/>
      <c r="BI76" s="496"/>
      <c r="BJ76" s="496"/>
      <c r="BK76" s="496"/>
      <c r="BL76" s="496"/>
      <c r="BM76" s="496"/>
      <c r="BN76" s="496"/>
      <c r="BO76" s="496"/>
      <c r="BP76" s="496"/>
      <c r="BQ76" s="496"/>
      <c r="BR76" s="496"/>
      <c r="BS76" s="496"/>
      <c r="BT76" s="496"/>
      <c r="BU76" s="496"/>
      <c r="BV76" s="496"/>
      <c r="BW76" s="496"/>
      <c r="BX76" s="496"/>
      <c r="BY76" s="496"/>
      <c r="BZ76" s="496"/>
      <c r="CA76" s="496"/>
      <c r="CB76" s="496"/>
      <c r="CC76" s="496"/>
      <c r="CD76" s="496"/>
      <c r="CE76" s="496"/>
      <c r="CF76" s="496"/>
      <c r="CG76" s="496"/>
      <c r="CH76" s="496"/>
      <c r="CI76" s="496"/>
      <c r="CJ76" s="496"/>
      <c r="CK76" s="496"/>
      <c r="CL76" s="496"/>
      <c r="CM76" s="496"/>
      <c r="CN76" s="496"/>
      <c r="CO76" s="496"/>
      <c r="CP76" s="496"/>
      <c r="CQ76" s="496"/>
      <c r="CR76" s="496"/>
      <c r="CS76" s="496"/>
      <c r="CT76" s="496"/>
      <c r="CU76" s="496"/>
      <c r="CV76" s="496"/>
      <c r="CW76" s="496"/>
      <c r="CX76" s="496"/>
      <c r="CY76" s="496"/>
      <c r="CZ76" s="496"/>
      <c r="DA76" s="496"/>
      <c r="DB76" s="496"/>
      <c r="DC76" s="496"/>
      <c r="DD76" s="496"/>
      <c r="DE76" s="496"/>
      <c r="DF76" s="496"/>
      <c r="DG76" s="496"/>
      <c r="DH76" s="496"/>
      <c r="DI76" s="496"/>
      <c r="DJ76" s="496"/>
      <c r="DK76" s="496"/>
      <c r="DL76" s="496"/>
      <c r="DM76" s="496"/>
      <c r="DN76" s="496"/>
      <c r="DO76" s="496"/>
      <c r="DP76" s="496"/>
      <c r="DQ76" s="496"/>
      <c r="DR76" s="496"/>
      <c r="DS76" s="496"/>
      <c r="DT76" s="496"/>
      <c r="DU76" s="496"/>
      <c r="DV76" s="496"/>
      <c r="DW76" s="496"/>
      <c r="DX76" s="496"/>
      <c r="DY76" s="496"/>
      <c r="DZ76" s="496"/>
      <c r="EA76" s="496"/>
      <c r="EB76" s="496"/>
      <c r="EC76" s="496"/>
      <c r="ED76" s="496"/>
      <c r="EE76" s="496"/>
      <c r="EF76" s="496"/>
      <c r="EG76" s="496"/>
      <c r="EH76" s="496"/>
      <c r="EI76" s="496"/>
      <c r="EJ76" s="496"/>
      <c r="EK76" s="496"/>
      <c r="EL76" s="496"/>
      <c r="EM76" s="496"/>
      <c r="EN76" s="496"/>
      <c r="EO76" s="496"/>
      <c r="EP76" s="496"/>
    </row>
    <row r="77" spans="1:146" s="495" customFormat="1" ht="15.6">
      <c r="B77" s="1754" t="s">
        <v>714</v>
      </c>
      <c r="C77" s="1755"/>
      <c r="D77" s="1755"/>
      <c r="E77" s="1756"/>
      <c r="AS77" s="496"/>
      <c r="AT77" s="496"/>
      <c r="AU77" s="496"/>
      <c r="AV77" s="496"/>
      <c r="AW77" s="496"/>
      <c r="AX77" s="496"/>
      <c r="AY77" s="496"/>
      <c r="AZ77" s="496"/>
      <c r="BA77" s="496"/>
      <c r="BB77" s="496"/>
      <c r="BC77" s="496"/>
      <c r="BD77" s="496"/>
      <c r="BE77" s="496"/>
      <c r="BF77" s="496"/>
      <c r="BG77" s="496"/>
      <c r="BH77" s="496"/>
      <c r="BI77" s="496"/>
      <c r="BJ77" s="496"/>
      <c r="BK77" s="496"/>
      <c r="BL77" s="496"/>
      <c r="BM77" s="496"/>
      <c r="BN77" s="496"/>
      <c r="BO77" s="496"/>
      <c r="BP77" s="496"/>
      <c r="BQ77" s="496"/>
      <c r="BR77" s="496"/>
      <c r="BS77" s="496"/>
      <c r="BT77" s="496"/>
      <c r="BU77" s="496"/>
      <c r="BV77" s="496"/>
      <c r="BW77" s="496"/>
      <c r="BX77" s="496"/>
      <c r="BY77" s="496"/>
      <c r="BZ77" s="496"/>
      <c r="CA77" s="496"/>
      <c r="CB77" s="496"/>
      <c r="CC77" s="496"/>
      <c r="CD77" s="496"/>
      <c r="CE77" s="496"/>
      <c r="CF77" s="496"/>
      <c r="CG77" s="496"/>
      <c r="CH77" s="496"/>
      <c r="CI77" s="496"/>
      <c r="CJ77" s="496"/>
      <c r="CK77" s="496"/>
      <c r="CL77" s="496"/>
      <c r="CM77" s="496"/>
      <c r="CN77" s="496"/>
      <c r="CO77" s="496"/>
      <c r="CP77" s="496"/>
      <c r="CQ77" s="496"/>
      <c r="CR77" s="496"/>
      <c r="CS77" s="496"/>
      <c r="CT77" s="496"/>
      <c r="CU77" s="496"/>
      <c r="CV77" s="496"/>
      <c r="CW77" s="496"/>
      <c r="CX77" s="496"/>
      <c r="CY77" s="496"/>
      <c r="CZ77" s="496"/>
      <c r="DA77" s="496"/>
      <c r="DB77" s="496"/>
      <c r="DC77" s="496"/>
      <c r="DD77" s="496"/>
      <c r="DE77" s="496"/>
      <c r="DF77" s="496"/>
      <c r="DG77" s="496"/>
      <c r="DH77" s="496"/>
      <c r="DI77" s="496"/>
      <c r="DJ77" s="496"/>
      <c r="DK77" s="496"/>
      <c r="DL77" s="496"/>
      <c r="DM77" s="496"/>
      <c r="DN77" s="496"/>
      <c r="DO77" s="496"/>
      <c r="DP77" s="496"/>
      <c r="DQ77" s="496"/>
      <c r="DR77" s="496"/>
      <c r="DS77" s="496"/>
      <c r="DT77" s="496"/>
      <c r="DU77" s="496"/>
      <c r="DV77" s="496"/>
      <c r="DW77" s="496"/>
      <c r="DX77" s="496"/>
      <c r="DY77" s="496"/>
      <c r="DZ77" s="496"/>
      <c r="EA77" s="496"/>
      <c r="EB77" s="496"/>
      <c r="EC77" s="496"/>
      <c r="ED77" s="496"/>
      <c r="EE77" s="496"/>
      <c r="EF77" s="496"/>
      <c r="EG77" s="496"/>
      <c r="EH77" s="496"/>
      <c r="EI77" s="496"/>
      <c r="EJ77" s="496"/>
      <c r="EK77" s="496"/>
      <c r="EL77" s="496"/>
      <c r="EM77" s="496"/>
      <c r="EN77" s="496"/>
      <c r="EO77" s="496"/>
      <c r="EP77" s="496"/>
    </row>
    <row r="78" spans="1:146" s="232" customFormat="1" ht="75">
      <c r="A78" s="497"/>
      <c r="B78" s="500"/>
      <c r="C78" s="500"/>
      <c r="D78" s="478" t="s">
        <v>716</v>
      </c>
      <c r="E78" s="501" t="s">
        <v>717</v>
      </c>
      <c r="F78" s="497"/>
      <c r="G78" s="497"/>
      <c r="H78" s="497"/>
      <c r="I78" s="497"/>
      <c r="J78" s="497"/>
      <c r="AS78" s="233"/>
      <c r="AT78" s="233"/>
      <c r="AU78" s="233"/>
      <c r="AV78" s="233"/>
      <c r="AW78" s="233"/>
      <c r="AX78" s="233"/>
      <c r="AY78" s="233"/>
      <c r="AZ78" s="233"/>
      <c r="BA78" s="233"/>
      <c r="BB78" s="233"/>
      <c r="BC78" s="233"/>
      <c r="BD78" s="233"/>
      <c r="BE78" s="233"/>
      <c r="BF78" s="233"/>
      <c r="BG78" s="233"/>
      <c r="BH78" s="233"/>
      <c r="BI78" s="233"/>
      <c r="BJ78" s="233"/>
      <c r="BK78" s="233"/>
      <c r="BL78" s="233"/>
      <c r="BM78" s="233"/>
      <c r="BN78" s="233"/>
      <c r="BO78" s="233"/>
      <c r="BP78" s="233"/>
      <c r="BQ78" s="233"/>
      <c r="BR78" s="233"/>
      <c r="BS78" s="233"/>
      <c r="BT78" s="233"/>
      <c r="BU78" s="233"/>
      <c r="BV78" s="233"/>
      <c r="BW78" s="233"/>
      <c r="BX78" s="233"/>
      <c r="BY78" s="233"/>
      <c r="BZ78" s="233"/>
      <c r="CA78" s="233"/>
      <c r="CB78" s="233"/>
      <c r="CC78" s="233"/>
      <c r="CD78" s="233"/>
      <c r="CE78" s="233"/>
      <c r="CF78" s="233"/>
      <c r="CG78" s="233"/>
      <c r="CH78" s="233"/>
      <c r="CI78" s="233"/>
      <c r="CJ78" s="233"/>
      <c r="CK78" s="233"/>
      <c r="CL78" s="233"/>
      <c r="CM78" s="233"/>
      <c r="CN78" s="233"/>
      <c r="CO78" s="233"/>
      <c r="CP78" s="233"/>
      <c r="CQ78" s="233"/>
      <c r="CR78" s="233"/>
      <c r="CS78" s="233"/>
      <c r="CT78" s="233"/>
      <c r="CU78" s="233"/>
      <c r="CV78" s="233"/>
      <c r="CW78" s="233"/>
      <c r="CX78" s="233"/>
      <c r="CY78" s="233"/>
      <c r="CZ78" s="233"/>
      <c r="DA78" s="233"/>
      <c r="DB78" s="233"/>
      <c r="DC78" s="233"/>
      <c r="DD78" s="233"/>
      <c r="DE78" s="233"/>
      <c r="DF78" s="233"/>
      <c r="DG78" s="233"/>
      <c r="DH78" s="233"/>
      <c r="DI78" s="233"/>
      <c r="DJ78" s="233"/>
      <c r="DK78" s="233"/>
      <c r="DL78" s="233"/>
      <c r="DM78" s="233"/>
      <c r="DN78" s="233"/>
      <c r="DO78" s="233"/>
      <c r="DP78" s="233"/>
      <c r="DQ78" s="233"/>
      <c r="DR78" s="233"/>
      <c r="DS78" s="233"/>
      <c r="DT78" s="233"/>
      <c r="DU78" s="233"/>
      <c r="DV78" s="233"/>
      <c r="DW78" s="233"/>
      <c r="DX78" s="233"/>
      <c r="DY78" s="233"/>
      <c r="DZ78" s="233"/>
      <c r="EA78" s="233"/>
      <c r="EB78" s="233"/>
      <c r="EC78" s="233"/>
      <c r="ED78" s="233"/>
      <c r="EE78" s="233"/>
      <c r="EF78" s="233"/>
      <c r="EG78" s="233"/>
      <c r="EH78" s="233"/>
      <c r="EI78" s="233"/>
      <c r="EJ78" s="233"/>
      <c r="EK78" s="233"/>
      <c r="EL78" s="233"/>
      <c r="EM78" s="233"/>
      <c r="EN78" s="233"/>
      <c r="EO78" s="233"/>
      <c r="EP78" s="233"/>
    </row>
    <row r="79" spans="1:146" ht="37.5" customHeight="1">
      <c r="A79" s="244"/>
      <c r="B79" s="1753" t="s">
        <v>715</v>
      </c>
      <c r="C79" s="1753"/>
      <c r="D79" s="500">
        <v>122.68</v>
      </c>
      <c r="E79" s="499"/>
      <c r="F79" s="495"/>
      <c r="G79" s="495"/>
      <c r="H79" s="495"/>
      <c r="I79" s="495"/>
      <c r="J79" s="495"/>
      <c r="AS79" s="226"/>
      <c r="AT79" s="226"/>
      <c r="AU79" s="226"/>
      <c r="AV79" s="226"/>
      <c r="AW79" s="226"/>
      <c r="AX79" s="226"/>
      <c r="AY79" s="226"/>
      <c r="AZ79" s="226"/>
      <c r="BA79" s="226"/>
      <c r="BB79" s="226"/>
      <c r="BC79" s="226"/>
      <c r="BD79" s="226"/>
      <c r="BE79" s="226"/>
      <c r="BF79" s="226"/>
      <c r="BG79" s="226"/>
      <c r="BH79" s="226"/>
      <c r="BI79" s="226"/>
      <c r="BJ79" s="226"/>
      <c r="BK79" s="226"/>
      <c r="BL79" s="226"/>
      <c r="BM79" s="226"/>
      <c r="BN79" s="226"/>
      <c r="BO79" s="226"/>
      <c r="BP79" s="226"/>
      <c r="BQ79" s="226"/>
      <c r="BR79" s="226"/>
      <c r="BS79" s="226"/>
      <c r="BT79" s="226"/>
      <c r="BU79" s="226"/>
      <c r="BV79" s="226"/>
      <c r="BW79" s="226"/>
      <c r="BX79" s="226"/>
      <c r="BY79" s="226"/>
      <c r="BZ79" s="226"/>
      <c r="CA79" s="226"/>
      <c r="CB79" s="226"/>
      <c r="CC79" s="226"/>
      <c r="CD79" s="226"/>
      <c r="CE79" s="226"/>
      <c r="CF79" s="226"/>
      <c r="CG79" s="226"/>
      <c r="CH79" s="226"/>
      <c r="CI79" s="226"/>
      <c r="CJ79" s="226"/>
      <c r="CK79" s="226"/>
      <c r="CL79" s="226"/>
      <c r="CM79" s="226"/>
      <c r="CN79" s="226"/>
      <c r="CO79" s="226"/>
      <c r="CP79" s="226"/>
      <c r="CQ79" s="226"/>
      <c r="CR79" s="226"/>
      <c r="CS79" s="226"/>
      <c r="CT79" s="226"/>
      <c r="CU79" s="226"/>
      <c r="CV79" s="226"/>
      <c r="CW79" s="226"/>
      <c r="CX79" s="226"/>
      <c r="CY79" s="226"/>
      <c r="CZ79" s="226"/>
      <c r="DA79" s="226"/>
      <c r="DB79" s="226"/>
      <c r="DC79" s="226"/>
      <c r="DD79" s="226"/>
      <c r="DE79" s="226"/>
      <c r="DF79" s="226"/>
      <c r="DG79" s="226"/>
      <c r="DH79" s="226"/>
      <c r="DI79" s="226"/>
      <c r="DJ79" s="226"/>
      <c r="DK79" s="226"/>
      <c r="DL79" s="226"/>
      <c r="DM79" s="226"/>
      <c r="DN79" s="226"/>
      <c r="DO79" s="226"/>
      <c r="DP79" s="226"/>
      <c r="DQ79" s="226"/>
      <c r="DR79" s="226"/>
      <c r="DS79" s="226"/>
      <c r="DT79" s="226"/>
      <c r="DU79" s="226"/>
      <c r="DV79" s="226"/>
      <c r="DW79" s="226"/>
      <c r="DX79" s="226"/>
      <c r="DY79" s="226"/>
      <c r="DZ79" s="226"/>
      <c r="EA79" s="226"/>
      <c r="EB79" s="226"/>
      <c r="EC79" s="226"/>
      <c r="ED79" s="226"/>
      <c r="EE79" s="226"/>
      <c r="EF79" s="226"/>
      <c r="EG79" s="226"/>
      <c r="EH79" s="226"/>
      <c r="EI79" s="226"/>
      <c r="EJ79" s="226"/>
      <c r="EK79" s="226"/>
      <c r="EL79" s="226"/>
      <c r="EM79" s="226"/>
      <c r="EN79" s="226"/>
      <c r="EO79" s="226"/>
      <c r="EP79" s="226"/>
    </row>
    <row r="80" spans="1:146" ht="51.75" customHeight="1">
      <c r="A80" s="244"/>
      <c r="B80" s="1753" t="s">
        <v>719</v>
      </c>
      <c r="C80" s="1753"/>
      <c r="D80" s="499"/>
      <c r="E80" s="500">
        <f>D79*92/69</f>
        <v>163.57333333333335</v>
      </c>
      <c r="F80" s="495"/>
      <c r="G80" s="495"/>
      <c r="H80" s="495"/>
      <c r="I80" s="495"/>
      <c r="J80" s="495"/>
      <c r="AS80" s="226"/>
      <c r="AT80" s="226"/>
      <c r="AU80" s="226"/>
      <c r="AV80" s="226"/>
      <c r="AW80" s="226"/>
      <c r="AX80" s="226"/>
      <c r="AY80" s="226"/>
      <c r="AZ80" s="226"/>
      <c r="BA80" s="226"/>
      <c r="BB80" s="226"/>
      <c r="BC80" s="226"/>
      <c r="BD80" s="226"/>
      <c r="BE80" s="226"/>
      <c r="BF80" s="226"/>
      <c r="BG80" s="226"/>
      <c r="BH80" s="226"/>
      <c r="BI80" s="226"/>
      <c r="BJ80" s="226"/>
      <c r="BK80" s="226"/>
      <c r="BL80" s="226"/>
      <c r="BM80" s="226"/>
      <c r="BN80" s="226"/>
      <c r="BO80" s="226"/>
      <c r="BP80" s="226"/>
      <c r="BQ80" s="226"/>
      <c r="BR80" s="226"/>
      <c r="BS80" s="226"/>
      <c r="BT80" s="226"/>
      <c r="BU80" s="226"/>
      <c r="BV80" s="226"/>
      <c r="BW80" s="226"/>
      <c r="BX80" s="226"/>
      <c r="BY80" s="226"/>
      <c r="BZ80" s="226"/>
      <c r="CA80" s="226"/>
      <c r="CB80" s="226"/>
      <c r="CC80" s="226"/>
      <c r="CD80" s="226"/>
      <c r="CE80" s="226"/>
      <c r="CF80" s="226"/>
      <c r="CG80" s="226"/>
      <c r="CH80" s="226"/>
      <c r="CI80" s="226"/>
      <c r="CJ80" s="226"/>
      <c r="CK80" s="226"/>
      <c r="CL80" s="226"/>
      <c r="CM80" s="226"/>
      <c r="CN80" s="226"/>
      <c r="CO80" s="226"/>
      <c r="CP80" s="226"/>
      <c r="CQ80" s="226"/>
      <c r="CR80" s="226"/>
      <c r="CS80" s="226"/>
      <c r="CT80" s="226"/>
      <c r="CU80" s="226"/>
      <c r="CV80" s="226"/>
      <c r="CW80" s="226"/>
      <c r="CX80" s="226"/>
      <c r="CY80" s="226"/>
      <c r="CZ80" s="226"/>
      <c r="DA80" s="226"/>
      <c r="DB80" s="226"/>
      <c r="DC80" s="226"/>
      <c r="DD80" s="226"/>
      <c r="DE80" s="226"/>
      <c r="DF80" s="226"/>
      <c r="DG80" s="226"/>
      <c r="DH80" s="226"/>
      <c r="DI80" s="226"/>
      <c r="DJ80" s="226"/>
      <c r="DK80" s="226"/>
      <c r="DL80" s="226"/>
      <c r="DM80" s="226"/>
      <c r="DN80" s="226"/>
      <c r="DO80" s="226"/>
      <c r="DP80" s="226"/>
      <c r="DQ80" s="226"/>
      <c r="DR80" s="226"/>
      <c r="DS80" s="226"/>
      <c r="DT80" s="226"/>
      <c r="DU80" s="226"/>
      <c r="DV80" s="226"/>
      <c r="DW80" s="226"/>
      <c r="DX80" s="226"/>
      <c r="DY80" s="226"/>
      <c r="DZ80" s="226"/>
      <c r="EA80" s="226"/>
      <c r="EB80" s="226"/>
      <c r="EC80" s="226"/>
      <c r="ED80" s="226"/>
      <c r="EE80" s="226"/>
      <c r="EF80" s="226"/>
      <c r="EG80" s="226"/>
      <c r="EH80" s="226"/>
      <c r="EI80" s="226"/>
      <c r="EJ80" s="226"/>
      <c r="EK80" s="226"/>
      <c r="EL80" s="226"/>
      <c r="EM80" s="226"/>
      <c r="EN80" s="226"/>
      <c r="EO80" s="226"/>
      <c r="EP80" s="226"/>
    </row>
    <row r="81" spans="1:146" ht="37.5" customHeight="1">
      <c r="A81" s="244"/>
      <c r="B81" s="1753" t="s">
        <v>718</v>
      </c>
      <c r="C81" s="1753"/>
      <c r="D81" s="499"/>
      <c r="E81" s="500">
        <v>255</v>
      </c>
      <c r="F81" s="495"/>
      <c r="G81" s="495"/>
      <c r="H81" s="495"/>
      <c r="I81" s="495"/>
      <c r="J81" s="495"/>
      <c r="AS81" s="226"/>
      <c r="AT81" s="226"/>
      <c r="AU81" s="226"/>
      <c r="AV81" s="226"/>
      <c r="AW81" s="226"/>
      <c r="AX81" s="226"/>
      <c r="AY81" s="226"/>
      <c r="AZ81" s="226"/>
      <c r="BA81" s="226"/>
      <c r="BB81" s="226"/>
      <c r="BC81" s="226"/>
      <c r="BD81" s="226"/>
      <c r="BE81" s="226"/>
      <c r="BF81" s="226"/>
      <c r="BG81" s="226"/>
      <c r="BH81" s="226"/>
      <c r="BI81" s="226"/>
      <c r="BJ81" s="226"/>
      <c r="BK81" s="226"/>
      <c r="BL81" s="226"/>
      <c r="BM81" s="226"/>
      <c r="BN81" s="226"/>
      <c r="BO81" s="226"/>
      <c r="BP81" s="226"/>
      <c r="BQ81" s="226"/>
      <c r="BR81" s="226"/>
      <c r="BS81" s="226"/>
      <c r="BT81" s="226"/>
      <c r="BU81" s="226"/>
      <c r="BV81" s="226"/>
      <c r="BW81" s="226"/>
      <c r="BX81" s="226"/>
      <c r="BY81" s="226"/>
      <c r="BZ81" s="226"/>
      <c r="CA81" s="226"/>
      <c r="CB81" s="226"/>
      <c r="CC81" s="226"/>
      <c r="CD81" s="226"/>
      <c r="CE81" s="226"/>
      <c r="CF81" s="226"/>
      <c r="CG81" s="226"/>
      <c r="CH81" s="226"/>
      <c r="CI81" s="226"/>
      <c r="CJ81" s="226"/>
      <c r="CK81" s="226"/>
      <c r="CL81" s="226"/>
      <c r="CM81" s="226"/>
      <c r="CN81" s="226"/>
      <c r="CO81" s="226"/>
      <c r="CP81" s="226"/>
      <c r="CQ81" s="226"/>
      <c r="CR81" s="226"/>
      <c r="CS81" s="226"/>
      <c r="CT81" s="226"/>
      <c r="CU81" s="226"/>
      <c r="CV81" s="226"/>
      <c r="CW81" s="226"/>
      <c r="CX81" s="226"/>
      <c r="CY81" s="226"/>
      <c r="CZ81" s="226"/>
      <c r="DA81" s="226"/>
      <c r="DB81" s="226"/>
      <c r="DC81" s="226"/>
      <c r="DD81" s="226"/>
      <c r="DE81" s="226"/>
      <c r="DF81" s="226"/>
      <c r="DG81" s="226"/>
      <c r="DH81" s="226"/>
      <c r="DI81" s="226"/>
      <c r="DJ81" s="226"/>
      <c r="DK81" s="226"/>
      <c r="DL81" s="226"/>
      <c r="DM81" s="226"/>
      <c r="DN81" s="226"/>
      <c r="DO81" s="226"/>
      <c r="DP81" s="226"/>
      <c r="DQ81" s="226"/>
      <c r="DR81" s="226"/>
      <c r="DS81" s="226"/>
      <c r="DT81" s="226"/>
      <c r="DU81" s="226"/>
      <c r="DV81" s="226"/>
      <c r="DW81" s="226"/>
      <c r="DX81" s="226"/>
      <c r="DY81" s="226"/>
      <c r="DZ81" s="226"/>
      <c r="EA81" s="226"/>
      <c r="EB81" s="226"/>
      <c r="EC81" s="226"/>
      <c r="ED81" s="226"/>
      <c r="EE81" s="226"/>
      <c r="EF81" s="226"/>
      <c r="EG81" s="226"/>
      <c r="EH81" s="226"/>
      <c r="EI81" s="226"/>
      <c r="EJ81" s="226"/>
      <c r="EK81" s="226"/>
      <c r="EL81" s="226"/>
      <c r="EM81" s="226"/>
      <c r="EN81" s="226"/>
      <c r="EO81" s="226"/>
      <c r="EP81" s="226"/>
    </row>
    <row r="82" spans="1:146" ht="33.75" customHeight="1">
      <c r="A82" s="244"/>
      <c r="B82" s="1753" t="s">
        <v>720</v>
      </c>
      <c r="C82" s="1753"/>
      <c r="D82" s="499"/>
      <c r="E82" s="500">
        <v>84</v>
      </c>
      <c r="F82" s="495"/>
      <c r="G82" s="495"/>
      <c r="H82" s="495"/>
      <c r="I82" s="495"/>
      <c r="J82" s="495"/>
      <c r="AS82" s="226"/>
      <c r="AT82" s="226"/>
      <c r="AU82" s="226"/>
      <c r="AV82" s="226"/>
      <c r="AW82" s="226"/>
      <c r="AX82" s="226"/>
      <c r="AY82" s="226"/>
      <c r="AZ82" s="226"/>
      <c r="BA82" s="226"/>
      <c r="BB82" s="226"/>
      <c r="BC82" s="226"/>
      <c r="BD82" s="226"/>
      <c r="BE82" s="226"/>
      <c r="BF82" s="226"/>
      <c r="BG82" s="226"/>
      <c r="BH82" s="226"/>
      <c r="BI82" s="226"/>
      <c r="BJ82" s="226"/>
      <c r="BK82" s="226"/>
      <c r="BL82" s="226"/>
      <c r="BM82" s="226"/>
      <c r="BN82" s="226"/>
      <c r="BO82" s="226"/>
      <c r="BP82" s="226"/>
      <c r="BQ82" s="226"/>
      <c r="BR82" s="226"/>
      <c r="BS82" s="226"/>
      <c r="BT82" s="226"/>
      <c r="BU82" s="226"/>
      <c r="BV82" s="226"/>
      <c r="BW82" s="226"/>
      <c r="BX82" s="226"/>
      <c r="BY82" s="226"/>
      <c r="BZ82" s="226"/>
      <c r="CA82" s="226"/>
      <c r="CB82" s="226"/>
      <c r="CC82" s="226"/>
      <c r="CD82" s="226"/>
      <c r="CE82" s="226"/>
      <c r="CF82" s="226"/>
      <c r="CG82" s="226"/>
      <c r="CH82" s="226"/>
      <c r="CI82" s="226"/>
      <c r="CJ82" s="226"/>
      <c r="CK82" s="226"/>
      <c r="CL82" s="226"/>
      <c r="CM82" s="226"/>
      <c r="CN82" s="226"/>
      <c r="CO82" s="226"/>
      <c r="CP82" s="226"/>
      <c r="CQ82" s="226"/>
      <c r="CR82" s="226"/>
      <c r="CS82" s="226"/>
      <c r="CT82" s="226"/>
      <c r="CU82" s="226"/>
      <c r="CV82" s="226"/>
      <c r="CW82" s="226"/>
      <c r="CX82" s="226"/>
      <c r="CY82" s="226"/>
      <c r="CZ82" s="226"/>
      <c r="DA82" s="226"/>
      <c r="DB82" s="226"/>
      <c r="DC82" s="226"/>
      <c r="DD82" s="226"/>
      <c r="DE82" s="226"/>
      <c r="DF82" s="226"/>
      <c r="DG82" s="226"/>
      <c r="DH82" s="226"/>
      <c r="DI82" s="226"/>
      <c r="DJ82" s="226"/>
      <c r="DK82" s="226"/>
      <c r="DL82" s="226"/>
      <c r="DM82" s="226"/>
      <c r="DN82" s="226"/>
      <c r="DO82" s="226"/>
      <c r="DP82" s="226"/>
      <c r="DQ82" s="226"/>
      <c r="DR82" s="226"/>
      <c r="DS82" s="226"/>
      <c r="DT82" s="226"/>
      <c r="DU82" s="226"/>
      <c r="DV82" s="226"/>
      <c r="DW82" s="226"/>
      <c r="DX82" s="226"/>
      <c r="DY82" s="226"/>
      <c r="DZ82" s="226"/>
      <c r="EA82" s="226"/>
      <c r="EB82" s="226"/>
      <c r="EC82" s="226"/>
      <c r="ED82" s="226"/>
      <c r="EE82" s="226"/>
      <c r="EF82" s="226"/>
      <c r="EG82" s="226"/>
      <c r="EH82" s="226"/>
      <c r="EI82" s="226"/>
      <c r="EJ82" s="226"/>
      <c r="EK82" s="226"/>
      <c r="EL82" s="226"/>
      <c r="EM82" s="226"/>
      <c r="EN82" s="226"/>
      <c r="EO82" s="226"/>
      <c r="EP82" s="226"/>
    </row>
    <row r="83" spans="1:146" ht="36.75" customHeight="1">
      <c r="A83" s="495"/>
      <c r="B83" s="1753" t="s">
        <v>721</v>
      </c>
      <c r="C83" s="1753"/>
      <c r="D83" s="499"/>
      <c r="E83" s="500">
        <v>40</v>
      </c>
      <c r="F83" s="495"/>
      <c r="G83" s="495"/>
      <c r="H83" s="495"/>
      <c r="I83" s="495"/>
      <c r="J83" s="495"/>
      <c r="AS83" s="226"/>
      <c r="AT83" s="226"/>
      <c r="AU83" s="226"/>
      <c r="AV83" s="226"/>
      <c r="AW83" s="226"/>
      <c r="AX83" s="226"/>
      <c r="AY83" s="226"/>
      <c r="AZ83" s="226"/>
      <c r="BA83" s="226"/>
      <c r="BB83" s="226"/>
      <c r="BC83" s="226"/>
      <c r="BD83" s="226"/>
      <c r="BE83" s="226"/>
      <c r="BF83" s="226"/>
      <c r="BG83" s="226"/>
      <c r="BH83" s="226"/>
      <c r="BI83" s="226"/>
      <c r="BJ83" s="226"/>
      <c r="BK83" s="226"/>
      <c r="BL83" s="226"/>
      <c r="BM83" s="226"/>
      <c r="BN83" s="226"/>
      <c r="BO83" s="226"/>
      <c r="BP83" s="226"/>
      <c r="BQ83" s="226"/>
      <c r="BR83" s="226"/>
      <c r="BS83" s="226"/>
      <c r="BT83" s="226"/>
      <c r="BU83" s="226"/>
      <c r="BV83" s="226"/>
      <c r="BW83" s="226"/>
      <c r="BX83" s="226"/>
      <c r="BY83" s="226"/>
      <c r="BZ83" s="226"/>
      <c r="CA83" s="226"/>
      <c r="CB83" s="226"/>
      <c r="CC83" s="226"/>
      <c r="CD83" s="226"/>
      <c r="CE83" s="226"/>
      <c r="CF83" s="226"/>
      <c r="CG83" s="226"/>
      <c r="CH83" s="226"/>
      <c r="CI83" s="226"/>
      <c r="CJ83" s="226"/>
      <c r="CK83" s="226"/>
      <c r="CL83" s="226"/>
      <c r="CM83" s="226"/>
      <c r="CN83" s="226"/>
      <c r="CO83" s="226"/>
      <c r="CP83" s="226"/>
      <c r="CQ83" s="226"/>
      <c r="CR83" s="226"/>
      <c r="CS83" s="226"/>
      <c r="CT83" s="226"/>
      <c r="CU83" s="226"/>
      <c r="CV83" s="226"/>
      <c r="CW83" s="226"/>
      <c r="CX83" s="226"/>
      <c r="CY83" s="226"/>
      <c r="CZ83" s="226"/>
      <c r="DA83" s="226"/>
      <c r="DB83" s="226"/>
      <c r="DC83" s="226"/>
      <c r="DD83" s="226"/>
      <c r="DE83" s="226"/>
      <c r="DF83" s="226"/>
      <c r="DG83" s="226"/>
      <c r="DH83" s="226"/>
      <c r="DI83" s="226"/>
      <c r="DJ83" s="226"/>
      <c r="DK83" s="226"/>
      <c r="DL83" s="226"/>
      <c r="DM83" s="226"/>
      <c r="DN83" s="226"/>
      <c r="DO83" s="226"/>
      <c r="DP83" s="226"/>
      <c r="DQ83" s="226"/>
      <c r="DR83" s="226"/>
      <c r="DS83" s="226"/>
      <c r="DT83" s="226"/>
      <c r="DU83" s="226"/>
      <c r="DV83" s="226"/>
      <c r="DW83" s="226"/>
      <c r="DX83" s="226"/>
      <c r="DY83" s="226"/>
      <c r="DZ83" s="226"/>
      <c r="EA83" s="226"/>
      <c r="EB83" s="226"/>
      <c r="EC83" s="226"/>
      <c r="ED83" s="226"/>
      <c r="EE83" s="226"/>
      <c r="EF83" s="226"/>
      <c r="EG83" s="226"/>
      <c r="EH83" s="226"/>
      <c r="EI83" s="226"/>
      <c r="EJ83" s="226"/>
      <c r="EK83" s="226"/>
      <c r="EL83" s="226"/>
      <c r="EM83" s="226"/>
      <c r="EN83" s="226"/>
      <c r="EO83" s="226"/>
      <c r="EP83" s="226"/>
    </row>
    <row r="84" spans="1:146" ht="38.25" customHeight="1">
      <c r="A84" s="495"/>
      <c r="B84" s="1753" t="s">
        <v>722</v>
      </c>
      <c r="C84" s="1753"/>
      <c r="D84" s="499"/>
      <c r="E84" s="500">
        <v>99.70028567333334</v>
      </c>
      <c r="F84" s="495"/>
      <c r="G84" s="495"/>
      <c r="H84" s="495"/>
      <c r="I84" s="495"/>
      <c r="J84" s="495"/>
      <c r="AS84" s="226"/>
      <c r="AT84" s="226"/>
      <c r="AU84" s="226"/>
      <c r="AV84" s="226"/>
      <c r="AW84" s="226"/>
      <c r="AX84" s="226"/>
      <c r="AY84" s="226"/>
      <c r="AZ84" s="226"/>
      <c r="BA84" s="226"/>
      <c r="BB84" s="226"/>
      <c r="BC84" s="226"/>
      <c r="BD84" s="226"/>
      <c r="BE84" s="226"/>
      <c r="BF84" s="226"/>
      <c r="BG84" s="226"/>
      <c r="BH84" s="226"/>
      <c r="BI84" s="226"/>
      <c r="BJ84" s="226"/>
      <c r="BK84" s="226"/>
      <c r="BL84" s="226"/>
      <c r="BM84" s="226"/>
      <c r="BN84" s="226"/>
      <c r="BO84" s="226"/>
      <c r="BP84" s="226"/>
      <c r="BQ84" s="226"/>
      <c r="BR84" s="226"/>
      <c r="BS84" s="226"/>
      <c r="BT84" s="226"/>
      <c r="BU84" s="226"/>
      <c r="BV84" s="226"/>
      <c r="BW84" s="226"/>
      <c r="BX84" s="226"/>
      <c r="BY84" s="226"/>
      <c r="BZ84" s="226"/>
      <c r="CA84" s="226"/>
      <c r="CB84" s="226"/>
      <c r="CC84" s="226"/>
      <c r="CD84" s="226"/>
      <c r="CE84" s="226"/>
      <c r="CF84" s="226"/>
      <c r="CG84" s="226"/>
      <c r="CH84" s="226"/>
      <c r="CI84" s="226"/>
      <c r="CJ84" s="226"/>
      <c r="CK84" s="226"/>
      <c r="CL84" s="226"/>
      <c r="CM84" s="226"/>
      <c r="CN84" s="226"/>
      <c r="CO84" s="226"/>
      <c r="CP84" s="226"/>
      <c r="CQ84" s="226"/>
      <c r="CR84" s="226"/>
      <c r="CS84" s="226"/>
      <c r="CT84" s="226"/>
      <c r="CU84" s="226"/>
      <c r="CV84" s="226"/>
      <c r="CW84" s="226"/>
      <c r="CX84" s="226"/>
      <c r="CY84" s="226"/>
      <c r="CZ84" s="226"/>
      <c r="DA84" s="226"/>
      <c r="DB84" s="226"/>
      <c r="DC84" s="226"/>
      <c r="DD84" s="226"/>
      <c r="DE84" s="226"/>
      <c r="DF84" s="226"/>
      <c r="DG84" s="226"/>
      <c r="DH84" s="226"/>
      <c r="DI84" s="226"/>
      <c r="DJ84" s="226"/>
      <c r="DK84" s="226"/>
      <c r="DL84" s="226"/>
      <c r="DM84" s="226"/>
      <c r="DN84" s="226"/>
      <c r="DO84" s="226"/>
      <c r="DP84" s="226"/>
      <c r="DQ84" s="226"/>
      <c r="DR84" s="226"/>
      <c r="DS84" s="226"/>
      <c r="DT84" s="226"/>
      <c r="DU84" s="226"/>
      <c r="DV84" s="226"/>
      <c r="DW84" s="226"/>
      <c r="DX84" s="226"/>
      <c r="DY84" s="226"/>
      <c r="DZ84" s="226"/>
      <c r="EA84" s="226"/>
      <c r="EB84" s="226"/>
      <c r="EC84" s="226"/>
      <c r="ED84" s="226"/>
      <c r="EE84" s="226"/>
      <c r="EF84" s="226"/>
      <c r="EG84" s="226"/>
      <c r="EH84" s="226"/>
      <c r="EI84" s="226"/>
      <c r="EJ84" s="226"/>
      <c r="EK84" s="226"/>
      <c r="EL84" s="226"/>
      <c r="EM84" s="226"/>
      <c r="EN84" s="226"/>
      <c r="EO84" s="226"/>
      <c r="EP84" s="226"/>
    </row>
    <row r="85" spans="1:146" ht="38.25" customHeight="1">
      <c r="A85" s="495"/>
      <c r="B85" s="1753" t="s">
        <v>723</v>
      </c>
      <c r="C85" s="1753"/>
      <c r="D85" s="499"/>
      <c r="E85" s="500">
        <v>58.514400000000009</v>
      </c>
      <c r="F85" s="495"/>
      <c r="G85" s="495"/>
      <c r="H85" s="495"/>
      <c r="I85" s="495"/>
      <c r="J85" s="495"/>
      <c r="AS85" s="226"/>
      <c r="AT85" s="226"/>
      <c r="AU85" s="226"/>
      <c r="AV85" s="226"/>
      <c r="AW85" s="226"/>
      <c r="AX85" s="226"/>
      <c r="AY85" s="226"/>
      <c r="AZ85" s="226"/>
      <c r="BA85" s="226"/>
      <c r="BB85" s="226"/>
      <c r="BC85" s="226"/>
      <c r="BD85" s="226"/>
      <c r="BE85" s="226"/>
      <c r="BF85" s="226"/>
      <c r="BG85" s="226"/>
      <c r="BH85" s="226"/>
      <c r="BI85" s="226"/>
      <c r="BJ85" s="226"/>
      <c r="BK85" s="226"/>
      <c r="BL85" s="226"/>
      <c r="BM85" s="226"/>
      <c r="BN85" s="226"/>
      <c r="BO85" s="226"/>
      <c r="BP85" s="226"/>
      <c r="BQ85" s="226"/>
      <c r="BR85" s="226"/>
      <c r="BS85" s="226"/>
      <c r="BT85" s="226"/>
      <c r="BU85" s="226"/>
      <c r="BV85" s="226"/>
      <c r="BW85" s="226"/>
      <c r="BX85" s="226"/>
      <c r="BY85" s="226"/>
      <c r="BZ85" s="226"/>
      <c r="CA85" s="226"/>
      <c r="CB85" s="226"/>
      <c r="CC85" s="226"/>
      <c r="CD85" s="226"/>
      <c r="CE85" s="226"/>
      <c r="CF85" s="226"/>
      <c r="CG85" s="226"/>
      <c r="CH85" s="226"/>
      <c r="CI85" s="226"/>
      <c r="CJ85" s="226"/>
      <c r="CK85" s="226"/>
      <c r="CL85" s="226"/>
      <c r="CM85" s="226"/>
      <c r="CN85" s="226"/>
      <c r="CO85" s="226"/>
      <c r="CP85" s="226"/>
      <c r="CQ85" s="226"/>
      <c r="CR85" s="226"/>
      <c r="CS85" s="226"/>
      <c r="CT85" s="226"/>
      <c r="CU85" s="226"/>
      <c r="CV85" s="226"/>
      <c r="CW85" s="226"/>
      <c r="CX85" s="226"/>
      <c r="CY85" s="226"/>
      <c r="CZ85" s="226"/>
      <c r="DA85" s="226"/>
      <c r="DB85" s="226"/>
      <c r="DC85" s="226"/>
      <c r="DD85" s="226"/>
      <c r="DE85" s="226"/>
      <c r="DF85" s="226"/>
      <c r="DG85" s="226"/>
      <c r="DH85" s="226"/>
      <c r="DI85" s="226"/>
      <c r="DJ85" s="226"/>
      <c r="DK85" s="226"/>
      <c r="DL85" s="226"/>
      <c r="DM85" s="226"/>
      <c r="DN85" s="226"/>
      <c r="DO85" s="226"/>
      <c r="DP85" s="226"/>
      <c r="DQ85" s="226"/>
      <c r="DR85" s="226"/>
      <c r="DS85" s="226"/>
      <c r="DT85" s="226"/>
      <c r="DU85" s="226"/>
      <c r="DV85" s="226"/>
      <c r="DW85" s="226"/>
      <c r="DX85" s="226"/>
      <c r="DY85" s="226"/>
      <c r="DZ85" s="226"/>
      <c r="EA85" s="226"/>
      <c r="EB85" s="226"/>
      <c r="EC85" s="226"/>
      <c r="ED85" s="226"/>
      <c r="EE85" s="226"/>
      <c r="EF85" s="226"/>
      <c r="EG85" s="226"/>
      <c r="EH85" s="226"/>
      <c r="EI85" s="226"/>
      <c r="EJ85" s="226"/>
      <c r="EK85" s="226"/>
      <c r="EL85" s="226"/>
      <c r="EM85" s="226"/>
      <c r="EN85" s="226"/>
      <c r="EO85" s="226"/>
      <c r="EP85" s="226"/>
    </row>
    <row r="86" spans="1:146" ht="39.75" customHeight="1">
      <c r="A86" s="495"/>
      <c r="B86" s="1753" t="s">
        <v>724</v>
      </c>
      <c r="C86" s="1753"/>
      <c r="D86" s="499"/>
      <c r="E86" s="500">
        <v>45.056226777919491</v>
      </c>
      <c r="F86" s="495"/>
      <c r="G86" s="495"/>
      <c r="H86" s="495"/>
      <c r="I86" s="495"/>
      <c r="J86" s="495"/>
      <c r="AS86" s="226"/>
      <c r="AT86" s="226"/>
      <c r="AU86" s="226"/>
      <c r="AV86" s="226"/>
      <c r="AW86" s="226"/>
      <c r="AX86" s="226"/>
      <c r="AY86" s="226"/>
      <c r="AZ86" s="226"/>
      <c r="BA86" s="226"/>
      <c r="BB86" s="226"/>
      <c r="BC86" s="226"/>
      <c r="BD86" s="226"/>
      <c r="BE86" s="226"/>
      <c r="BF86" s="226"/>
      <c r="BG86" s="226"/>
      <c r="BH86" s="226"/>
      <c r="BI86" s="226"/>
      <c r="BJ86" s="226"/>
      <c r="BK86" s="226"/>
      <c r="BL86" s="226"/>
      <c r="BM86" s="226"/>
      <c r="BN86" s="226"/>
      <c r="BO86" s="226"/>
      <c r="BP86" s="226"/>
      <c r="BQ86" s="226"/>
      <c r="BR86" s="226"/>
      <c r="BS86" s="226"/>
      <c r="BT86" s="226"/>
      <c r="BU86" s="226"/>
      <c r="BV86" s="226"/>
      <c r="BW86" s="226"/>
      <c r="BX86" s="226"/>
      <c r="BY86" s="226"/>
      <c r="BZ86" s="226"/>
      <c r="CA86" s="226"/>
      <c r="CB86" s="226"/>
      <c r="CC86" s="226"/>
      <c r="CD86" s="226"/>
      <c r="CE86" s="226"/>
      <c r="CF86" s="226"/>
      <c r="CG86" s="226"/>
      <c r="CH86" s="226"/>
      <c r="CI86" s="226"/>
      <c r="CJ86" s="226"/>
      <c r="CK86" s="226"/>
      <c r="CL86" s="226"/>
      <c r="CM86" s="226"/>
      <c r="CN86" s="226"/>
      <c r="CO86" s="226"/>
      <c r="CP86" s="226"/>
      <c r="CQ86" s="226"/>
      <c r="CR86" s="226"/>
      <c r="CS86" s="226"/>
      <c r="CT86" s="226"/>
      <c r="CU86" s="226"/>
      <c r="CV86" s="226"/>
      <c r="CW86" s="226"/>
      <c r="CX86" s="226"/>
      <c r="CY86" s="226"/>
      <c r="CZ86" s="226"/>
      <c r="DA86" s="226"/>
      <c r="DB86" s="226"/>
      <c r="DC86" s="226"/>
      <c r="DD86" s="226"/>
      <c r="DE86" s="226"/>
      <c r="DF86" s="226"/>
      <c r="DG86" s="226"/>
      <c r="DH86" s="226"/>
      <c r="DI86" s="226"/>
      <c r="DJ86" s="226"/>
      <c r="DK86" s="226"/>
      <c r="DL86" s="226"/>
      <c r="DM86" s="226"/>
      <c r="DN86" s="226"/>
      <c r="DO86" s="226"/>
      <c r="DP86" s="226"/>
      <c r="DQ86" s="226"/>
      <c r="DR86" s="226"/>
      <c r="DS86" s="226"/>
      <c r="DT86" s="226"/>
      <c r="DU86" s="226"/>
      <c r="DV86" s="226"/>
      <c r="DW86" s="226"/>
      <c r="DX86" s="226"/>
      <c r="DY86" s="226"/>
      <c r="DZ86" s="226"/>
      <c r="EA86" s="226"/>
      <c r="EB86" s="226"/>
      <c r="EC86" s="226"/>
      <c r="ED86" s="226"/>
      <c r="EE86" s="226"/>
      <c r="EF86" s="226"/>
      <c r="EG86" s="226"/>
      <c r="EH86" s="226"/>
      <c r="EI86" s="226"/>
      <c r="EJ86" s="226"/>
      <c r="EK86" s="226"/>
      <c r="EL86" s="226"/>
      <c r="EM86" s="226"/>
      <c r="EN86" s="226"/>
      <c r="EO86" s="226"/>
      <c r="EP86" s="226"/>
    </row>
    <row r="87" spans="1:146" ht="36.75" customHeight="1">
      <c r="A87" s="495"/>
      <c r="B87" s="1753" t="s">
        <v>725</v>
      </c>
      <c r="C87" s="1753"/>
      <c r="D87" s="499"/>
      <c r="E87" s="500">
        <v>16</v>
      </c>
      <c r="F87" s="495"/>
      <c r="G87" s="495"/>
      <c r="H87" s="495"/>
      <c r="I87" s="495"/>
      <c r="J87" s="495"/>
      <c r="AS87" s="226"/>
      <c r="AT87" s="226"/>
      <c r="AU87" s="226"/>
      <c r="AV87" s="226"/>
      <c r="AW87" s="226"/>
      <c r="AX87" s="226"/>
      <c r="AY87" s="226"/>
      <c r="AZ87" s="226"/>
      <c r="BA87" s="226"/>
      <c r="BB87" s="226"/>
      <c r="BC87" s="226"/>
      <c r="BD87" s="226"/>
      <c r="BE87" s="226"/>
      <c r="BF87" s="226"/>
      <c r="BG87" s="226"/>
      <c r="BH87" s="226"/>
      <c r="BI87" s="226"/>
      <c r="BJ87" s="226"/>
      <c r="BK87" s="226"/>
      <c r="BL87" s="226"/>
      <c r="BM87" s="226"/>
      <c r="BN87" s="226"/>
      <c r="BO87" s="226"/>
      <c r="BP87" s="226"/>
      <c r="BQ87" s="226"/>
      <c r="BR87" s="226"/>
      <c r="BS87" s="226"/>
      <c r="BT87" s="226"/>
      <c r="BU87" s="226"/>
      <c r="BV87" s="226"/>
      <c r="BW87" s="226"/>
      <c r="BX87" s="226"/>
      <c r="BY87" s="226"/>
      <c r="BZ87" s="226"/>
      <c r="CA87" s="226"/>
      <c r="CB87" s="226"/>
      <c r="CC87" s="226"/>
      <c r="CD87" s="226"/>
      <c r="CE87" s="226"/>
      <c r="CF87" s="226"/>
      <c r="CG87" s="226"/>
      <c r="CH87" s="226"/>
      <c r="CI87" s="226"/>
      <c r="CJ87" s="226"/>
      <c r="CK87" s="226"/>
      <c r="CL87" s="226"/>
      <c r="CM87" s="226"/>
      <c r="CN87" s="226"/>
      <c r="CO87" s="226"/>
      <c r="CP87" s="226"/>
      <c r="CQ87" s="226"/>
      <c r="CR87" s="226"/>
      <c r="CS87" s="226"/>
      <c r="CT87" s="226"/>
      <c r="CU87" s="226"/>
      <c r="CV87" s="226"/>
      <c r="CW87" s="226"/>
      <c r="CX87" s="226"/>
      <c r="CY87" s="226"/>
      <c r="CZ87" s="226"/>
      <c r="DA87" s="226"/>
      <c r="DB87" s="226"/>
      <c r="DC87" s="226"/>
      <c r="DD87" s="226"/>
      <c r="DE87" s="226"/>
      <c r="DF87" s="226"/>
      <c r="DG87" s="226"/>
      <c r="DH87" s="226"/>
      <c r="DI87" s="226"/>
      <c r="DJ87" s="226"/>
      <c r="DK87" s="226"/>
      <c r="DL87" s="226"/>
      <c r="DM87" s="226"/>
      <c r="DN87" s="226"/>
      <c r="DO87" s="226"/>
      <c r="DP87" s="226"/>
      <c r="DQ87" s="226"/>
      <c r="DR87" s="226"/>
      <c r="DS87" s="226"/>
      <c r="DT87" s="226"/>
      <c r="DU87" s="226"/>
      <c r="DV87" s="226"/>
      <c r="DW87" s="226"/>
      <c r="DX87" s="226"/>
      <c r="DY87" s="226"/>
      <c r="DZ87" s="226"/>
      <c r="EA87" s="226"/>
      <c r="EB87" s="226"/>
      <c r="EC87" s="226"/>
      <c r="ED87" s="226"/>
      <c r="EE87" s="226"/>
      <c r="EF87" s="226"/>
      <c r="EG87" s="226"/>
      <c r="EH87" s="226"/>
      <c r="EI87" s="226"/>
      <c r="EJ87" s="226"/>
      <c r="EK87" s="226"/>
      <c r="EL87" s="226"/>
      <c r="EM87" s="226"/>
      <c r="EN87" s="226"/>
      <c r="EO87" s="226"/>
      <c r="EP87" s="226"/>
    </row>
    <row r="88" spans="1:146" ht="47.25" customHeight="1">
      <c r="A88" s="244"/>
      <c r="B88" s="1753" t="s">
        <v>726</v>
      </c>
      <c r="C88" s="1753"/>
      <c r="D88" s="499"/>
      <c r="E88" s="500">
        <v>39.626541666666661</v>
      </c>
      <c r="F88" s="244"/>
      <c r="G88" s="244"/>
      <c r="H88" s="244"/>
      <c r="I88" s="244"/>
      <c r="J88" s="244"/>
      <c r="AS88" s="226"/>
      <c r="AT88" s="226"/>
      <c r="AU88" s="226"/>
      <c r="AV88" s="226"/>
      <c r="AW88" s="226"/>
      <c r="AX88" s="226"/>
      <c r="AY88" s="226"/>
      <c r="AZ88" s="226"/>
      <c r="BA88" s="226"/>
      <c r="BB88" s="226"/>
      <c r="BC88" s="226"/>
      <c r="BD88" s="226"/>
      <c r="BE88" s="226"/>
      <c r="BF88" s="226"/>
      <c r="BG88" s="226"/>
      <c r="BH88" s="226"/>
      <c r="BI88" s="226"/>
      <c r="BJ88" s="226"/>
      <c r="BK88" s="226"/>
      <c r="BL88" s="226"/>
      <c r="BM88" s="226"/>
      <c r="BN88" s="226"/>
      <c r="BO88" s="226"/>
      <c r="BP88" s="226"/>
      <c r="BQ88" s="226"/>
      <c r="BR88" s="226"/>
      <c r="BS88" s="226"/>
      <c r="BT88" s="226"/>
      <c r="BU88" s="226"/>
      <c r="BV88" s="226"/>
      <c r="BW88" s="226"/>
      <c r="BX88" s="226"/>
      <c r="BY88" s="226"/>
      <c r="BZ88" s="226"/>
      <c r="CA88" s="226"/>
      <c r="CB88" s="226"/>
      <c r="CC88" s="226"/>
      <c r="CD88" s="226"/>
      <c r="CE88" s="226"/>
      <c r="CF88" s="226"/>
      <c r="CG88" s="226"/>
      <c r="CH88" s="226"/>
      <c r="CI88" s="226"/>
      <c r="CJ88" s="226"/>
      <c r="CK88" s="226"/>
      <c r="CL88" s="226"/>
      <c r="CM88" s="226"/>
      <c r="CN88" s="226"/>
      <c r="CO88" s="226"/>
      <c r="CP88" s="226"/>
      <c r="CQ88" s="226"/>
      <c r="CR88" s="226"/>
      <c r="CS88" s="226"/>
      <c r="CT88" s="226"/>
      <c r="CU88" s="226"/>
      <c r="CV88" s="226"/>
      <c r="CW88" s="226"/>
      <c r="CX88" s="226"/>
      <c r="CY88" s="226"/>
      <c r="CZ88" s="226"/>
      <c r="DA88" s="226"/>
      <c r="DB88" s="226"/>
      <c r="DC88" s="226"/>
      <c r="DD88" s="226"/>
      <c r="DE88" s="226"/>
      <c r="DF88" s="226"/>
      <c r="DG88" s="226"/>
      <c r="DH88" s="226"/>
      <c r="DI88" s="226"/>
      <c r="DJ88" s="226"/>
      <c r="DK88" s="226"/>
      <c r="DL88" s="226"/>
      <c r="DM88" s="226"/>
      <c r="DN88" s="226"/>
      <c r="DO88" s="226"/>
      <c r="DP88" s="226"/>
      <c r="DQ88" s="226"/>
      <c r="DR88" s="226"/>
      <c r="DS88" s="226"/>
      <c r="DT88" s="226"/>
      <c r="DU88" s="226"/>
      <c r="DV88" s="226"/>
      <c r="DW88" s="226"/>
      <c r="DX88" s="226"/>
      <c r="DY88" s="226"/>
      <c r="DZ88" s="226"/>
      <c r="EA88" s="226"/>
      <c r="EB88" s="226"/>
      <c r="EC88" s="226"/>
      <c r="ED88" s="226"/>
      <c r="EE88" s="226"/>
      <c r="EF88" s="226"/>
      <c r="EG88" s="226"/>
      <c r="EH88" s="226"/>
      <c r="EI88" s="226"/>
      <c r="EJ88" s="226"/>
      <c r="EK88" s="226"/>
      <c r="EL88" s="226"/>
      <c r="EM88" s="226"/>
      <c r="EN88" s="226"/>
      <c r="EO88" s="226"/>
      <c r="EP88" s="226"/>
    </row>
    <row r="89" spans="1:146" ht="35.25" customHeight="1">
      <c r="A89" s="244"/>
      <c r="B89" s="1753" t="s">
        <v>727</v>
      </c>
      <c r="C89" s="1753"/>
      <c r="D89" s="499"/>
      <c r="E89" s="500" t="e">
        <f>(#REF!+#REF!+#REF!+#REF!+#REF!+#REF!)/100</f>
        <v>#REF!</v>
      </c>
      <c r="F89" s="244"/>
      <c r="G89" s="244"/>
      <c r="H89" s="244"/>
      <c r="I89" s="244"/>
      <c r="J89" s="244"/>
      <c r="AS89" s="226"/>
      <c r="AT89" s="226"/>
      <c r="AU89" s="226"/>
      <c r="AV89" s="226"/>
      <c r="AW89" s="226"/>
      <c r="AX89" s="226"/>
      <c r="AY89" s="226"/>
      <c r="AZ89" s="226"/>
      <c r="BA89" s="226"/>
      <c r="BB89" s="226"/>
      <c r="BC89" s="226"/>
      <c r="BD89" s="226"/>
      <c r="BE89" s="226"/>
      <c r="BF89" s="226"/>
      <c r="BG89" s="226"/>
      <c r="BH89" s="226"/>
      <c r="BI89" s="226"/>
      <c r="BJ89" s="226"/>
      <c r="BK89" s="226"/>
      <c r="BL89" s="226"/>
      <c r="BM89" s="226"/>
      <c r="BN89" s="226"/>
      <c r="BO89" s="226"/>
      <c r="BP89" s="226"/>
      <c r="BQ89" s="226"/>
      <c r="BR89" s="226"/>
      <c r="BS89" s="226"/>
      <c r="BT89" s="226"/>
      <c r="BU89" s="226"/>
      <c r="BV89" s="226"/>
      <c r="BW89" s="226"/>
      <c r="BX89" s="226"/>
      <c r="BY89" s="226"/>
      <c r="BZ89" s="226"/>
      <c r="CA89" s="226"/>
      <c r="CB89" s="226"/>
      <c r="CC89" s="226"/>
      <c r="CD89" s="226"/>
      <c r="CE89" s="226"/>
      <c r="CF89" s="226"/>
      <c r="CG89" s="226"/>
      <c r="CH89" s="226"/>
      <c r="CI89" s="226"/>
      <c r="CJ89" s="226"/>
      <c r="CK89" s="226"/>
      <c r="CL89" s="226"/>
      <c r="CM89" s="226"/>
      <c r="CN89" s="226"/>
      <c r="CO89" s="226"/>
      <c r="CP89" s="226"/>
      <c r="CQ89" s="226"/>
      <c r="CR89" s="226"/>
      <c r="CS89" s="226"/>
      <c r="CT89" s="226"/>
      <c r="CU89" s="226"/>
      <c r="CV89" s="226"/>
      <c r="CW89" s="226"/>
      <c r="CX89" s="226"/>
      <c r="CY89" s="226"/>
      <c r="CZ89" s="226"/>
      <c r="DA89" s="226"/>
      <c r="DB89" s="226"/>
      <c r="DC89" s="226"/>
      <c r="DD89" s="226"/>
      <c r="DE89" s="226"/>
      <c r="DF89" s="226"/>
      <c r="DG89" s="226"/>
      <c r="DH89" s="226"/>
      <c r="DI89" s="226"/>
      <c r="DJ89" s="226"/>
      <c r="DK89" s="226"/>
      <c r="DL89" s="226"/>
      <c r="DM89" s="226"/>
      <c r="DN89" s="226"/>
      <c r="DO89" s="226"/>
      <c r="DP89" s="226"/>
      <c r="DQ89" s="226"/>
      <c r="DR89" s="226"/>
      <c r="DS89" s="226"/>
      <c r="DT89" s="226"/>
      <c r="DU89" s="226"/>
      <c r="DV89" s="226"/>
      <c r="DW89" s="226"/>
      <c r="DX89" s="226"/>
      <c r="DY89" s="226"/>
      <c r="DZ89" s="226"/>
      <c r="EA89" s="226"/>
      <c r="EB89" s="226"/>
      <c r="EC89" s="226"/>
      <c r="ED89" s="226"/>
      <c r="EE89" s="226"/>
      <c r="EF89" s="226"/>
      <c r="EG89" s="226"/>
      <c r="EH89" s="226"/>
      <c r="EI89" s="226"/>
      <c r="EJ89" s="226"/>
      <c r="EK89" s="226"/>
      <c r="EL89" s="226"/>
      <c r="EM89" s="226"/>
      <c r="EN89" s="226"/>
      <c r="EO89" s="226"/>
      <c r="EP89" s="226"/>
    </row>
    <row r="90" spans="1:146" ht="15.6">
      <c r="A90" s="244"/>
      <c r="B90" s="499"/>
      <c r="C90" s="499"/>
      <c r="D90" s="502" t="s">
        <v>72</v>
      </c>
      <c r="E90" s="498" t="e">
        <f>SUM(E79:E89)</f>
        <v>#REF!</v>
      </c>
      <c r="F90" s="244"/>
      <c r="G90" s="244"/>
      <c r="H90" s="244"/>
      <c r="I90" s="244"/>
      <c r="J90" s="244"/>
      <c r="AS90" s="226"/>
      <c r="AT90" s="226"/>
      <c r="AU90" s="226"/>
      <c r="AV90" s="226"/>
      <c r="AW90" s="226"/>
      <c r="AX90" s="226"/>
      <c r="AY90" s="226"/>
      <c r="AZ90" s="226"/>
      <c r="BA90" s="226"/>
      <c r="BB90" s="226"/>
      <c r="BC90" s="226"/>
      <c r="BD90" s="226"/>
      <c r="BE90" s="226"/>
      <c r="BF90" s="226"/>
      <c r="BG90" s="226"/>
      <c r="BH90" s="226"/>
      <c r="BI90" s="226"/>
      <c r="BJ90" s="226"/>
      <c r="BK90" s="226"/>
      <c r="BL90" s="226"/>
      <c r="BM90" s="226"/>
      <c r="BN90" s="226"/>
      <c r="BO90" s="226"/>
      <c r="BP90" s="226"/>
      <c r="BQ90" s="226"/>
      <c r="BR90" s="226"/>
      <c r="BS90" s="226"/>
      <c r="BT90" s="226"/>
      <c r="BU90" s="226"/>
      <c r="BV90" s="226"/>
      <c r="BW90" s="226"/>
      <c r="BX90" s="226"/>
      <c r="BY90" s="226"/>
      <c r="BZ90" s="226"/>
      <c r="CA90" s="226"/>
      <c r="CB90" s="226"/>
      <c r="CC90" s="226"/>
      <c r="CD90" s="226"/>
      <c r="CE90" s="226"/>
      <c r="CF90" s="226"/>
      <c r="CG90" s="226"/>
      <c r="CH90" s="226"/>
      <c r="CI90" s="226"/>
      <c r="CJ90" s="226"/>
      <c r="CK90" s="226"/>
      <c r="CL90" s="226"/>
      <c r="CM90" s="226"/>
      <c r="CN90" s="226"/>
      <c r="CO90" s="226"/>
      <c r="CP90" s="226"/>
      <c r="CQ90" s="226"/>
      <c r="CR90" s="226"/>
      <c r="CS90" s="226"/>
      <c r="CT90" s="226"/>
      <c r="CU90" s="226"/>
      <c r="CV90" s="226"/>
      <c r="CW90" s="226"/>
      <c r="CX90" s="226"/>
      <c r="CY90" s="226"/>
      <c r="CZ90" s="226"/>
      <c r="DA90" s="226"/>
      <c r="DB90" s="226"/>
      <c r="DC90" s="226"/>
      <c r="DD90" s="226"/>
      <c r="DE90" s="226"/>
      <c r="DF90" s="226"/>
      <c r="DG90" s="226"/>
      <c r="DH90" s="226"/>
      <c r="DI90" s="226"/>
      <c r="DJ90" s="226"/>
      <c r="DK90" s="226"/>
      <c r="DL90" s="226"/>
      <c r="DM90" s="226"/>
      <c r="DN90" s="226"/>
      <c r="DO90" s="226"/>
      <c r="DP90" s="226"/>
      <c r="DQ90" s="226"/>
      <c r="DR90" s="226"/>
      <c r="DS90" s="226"/>
      <c r="DT90" s="226"/>
      <c r="DU90" s="226"/>
      <c r="DV90" s="226"/>
      <c r="DW90" s="226"/>
      <c r="DX90" s="226"/>
      <c r="DY90" s="226"/>
      <c r="DZ90" s="226"/>
      <c r="EA90" s="226"/>
      <c r="EB90" s="226"/>
      <c r="EC90" s="226"/>
      <c r="ED90" s="226"/>
      <c r="EE90" s="226"/>
      <c r="EF90" s="226"/>
      <c r="EG90" s="226"/>
      <c r="EH90" s="226"/>
      <c r="EI90" s="226"/>
      <c r="EJ90" s="226"/>
      <c r="EK90" s="226"/>
      <c r="EL90" s="226"/>
      <c r="EM90" s="226"/>
      <c r="EN90" s="226"/>
      <c r="EO90" s="226"/>
      <c r="EP90" s="226"/>
    </row>
    <row r="91" spans="1:146">
      <c r="A91" s="244"/>
      <c r="B91" s="244"/>
      <c r="C91" s="244"/>
      <c r="D91" s="244"/>
      <c r="E91" s="244"/>
      <c r="F91" s="244"/>
      <c r="G91" s="244"/>
      <c r="H91" s="244"/>
      <c r="I91" s="244"/>
      <c r="J91" s="244"/>
      <c r="AS91" s="226"/>
      <c r="AT91" s="226"/>
      <c r="AU91" s="226"/>
      <c r="AV91" s="226"/>
      <c r="AW91" s="226"/>
      <c r="AX91" s="226"/>
      <c r="AY91" s="226"/>
      <c r="AZ91" s="226"/>
      <c r="BA91" s="226"/>
      <c r="BB91" s="226"/>
      <c r="BC91" s="226"/>
      <c r="BD91" s="226"/>
      <c r="BE91" s="226"/>
      <c r="BF91" s="226"/>
      <c r="BG91" s="226"/>
      <c r="BH91" s="226"/>
      <c r="BI91" s="226"/>
      <c r="BJ91" s="226"/>
      <c r="BK91" s="226"/>
      <c r="BL91" s="226"/>
      <c r="BM91" s="226"/>
      <c r="BN91" s="226"/>
      <c r="BO91" s="226"/>
      <c r="BP91" s="226"/>
      <c r="BQ91" s="226"/>
      <c r="BR91" s="226"/>
      <c r="BS91" s="226"/>
      <c r="BT91" s="226"/>
      <c r="BU91" s="226"/>
      <c r="BV91" s="226"/>
      <c r="BW91" s="226"/>
      <c r="BX91" s="226"/>
      <c r="BY91" s="226"/>
      <c r="BZ91" s="226"/>
      <c r="CA91" s="226"/>
      <c r="CB91" s="226"/>
      <c r="CC91" s="226"/>
      <c r="CD91" s="226"/>
      <c r="CE91" s="226"/>
      <c r="CF91" s="226"/>
      <c r="CG91" s="226"/>
      <c r="CH91" s="226"/>
      <c r="CI91" s="226"/>
      <c r="CJ91" s="226"/>
      <c r="CK91" s="226"/>
      <c r="CL91" s="226"/>
      <c r="CM91" s="226"/>
      <c r="CN91" s="226"/>
      <c r="CO91" s="226"/>
      <c r="CP91" s="226"/>
      <c r="CQ91" s="226"/>
      <c r="CR91" s="226"/>
      <c r="CS91" s="226"/>
      <c r="CT91" s="226"/>
      <c r="CU91" s="226"/>
      <c r="CV91" s="226"/>
      <c r="CW91" s="226"/>
      <c r="CX91" s="226"/>
      <c r="CY91" s="226"/>
      <c r="CZ91" s="226"/>
      <c r="DA91" s="226"/>
      <c r="DB91" s="226"/>
      <c r="DC91" s="226"/>
      <c r="DD91" s="226"/>
      <c r="DE91" s="226"/>
      <c r="DF91" s="226"/>
      <c r="DG91" s="226"/>
      <c r="DH91" s="226"/>
      <c r="DI91" s="226"/>
      <c r="DJ91" s="226"/>
      <c r="DK91" s="226"/>
      <c r="DL91" s="226"/>
      <c r="DM91" s="226"/>
      <c r="DN91" s="226"/>
      <c r="DO91" s="226"/>
      <c r="DP91" s="226"/>
      <c r="DQ91" s="226"/>
      <c r="DR91" s="226"/>
      <c r="DS91" s="226"/>
      <c r="DT91" s="226"/>
      <c r="DU91" s="226"/>
      <c r="DV91" s="226"/>
      <c r="DW91" s="226"/>
      <c r="DX91" s="226"/>
      <c r="DY91" s="226"/>
      <c r="DZ91" s="226"/>
      <c r="EA91" s="226"/>
      <c r="EB91" s="226"/>
      <c r="EC91" s="226"/>
      <c r="ED91" s="226"/>
      <c r="EE91" s="226"/>
      <c r="EF91" s="226"/>
      <c r="EG91" s="226"/>
      <c r="EH91" s="226"/>
      <c r="EI91" s="226"/>
      <c r="EJ91" s="226"/>
      <c r="EK91" s="226"/>
      <c r="EL91" s="226"/>
      <c r="EM91" s="226"/>
      <c r="EN91" s="226"/>
      <c r="EO91" s="226"/>
      <c r="EP91" s="226"/>
    </row>
    <row r="92" spans="1:146" ht="15.6">
      <c r="A92" s="244"/>
      <c r="B92" s="498" t="s">
        <v>728</v>
      </c>
      <c r="C92" s="498"/>
      <c r="D92" s="498"/>
      <c r="E92" s="498" t="e">
        <f>#REF!</f>
        <v>#REF!</v>
      </c>
      <c r="F92" s="244"/>
      <c r="G92" s="244"/>
      <c r="H92" s="244"/>
      <c r="I92" s="244"/>
      <c r="J92" s="244"/>
      <c r="AS92" s="226"/>
      <c r="AT92" s="226"/>
      <c r="AU92" s="226"/>
      <c r="AV92" s="226"/>
      <c r="AW92" s="226"/>
      <c r="AX92" s="226"/>
      <c r="AY92" s="226"/>
      <c r="AZ92" s="226"/>
      <c r="BA92" s="226"/>
      <c r="BB92" s="226"/>
      <c r="BC92" s="226"/>
      <c r="BD92" s="226"/>
      <c r="BE92" s="226"/>
      <c r="BF92" s="226"/>
      <c r="BG92" s="226"/>
      <c r="BH92" s="226"/>
      <c r="BI92" s="226"/>
      <c r="BJ92" s="226"/>
      <c r="BK92" s="226"/>
      <c r="BL92" s="226"/>
      <c r="BM92" s="226"/>
      <c r="BN92" s="226"/>
      <c r="BO92" s="226"/>
      <c r="BP92" s="226"/>
      <c r="BQ92" s="226"/>
      <c r="BR92" s="226"/>
      <c r="BS92" s="226"/>
      <c r="BT92" s="226"/>
      <c r="BU92" s="226"/>
      <c r="BV92" s="226"/>
      <c r="BW92" s="226"/>
      <c r="BX92" s="226"/>
      <c r="BY92" s="226"/>
      <c r="BZ92" s="226"/>
      <c r="CA92" s="226"/>
      <c r="CB92" s="226"/>
      <c r="CC92" s="226"/>
      <c r="CD92" s="226"/>
      <c r="CE92" s="226"/>
      <c r="CF92" s="226"/>
      <c r="CG92" s="226"/>
      <c r="CH92" s="226"/>
      <c r="CI92" s="226"/>
      <c r="CJ92" s="226"/>
      <c r="CK92" s="226"/>
      <c r="CL92" s="226"/>
      <c r="CM92" s="226"/>
      <c r="CN92" s="226"/>
      <c r="CO92" s="226"/>
      <c r="CP92" s="226"/>
      <c r="CQ92" s="226"/>
      <c r="CR92" s="226"/>
      <c r="CS92" s="226"/>
      <c r="CT92" s="226"/>
      <c r="CU92" s="226"/>
      <c r="CV92" s="226"/>
      <c r="CW92" s="226"/>
      <c r="CX92" s="226"/>
      <c r="CY92" s="226"/>
      <c r="CZ92" s="226"/>
      <c r="DA92" s="226"/>
      <c r="DB92" s="226"/>
      <c r="DC92" s="226"/>
      <c r="DD92" s="226"/>
      <c r="DE92" s="226"/>
      <c r="DF92" s="226"/>
      <c r="DG92" s="226"/>
      <c r="DH92" s="226"/>
      <c r="DI92" s="226"/>
      <c r="DJ92" s="226"/>
      <c r="DK92" s="226"/>
      <c r="DL92" s="226"/>
      <c r="DM92" s="226"/>
      <c r="DN92" s="226"/>
      <c r="DO92" s="226"/>
      <c r="DP92" s="226"/>
      <c r="DQ92" s="226"/>
      <c r="DR92" s="226"/>
      <c r="DS92" s="226"/>
      <c r="DT92" s="226"/>
      <c r="DU92" s="226"/>
      <c r="DV92" s="226"/>
      <c r="DW92" s="226"/>
      <c r="DX92" s="226"/>
      <c r="DY92" s="226"/>
      <c r="DZ92" s="226"/>
      <c r="EA92" s="226"/>
      <c r="EB92" s="226"/>
      <c r="EC92" s="226"/>
      <c r="ED92" s="226"/>
      <c r="EE92" s="226"/>
      <c r="EF92" s="226"/>
      <c r="EG92" s="226"/>
      <c r="EH92" s="226"/>
      <c r="EI92" s="226"/>
      <c r="EJ92" s="226"/>
      <c r="EK92" s="226"/>
      <c r="EL92" s="226"/>
      <c r="EM92" s="226"/>
      <c r="EN92" s="226"/>
      <c r="EO92" s="226"/>
      <c r="EP92" s="226"/>
    </row>
    <row r="93" spans="1:146">
      <c r="A93" s="244"/>
      <c r="B93" s="244"/>
      <c r="C93" s="244"/>
      <c r="D93" s="244"/>
      <c r="E93" s="244"/>
      <c r="F93" s="244"/>
      <c r="G93" s="244"/>
      <c r="H93" s="244"/>
      <c r="I93" s="244"/>
      <c r="J93" s="244"/>
      <c r="AS93" s="226"/>
      <c r="AT93" s="226"/>
      <c r="AU93" s="226"/>
      <c r="AV93" s="226"/>
      <c r="AW93" s="226"/>
      <c r="AX93" s="226"/>
      <c r="AY93" s="226"/>
      <c r="AZ93" s="226"/>
      <c r="BA93" s="226"/>
      <c r="BB93" s="226"/>
      <c r="BC93" s="226"/>
      <c r="BD93" s="226"/>
      <c r="BE93" s="226"/>
      <c r="BF93" s="226"/>
      <c r="BG93" s="226"/>
      <c r="BH93" s="226"/>
      <c r="BI93" s="226"/>
      <c r="BJ93" s="226"/>
      <c r="BK93" s="226"/>
      <c r="BL93" s="226"/>
      <c r="BM93" s="226"/>
      <c r="BN93" s="226"/>
      <c r="BO93" s="226"/>
      <c r="BP93" s="226"/>
      <c r="BQ93" s="226"/>
      <c r="BR93" s="226"/>
      <c r="BS93" s="226"/>
      <c r="BT93" s="226"/>
      <c r="BU93" s="226"/>
      <c r="BV93" s="226"/>
      <c r="BW93" s="226"/>
      <c r="BX93" s="226"/>
      <c r="BY93" s="226"/>
      <c r="BZ93" s="226"/>
      <c r="CA93" s="226"/>
      <c r="CB93" s="226"/>
      <c r="CC93" s="226"/>
      <c r="CD93" s="226"/>
      <c r="CE93" s="226"/>
      <c r="CF93" s="226"/>
      <c r="CG93" s="226"/>
      <c r="CH93" s="226"/>
      <c r="CI93" s="226"/>
      <c r="CJ93" s="226"/>
      <c r="CK93" s="226"/>
      <c r="CL93" s="226"/>
      <c r="CM93" s="226"/>
      <c r="CN93" s="226"/>
      <c r="CO93" s="226"/>
      <c r="CP93" s="226"/>
      <c r="CQ93" s="226"/>
      <c r="CR93" s="226"/>
      <c r="CS93" s="226"/>
      <c r="CT93" s="226"/>
      <c r="CU93" s="226"/>
      <c r="CV93" s="226"/>
      <c r="CW93" s="226"/>
      <c r="CX93" s="226"/>
      <c r="CY93" s="226"/>
      <c r="CZ93" s="226"/>
      <c r="DA93" s="226"/>
      <c r="DB93" s="226"/>
      <c r="DC93" s="226"/>
      <c r="DD93" s="226"/>
      <c r="DE93" s="226"/>
      <c r="DF93" s="226"/>
      <c r="DG93" s="226"/>
      <c r="DH93" s="226"/>
      <c r="DI93" s="226"/>
      <c r="DJ93" s="226"/>
      <c r="DK93" s="226"/>
      <c r="DL93" s="226"/>
      <c r="DM93" s="226"/>
      <c r="DN93" s="226"/>
      <c r="DO93" s="226"/>
      <c r="DP93" s="226"/>
      <c r="DQ93" s="226"/>
      <c r="DR93" s="226"/>
      <c r="DS93" s="226"/>
      <c r="DT93" s="226"/>
      <c r="DU93" s="226"/>
      <c r="DV93" s="226"/>
      <c r="DW93" s="226"/>
      <c r="DX93" s="226"/>
      <c r="DY93" s="226"/>
      <c r="DZ93" s="226"/>
      <c r="EA93" s="226"/>
      <c r="EB93" s="226"/>
      <c r="EC93" s="226"/>
      <c r="ED93" s="226"/>
      <c r="EE93" s="226"/>
      <c r="EF93" s="226"/>
      <c r="EG93" s="226"/>
      <c r="EH93" s="226"/>
      <c r="EI93" s="226"/>
      <c r="EJ93" s="226"/>
      <c r="EK93" s="226"/>
      <c r="EL93" s="226"/>
      <c r="EM93" s="226"/>
      <c r="EN93" s="226"/>
      <c r="EO93" s="226"/>
      <c r="EP93" s="226"/>
    </row>
    <row r="94" spans="1:146">
      <c r="AS94" s="226"/>
      <c r="AT94" s="226"/>
      <c r="AU94" s="226"/>
      <c r="AV94" s="226"/>
      <c r="AW94" s="226"/>
      <c r="AX94" s="226"/>
      <c r="AY94" s="226"/>
      <c r="AZ94" s="226"/>
      <c r="BA94" s="226"/>
      <c r="BB94" s="226"/>
      <c r="BC94" s="226"/>
      <c r="BD94" s="226"/>
      <c r="BE94" s="226"/>
      <c r="BF94" s="226"/>
      <c r="BG94" s="226"/>
      <c r="BH94" s="226"/>
      <c r="BI94" s="226"/>
      <c r="BJ94" s="226"/>
      <c r="BK94" s="226"/>
      <c r="BL94" s="226"/>
      <c r="BM94" s="226"/>
      <c r="BN94" s="226"/>
      <c r="BO94" s="226"/>
      <c r="BP94" s="226"/>
      <c r="BQ94" s="226"/>
      <c r="BR94" s="226"/>
      <c r="BS94" s="226"/>
      <c r="BT94" s="226"/>
      <c r="BU94" s="226"/>
      <c r="BV94" s="226"/>
      <c r="BW94" s="226"/>
      <c r="BX94" s="226"/>
      <c r="BY94" s="226"/>
      <c r="BZ94" s="226"/>
      <c r="CA94" s="226"/>
      <c r="CB94" s="226"/>
      <c r="CC94" s="226"/>
      <c r="CD94" s="226"/>
      <c r="CE94" s="226"/>
      <c r="CF94" s="226"/>
      <c r="CG94" s="226"/>
      <c r="CH94" s="226"/>
      <c r="CI94" s="226"/>
      <c r="CJ94" s="226"/>
      <c r="CK94" s="226"/>
      <c r="CL94" s="226"/>
      <c r="CM94" s="226"/>
      <c r="CN94" s="226"/>
      <c r="CO94" s="226"/>
      <c r="CP94" s="226"/>
      <c r="CQ94" s="226"/>
      <c r="CR94" s="226"/>
      <c r="CS94" s="226"/>
      <c r="CT94" s="226"/>
      <c r="CU94" s="226"/>
      <c r="CV94" s="226"/>
      <c r="CW94" s="226"/>
      <c r="CX94" s="226"/>
      <c r="CY94" s="226"/>
      <c r="CZ94" s="226"/>
      <c r="DA94" s="226"/>
      <c r="DB94" s="226"/>
      <c r="DC94" s="226"/>
      <c r="DD94" s="226"/>
      <c r="DE94" s="226"/>
      <c r="DF94" s="226"/>
      <c r="DG94" s="226"/>
      <c r="DH94" s="226"/>
      <c r="DI94" s="226"/>
      <c r="DJ94" s="226"/>
      <c r="DK94" s="226"/>
      <c r="DL94" s="226"/>
      <c r="DM94" s="226"/>
      <c r="DN94" s="226"/>
      <c r="DO94" s="226"/>
      <c r="DP94" s="226"/>
      <c r="DQ94" s="226"/>
      <c r="DR94" s="226"/>
      <c r="DS94" s="226"/>
      <c r="DT94" s="226"/>
      <c r="DU94" s="226"/>
      <c r="DV94" s="226"/>
      <c r="DW94" s="226"/>
      <c r="DX94" s="226"/>
      <c r="DY94" s="226"/>
      <c r="DZ94" s="226"/>
      <c r="EA94" s="226"/>
      <c r="EB94" s="226"/>
      <c r="EC94" s="226"/>
      <c r="ED94" s="226"/>
      <c r="EE94" s="226"/>
      <c r="EF94" s="226"/>
      <c r="EG94" s="226"/>
      <c r="EH94" s="226"/>
      <c r="EI94" s="226"/>
      <c r="EJ94" s="226"/>
      <c r="EK94" s="226"/>
      <c r="EL94" s="226"/>
      <c r="EM94" s="226"/>
      <c r="EN94" s="226"/>
      <c r="EO94" s="226"/>
      <c r="EP94" s="226"/>
    </row>
    <row r="95" spans="1:146">
      <c r="AS95" s="226"/>
      <c r="AT95" s="226"/>
      <c r="AU95" s="226"/>
      <c r="AV95" s="226"/>
      <c r="AW95" s="226"/>
      <c r="AX95" s="226"/>
      <c r="AY95" s="226"/>
      <c r="AZ95" s="226"/>
      <c r="BA95" s="226"/>
      <c r="BB95" s="226"/>
      <c r="BC95" s="226"/>
      <c r="BD95" s="226"/>
      <c r="BE95" s="226"/>
      <c r="BF95" s="226"/>
      <c r="BG95" s="226"/>
      <c r="BH95" s="226"/>
      <c r="BI95" s="226"/>
      <c r="BJ95" s="226"/>
      <c r="BK95" s="226"/>
      <c r="BL95" s="226"/>
      <c r="BM95" s="226"/>
      <c r="BN95" s="226"/>
      <c r="BO95" s="226"/>
      <c r="BP95" s="226"/>
      <c r="BQ95" s="226"/>
      <c r="BR95" s="226"/>
      <c r="BS95" s="226"/>
      <c r="BT95" s="226"/>
      <c r="BU95" s="226"/>
      <c r="BV95" s="226"/>
      <c r="BW95" s="226"/>
      <c r="BX95" s="226"/>
      <c r="BY95" s="226"/>
      <c r="BZ95" s="226"/>
      <c r="CA95" s="226"/>
      <c r="CB95" s="226"/>
      <c r="CC95" s="226"/>
      <c r="CD95" s="226"/>
      <c r="CE95" s="226"/>
      <c r="CF95" s="226"/>
      <c r="CG95" s="226"/>
      <c r="CH95" s="226"/>
      <c r="CI95" s="226"/>
      <c r="CJ95" s="226"/>
      <c r="CK95" s="226"/>
      <c r="CL95" s="226"/>
      <c r="CM95" s="226"/>
      <c r="CN95" s="226"/>
      <c r="CO95" s="226"/>
      <c r="CP95" s="226"/>
      <c r="CQ95" s="226"/>
      <c r="CR95" s="226"/>
      <c r="CS95" s="226"/>
      <c r="CT95" s="226"/>
      <c r="CU95" s="226"/>
      <c r="CV95" s="226"/>
      <c r="CW95" s="226"/>
      <c r="CX95" s="226"/>
      <c r="CY95" s="226"/>
      <c r="CZ95" s="226"/>
      <c r="DA95" s="226"/>
      <c r="DB95" s="226"/>
      <c r="DC95" s="226"/>
      <c r="DD95" s="226"/>
      <c r="DE95" s="226"/>
      <c r="DF95" s="226"/>
      <c r="DG95" s="226"/>
      <c r="DH95" s="226"/>
      <c r="DI95" s="226"/>
      <c r="DJ95" s="226"/>
      <c r="DK95" s="226"/>
      <c r="DL95" s="226"/>
      <c r="DM95" s="226"/>
      <c r="DN95" s="226"/>
      <c r="DO95" s="226"/>
      <c r="DP95" s="226"/>
      <c r="DQ95" s="226"/>
      <c r="DR95" s="226"/>
      <c r="DS95" s="226"/>
      <c r="DT95" s="226"/>
      <c r="DU95" s="226"/>
      <c r="DV95" s="226"/>
      <c r="DW95" s="226"/>
      <c r="DX95" s="226"/>
      <c r="DY95" s="226"/>
      <c r="DZ95" s="226"/>
      <c r="EA95" s="226"/>
      <c r="EB95" s="226"/>
      <c r="EC95" s="226"/>
      <c r="ED95" s="226"/>
      <c r="EE95" s="226"/>
      <c r="EF95" s="226"/>
      <c r="EG95" s="226"/>
      <c r="EH95" s="226"/>
      <c r="EI95" s="226"/>
      <c r="EJ95" s="226"/>
      <c r="EK95" s="226"/>
      <c r="EL95" s="226"/>
      <c r="EM95" s="226"/>
      <c r="EN95" s="226"/>
      <c r="EO95" s="226"/>
      <c r="EP95" s="226"/>
    </row>
    <row r="96" spans="1:146">
      <c r="AS96" s="226"/>
      <c r="AT96" s="226"/>
      <c r="AU96" s="226"/>
      <c r="AV96" s="226"/>
      <c r="AW96" s="226"/>
      <c r="AX96" s="226"/>
      <c r="AY96" s="226"/>
      <c r="AZ96" s="226"/>
      <c r="BA96" s="226"/>
      <c r="BB96" s="226"/>
      <c r="BC96" s="226"/>
      <c r="BD96" s="226"/>
      <c r="BE96" s="226"/>
      <c r="BF96" s="226"/>
      <c r="BG96" s="226"/>
      <c r="BH96" s="226"/>
      <c r="BI96" s="226"/>
      <c r="BJ96" s="226"/>
      <c r="BK96" s="226"/>
      <c r="BL96" s="226"/>
      <c r="BM96" s="226"/>
      <c r="BN96" s="226"/>
      <c r="BO96" s="226"/>
      <c r="BP96" s="226"/>
      <c r="BQ96" s="226"/>
      <c r="BR96" s="226"/>
      <c r="BS96" s="226"/>
      <c r="BT96" s="226"/>
      <c r="BU96" s="226"/>
      <c r="BV96" s="226"/>
      <c r="BW96" s="226"/>
      <c r="BX96" s="226"/>
      <c r="BY96" s="226"/>
      <c r="BZ96" s="226"/>
      <c r="CA96" s="226"/>
      <c r="CB96" s="226"/>
      <c r="CC96" s="226"/>
      <c r="CD96" s="226"/>
      <c r="CE96" s="226"/>
      <c r="CF96" s="226"/>
      <c r="CG96" s="226"/>
      <c r="CH96" s="226"/>
      <c r="CI96" s="226"/>
      <c r="CJ96" s="226"/>
      <c r="CK96" s="226"/>
      <c r="CL96" s="226"/>
      <c r="CM96" s="226"/>
      <c r="CN96" s="226"/>
      <c r="CO96" s="226"/>
      <c r="CP96" s="226"/>
      <c r="CQ96" s="226"/>
      <c r="CR96" s="226"/>
      <c r="CS96" s="226"/>
      <c r="CT96" s="226"/>
      <c r="CU96" s="226"/>
      <c r="CV96" s="226"/>
      <c r="CW96" s="226"/>
      <c r="CX96" s="226"/>
      <c r="CY96" s="226"/>
      <c r="CZ96" s="226"/>
      <c r="DA96" s="226"/>
      <c r="DB96" s="226"/>
      <c r="DC96" s="226"/>
      <c r="DD96" s="226"/>
      <c r="DE96" s="226"/>
      <c r="DF96" s="226"/>
      <c r="DG96" s="226"/>
      <c r="DH96" s="226"/>
      <c r="DI96" s="226"/>
      <c r="DJ96" s="226"/>
      <c r="DK96" s="226"/>
      <c r="DL96" s="226"/>
      <c r="DM96" s="226"/>
      <c r="DN96" s="226"/>
      <c r="DO96" s="226"/>
      <c r="DP96" s="226"/>
      <c r="DQ96" s="226"/>
      <c r="DR96" s="226"/>
      <c r="DS96" s="226"/>
      <c r="DT96" s="226"/>
      <c r="DU96" s="226"/>
      <c r="DV96" s="226"/>
      <c r="DW96" s="226"/>
      <c r="DX96" s="226"/>
      <c r="DY96" s="226"/>
      <c r="DZ96" s="226"/>
      <c r="EA96" s="226"/>
      <c r="EB96" s="226"/>
      <c r="EC96" s="226"/>
      <c r="ED96" s="226"/>
      <c r="EE96" s="226"/>
      <c r="EF96" s="226"/>
      <c r="EG96" s="226"/>
      <c r="EH96" s="226"/>
      <c r="EI96" s="226"/>
      <c r="EJ96" s="226"/>
      <c r="EK96" s="226"/>
      <c r="EL96" s="226"/>
      <c r="EM96" s="226"/>
      <c r="EN96" s="226"/>
      <c r="EO96" s="226"/>
      <c r="EP96" s="226"/>
    </row>
    <row r="97" spans="45:146">
      <c r="AS97" s="226"/>
      <c r="AT97" s="226"/>
      <c r="AU97" s="226"/>
      <c r="AV97" s="226"/>
      <c r="AW97" s="226"/>
      <c r="AX97" s="226"/>
      <c r="AY97" s="226"/>
      <c r="AZ97" s="226"/>
      <c r="BA97" s="226"/>
      <c r="BB97" s="226"/>
      <c r="BC97" s="226"/>
      <c r="BD97" s="226"/>
      <c r="BE97" s="226"/>
      <c r="BF97" s="226"/>
      <c r="BG97" s="226"/>
      <c r="BH97" s="226"/>
      <c r="BI97" s="226"/>
      <c r="BJ97" s="226"/>
      <c r="BK97" s="226"/>
      <c r="BL97" s="226"/>
      <c r="BM97" s="226"/>
      <c r="BN97" s="226"/>
      <c r="BO97" s="226"/>
      <c r="BP97" s="226"/>
      <c r="BQ97" s="226"/>
      <c r="BR97" s="226"/>
      <c r="BS97" s="226"/>
      <c r="BT97" s="226"/>
      <c r="BU97" s="226"/>
      <c r="BV97" s="226"/>
      <c r="BW97" s="226"/>
      <c r="BX97" s="226"/>
      <c r="BY97" s="226"/>
      <c r="BZ97" s="226"/>
      <c r="CA97" s="226"/>
      <c r="CB97" s="226"/>
      <c r="CC97" s="226"/>
      <c r="CD97" s="226"/>
      <c r="CE97" s="226"/>
      <c r="CF97" s="226"/>
      <c r="CG97" s="226"/>
      <c r="CH97" s="226"/>
      <c r="CI97" s="226"/>
      <c r="CJ97" s="226"/>
      <c r="CK97" s="226"/>
      <c r="CL97" s="226"/>
      <c r="CM97" s="226"/>
      <c r="CN97" s="226"/>
      <c r="CO97" s="226"/>
      <c r="CP97" s="226"/>
      <c r="CQ97" s="226"/>
      <c r="CR97" s="226"/>
      <c r="CS97" s="226"/>
      <c r="CT97" s="226"/>
      <c r="CU97" s="226"/>
      <c r="CV97" s="226"/>
      <c r="CW97" s="226"/>
      <c r="CX97" s="226"/>
      <c r="CY97" s="226"/>
      <c r="CZ97" s="226"/>
      <c r="DA97" s="226"/>
      <c r="DB97" s="226"/>
      <c r="DC97" s="226"/>
      <c r="DD97" s="226"/>
      <c r="DE97" s="226"/>
      <c r="DF97" s="226"/>
      <c r="DG97" s="226"/>
      <c r="DH97" s="226"/>
      <c r="DI97" s="226"/>
      <c r="DJ97" s="226"/>
      <c r="DK97" s="226"/>
      <c r="DL97" s="226"/>
      <c r="DM97" s="226"/>
      <c r="DN97" s="226"/>
      <c r="DO97" s="226"/>
      <c r="DP97" s="226"/>
      <c r="DQ97" s="226"/>
      <c r="DR97" s="226"/>
      <c r="DS97" s="226"/>
      <c r="DT97" s="226"/>
      <c r="DU97" s="226"/>
      <c r="DV97" s="226"/>
      <c r="DW97" s="226"/>
      <c r="DX97" s="226"/>
      <c r="DY97" s="226"/>
      <c r="DZ97" s="226"/>
      <c r="EA97" s="226"/>
      <c r="EB97" s="226"/>
      <c r="EC97" s="226"/>
      <c r="ED97" s="226"/>
      <c r="EE97" s="226"/>
      <c r="EF97" s="226"/>
      <c r="EG97" s="226"/>
      <c r="EH97" s="226"/>
      <c r="EI97" s="226"/>
      <c r="EJ97" s="226"/>
      <c r="EK97" s="226"/>
      <c r="EL97" s="226"/>
      <c r="EM97" s="226"/>
      <c r="EN97" s="226"/>
      <c r="EO97" s="226"/>
      <c r="EP97" s="226"/>
    </row>
    <row r="98" spans="45:146">
      <c r="AS98" s="226"/>
      <c r="AT98" s="226"/>
      <c r="AU98" s="226"/>
      <c r="AV98" s="226"/>
      <c r="AW98" s="226"/>
      <c r="AX98" s="226"/>
      <c r="AY98" s="226"/>
      <c r="AZ98" s="226"/>
      <c r="BA98" s="226"/>
      <c r="BB98" s="226"/>
      <c r="BC98" s="226"/>
      <c r="BD98" s="226"/>
      <c r="BE98" s="226"/>
      <c r="BF98" s="226"/>
      <c r="BG98" s="226"/>
      <c r="BH98" s="226"/>
      <c r="BI98" s="226"/>
      <c r="BJ98" s="226"/>
      <c r="BK98" s="226"/>
      <c r="BL98" s="226"/>
      <c r="BM98" s="226"/>
      <c r="BN98" s="226"/>
      <c r="BO98" s="226"/>
      <c r="BP98" s="226"/>
      <c r="BQ98" s="226"/>
      <c r="BR98" s="226"/>
      <c r="BS98" s="226"/>
      <c r="BT98" s="226"/>
      <c r="BU98" s="226"/>
      <c r="BV98" s="226"/>
      <c r="BW98" s="226"/>
      <c r="BX98" s="226"/>
      <c r="BY98" s="226"/>
      <c r="BZ98" s="226"/>
      <c r="CA98" s="226"/>
      <c r="CB98" s="226"/>
      <c r="CC98" s="226"/>
      <c r="CD98" s="226"/>
      <c r="CE98" s="226"/>
      <c r="CF98" s="226"/>
      <c r="CG98" s="226"/>
      <c r="CH98" s="226"/>
      <c r="CI98" s="226"/>
      <c r="CJ98" s="226"/>
      <c r="CK98" s="226"/>
      <c r="CL98" s="226"/>
      <c r="CM98" s="226"/>
      <c r="CN98" s="226"/>
      <c r="CO98" s="226"/>
      <c r="CP98" s="226"/>
      <c r="CQ98" s="226"/>
      <c r="CR98" s="226"/>
      <c r="CS98" s="226"/>
      <c r="CT98" s="226"/>
      <c r="CU98" s="226"/>
      <c r="CV98" s="226"/>
      <c r="CW98" s="226"/>
      <c r="CX98" s="226"/>
      <c r="CY98" s="226"/>
      <c r="CZ98" s="226"/>
      <c r="DA98" s="226"/>
      <c r="DB98" s="226"/>
      <c r="DC98" s="226"/>
      <c r="DD98" s="226"/>
      <c r="DE98" s="226"/>
      <c r="DF98" s="226"/>
      <c r="DG98" s="226"/>
      <c r="DH98" s="226"/>
      <c r="DI98" s="226"/>
      <c r="DJ98" s="226"/>
      <c r="DK98" s="226"/>
      <c r="DL98" s="226"/>
      <c r="DM98" s="226"/>
      <c r="DN98" s="226"/>
      <c r="DO98" s="226"/>
      <c r="DP98" s="226"/>
      <c r="DQ98" s="226"/>
      <c r="DR98" s="226"/>
      <c r="DS98" s="226"/>
      <c r="DT98" s="226"/>
      <c r="DU98" s="226"/>
      <c r="DV98" s="226"/>
      <c r="DW98" s="226"/>
      <c r="DX98" s="226"/>
      <c r="DY98" s="226"/>
      <c r="DZ98" s="226"/>
      <c r="EA98" s="226"/>
      <c r="EB98" s="226"/>
      <c r="EC98" s="226"/>
      <c r="ED98" s="226"/>
      <c r="EE98" s="226"/>
      <c r="EF98" s="226"/>
      <c r="EG98" s="226"/>
      <c r="EH98" s="226"/>
      <c r="EI98" s="226"/>
      <c r="EJ98" s="226"/>
      <c r="EK98" s="226"/>
      <c r="EL98" s="226"/>
      <c r="EM98" s="226"/>
      <c r="EN98" s="226"/>
      <c r="EO98" s="226"/>
      <c r="EP98" s="226"/>
    </row>
    <row r="99" spans="45:146">
      <c r="AS99" s="226"/>
      <c r="AT99" s="226"/>
      <c r="AU99" s="226"/>
      <c r="AV99" s="226"/>
      <c r="AW99" s="226"/>
      <c r="AX99" s="226"/>
      <c r="AY99" s="226"/>
      <c r="AZ99" s="226"/>
      <c r="BA99" s="226"/>
      <c r="BB99" s="226"/>
      <c r="BC99" s="226"/>
      <c r="BD99" s="226"/>
      <c r="BE99" s="226"/>
      <c r="BF99" s="226"/>
      <c r="BG99" s="226"/>
      <c r="BH99" s="226"/>
      <c r="BI99" s="226"/>
      <c r="BJ99" s="226"/>
      <c r="BK99" s="226"/>
      <c r="BL99" s="226"/>
      <c r="BM99" s="226"/>
      <c r="BN99" s="226"/>
      <c r="BO99" s="226"/>
      <c r="BP99" s="226"/>
      <c r="BQ99" s="226"/>
      <c r="BR99" s="226"/>
      <c r="BS99" s="226"/>
      <c r="BT99" s="226"/>
      <c r="BU99" s="226"/>
      <c r="BV99" s="226"/>
      <c r="BW99" s="226"/>
      <c r="BX99" s="226"/>
      <c r="BY99" s="226"/>
      <c r="BZ99" s="226"/>
      <c r="CA99" s="226"/>
      <c r="CB99" s="226"/>
      <c r="CC99" s="226"/>
      <c r="CD99" s="226"/>
      <c r="CE99" s="226"/>
      <c r="CF99" s="226"/>
      <c r="CG99" s="226"/>
      <c r="CH99" s="226"/>
      <c r="CI99" s="226"/>
      <c r="CJ99" s="226"/>
      <c r="CK99" s="226"/>
      <c r="CL99" s="226"/>
      <c r="CM99" s="226"/>
      <c r="CN99" s="226"/>
      <c r="CO99" s="226"/>
      <c r="CP99" s="226"/>
      <c r="CQ99" s="226"/>
      <c r="CR99" s="226"/>
      <c r="CS99" s="226"/>
      <c r="CT99" s="226"/>
      <c r="CU99" s="226"/>
      <c r="CV99" s="226"/>
      <c r="CW99" s="226"/>
      <c r="CX99" s="226"/>
      <c r="CY99" s="226"/>
      <c r="CZ99" s="226"/>
      <c r="DA99" s="226"/>
      <c r="DB99" s="226"/>
      <c r="DC99" s="226"/>
      <c r="DD99" s="226"/>
      <c r="DE99" s="226"/>
      <c r="DF99" s="226"/>
      <c r="DG99" s="226"/>
      <c r="DH99" s="226"/>
      <c r="DI99" s="226"/>
      <c r="DJ99" s="226"/>
      <c r="DK99" s="226"/>
      <c r="DL99" s="226"/>
      <c r="DM99" s="226"/>
      <c r="DN99" s="226"/>
      <c r="DO99" s="226"/>
      <c r="DP99" s="226"/>
      <c r="DQ99" s="226"/>
      <c r="DR99" s="226"/>
      <c r="DS99" s="226"/>
      <c r="DT99" s="226"/>
      <c r="DU99" s="226"/>
      <c r="DV99" s="226"/>
      <c r="DW99" s="226"/>
      <c r="DX99" s="226"/>
      <c r="DY99" s="226"/>
      <c r="DZ99" s="226"/>
      <c r="EA99" s="226"/>
      <c r="EB99" s="226"/>
      <c r="EC99" s="226"/>
      <c r="ED99" s="226"/>
      <c r="EE99" s="226"/>
      <c r="EF99" s="226"/>
      <c r="EG99" s="226"/>
      <c r="EH99" s="226"/>
      <c r="EI99" s="226"/>
      <c r="EJ99" s="226"/>
      <c r="EK99" s="226"/>
      <c r="EL99" s="226"/>
      <c r="EM99" s="226"/>
      <c r="EN99" s="226"/>
      <c r="EO99" s="226"/>
      <c r="EP99" s="226"/>
    </row>
    <row r="100" spans="45:146">
      <c r="AS100" s="226"/>
      <c r="AT100" s="226"/>
      <c r="AU100" s="226"/>
      <c r="AV100" s="226"/>
      <c r="AW100" s="226"/>
      <c r="AX100" s="226"/>
      <c r="AY100" s="226"/>
      <c r="AZ100" s="226"/>
      <c r="BA100" s="226"/>
      <c r="BB100" s="226"/>
      <c r="BC100" s="226"/>
      <c r="BD100" s="226"/>
      <c r="BE100" s="226"/>
      <c r="BF100" s="226"/>
      <c r="BG100" s="226"/>
      <c r="BH100" s="226"/>
      <c r="BI100" s="226"/>
      <c r="BJ100" s="226"/>
      <c r="BK100" s="226"/>
      <c r="BL100" s="226"/>
      <c r="BM100" s="226"/>
      <c r="BN100" s="226"/>
      <c r="BO100" s="226"/>
      <c r="BP100" s="226"/>
      <c r="BQ100" s="226"/>
      <c r="BR100" s="226"/>
      <c r="BS100" s="226"/>
      <c r="BT100" s="226"/>
      <c r="BU100" s="226"/>
      <c r="BV100" s="226"/>
      <c r="BW100" s="226"/>
      <c r="BX100" s="226"/>
      <c r="BY100" s="226"/>
      <c r="BZ100" s="226"/>
      <c r="CA100" s="226"/>
      <c r="CB100" s="226"/>
      <c r="CC100" s="226"/>
      <c r="CD100" s="226"/>
      <c r="CE100" s="226"/>
      <c r="CF100" s="226"/>
      <c r="CG100" s="226"/>
      <c r="CH100" s="226"/>
      <c r="CI100" s="226"/>
      <c r="CJ100" s="226"/>
      <c r="CK100" s="226"/>
      <c r="CL100" s="226"/>
      <c r="CM100" s="226"/>
      <c r="CN100" s="226"/>
      <c r="CO100" s="226"/>
      <c r="CP100" s="226"/>
      <c r="CQ100" s="226"/>
      <c r="CR100" s="226"/>
      <c r="CS100" s="226"/>
      <c r="CT100" s="226"/>
      <c r="CU100" s="226"/>
      <c r="CV100" s="226"/>
      <c r="CW100" s="226"/>
      <c r="CX100" s="226"/>
      <c r="CY100" s="226"/>
      <c r="CZ100" s="226"/>
      <c r="DA100" s="226"/>
      <c r="DB100" s="226"/>
      <c r="DC100" s="226"/>
      <c r="DD100" s="226"/>
      <c r="DE100" s="226"/>
      <c r="DF100" s="226"/>
      <c r="DG100" s="226"/>
      <c r="DH100" s="226"/>
      <c r="DI100" s="226"/>
      <c r="DJ100" s="226"/>
      <c r="DK100" s="226"/>
      <c r="DL100" s="226"/>
      <c r="DM100" s="226"/>
      <c r="DN100" s="226"/>
      <c r="DO100" s="226"/>
      <c r="DP100" s="226"/>
      <c r="DQ100" s="226"/>
      <c r="DR100" s="226"/>
      <c r="DS100" s="226"/>
      <c r="DT100" s="226"/>
      <c r="DU100" s="226"/>
      <c r="DV100" s="226"/>
      <c r="DW100" s="226"/>
      <c r="DX100" s="226"/>
      <c r="DY100" s="226"/>
      <c r="DZ100" s="226"/>
      <c r="EA100" s="226"/>
      <c r="EB100" s="226"/>
      <c r="EC100" s="226"/>
      <c r="ED100" s="226"/>
      <c r="EE100" s="226"/>
      <c r="EF100" s="226"/>
      <c r="EG100" s="226"/>
      <c r="EH100" s="226"/>
      <c r="EI100" s="226"/>
      <c r="EJ100" s="226"/>
      <c r="EK100" s="226"/>
      <c r="EL100" s="226"/>
      <c r="EM100" s="226"/>
      <c r="EN100" s="226"/>
      <c r="EO100" s="226"/>
      <c r="EP100" s="226"/>
    </row>
    <row r="101" spans="45:146">
      <c r="AS101" s="226"/>
      <c r="AT101" s="226"/>
      <c r="AU101" s="226"/>
      <c r="AV101" s="226"/>
      <c r="AW101" s="226"/>
      <c r="AX101" s="226"/>
      <c r="AY101" s="226"/>
      <c r="AZ101" s="226"/>
      <c r="BA101" s="226"/>
      <c r="BB101" s="226"/>
      <c r="BC101" s="226"/>
      <c r="BD101" s="226"/>
      <c r="BE101" s="226"/>
      <c r="BF101" s="226"/>
      <c r="BG101" s="226"/>
      <c r="BH101" s="226"/>
      <c r="BI101" s="226"/>
      <c r="BJ101" s="226"/>
      <c r="BK101" s="226"/>
      <c r="BL101" s="226"/>
      <c r="BM101" s="226"/>
      <c r="BN101" s="226"/>
      <c r="BO101" s="226"/>
      <c r="BP101" s="226"/>
      <c r="BQ101" s="226"/>
      <c r="BR101" s="226"/>
      <c r="BS101" s="226"/>
      <c r="BT101" s="226"/>
      <c r="BU101" s="226"/>
      <c r="BV101" s="226"/>
      <c r="BW101" s="226"/>
      <c r="BX101" s="226"/>
      <c r="BY101" s="226"/>
      <c r="BZ101" s="226"/>
      <c r="CA101" s="226"/>
      <c r="CB101" s="226"/>
      <c r="CC101" s="226"/>
      <c r="CD101" s="226"/>
      <c r="CE101" s="226"/>
      <c r="CF101" s="226"/>
      <c r="CG101" s="226"/>
      <c r="CH101" s="226"/>
      <c r="CI101" s="226"/>
      <c r="CJ101" s="226"/>
      <c r="CK101" s="226"/>
      <c r="CL101" s="226"/>
      <c r="CM101" s="226"/>
      <c r="CN101" s="226"/>
      <c r="CO101" s="226"/>
      <c r="CP101" s="226"/>
      <c r="CQ101" s="226"/>
      <c r="CR101" s="226"/>
      <c r="CS101" s="226"/>
      <c r="CT101" s="226"/>
      <c r="CU101" s="226"/>
      <c r="CV101" s="226"/>
      <c r="CW101" s="226"/>
      <c r="CX101" s="226"/>
      <c r="CY101" s="226"/>
      <c r="CZ101" s="226"/>
      <c r="DA101" s="226"/>
      <c r="DB101" s="226"/>
      <c r="DC101" s="226"/>
      <c r="DD101" s="226"/>
      <c r="DE101" s="226"/>
      <c r="DF101" s="226"/>
      <c r="DG101" s="226"/>
      <c r="DH101" s="226"/>
      <c r="DI101" s="226"/>
      <c r="DJ101" s="226"/>
      <c r="DK101" s="226"/>
      <c r="DL101" s="226"/>
      <c r="DM101" s="226"/>
      <c r="DN101" s="226"/>
      <c r="DO101" s="226"/>
      <c r="DP101" s="226"/>
      <c r="DQ101" s="226"/>
      <c r="DR101" s="226"/>
      <c r="DS101" s="226"/>
      <c r="DT101" s="226"/>
      <c r="DU101" s="226"/>
      <c r="DV101" s="226"/>
      <c r="DW101" s="226"/>
      <c r="DX101" s="226"/>
      <c r="DY101" s="226"/>
      <c r="DZ101" s="226"/>
      <c r="EA101" s="226"/>
      <c r="EB101" s="226"/>
      <c r="EC101" s="226"/>
      <c r="ED101" s="226"/>
      <c r="EE101" s="226"/>
      <c r="EF101" s="226"/>
      <c r="EG101" s="226"/>
      <c r="EH101" s="226"/>
      <c r="EI101" s="226"/>
      <c r="EJ101" s="226"/>
      <c r="EK101" s="226"/>
      <c r="EL101" s="226"/>
      <c r="EM101" s="226"/>
      <c r="EN101" s="226"/>
      <c r="EO101" s="226"/>
      <c r="EP101" s="226"/>
    </row>
    <row r="102" spans="45:146">
      <c r="AS102" s="226"/>
      <c r="AT102" s="226"/>
      <c r="AU102" s="226"/>
      <c r="AV102" s="226"/>
      <c r="AW102" s="226"/>
      <c r="AX102" s="226"/>
      <c r="AY102" s="226"/>
      <c r="AZ102" s="226"/>
      <c r="BA102" s="226"/>
      <c r="BB102" s="226"/>
      <c r="BC102" s="226"/>
      <c r="BD102" s="226"/>
      <c r="BE102" s="226"/>
      <c r="BF102" s="226"/>
      <c r="BG102" s="226"/>
      <c r="BH102" s="226"/>
      <c r="BI102" s="226"/>
      <c r="BJ102" s="226"/>
      <c r="BK102" s="226"/>
      <c r="BL102" s="226"/>
      <c r="BM102" s="226"/>
      <c r="BN102" s="226"/>
      <c r="BO102" s="226"/>
      <c r="BP102" s="226"/>
      <c r="BQ102" s="226"/>
      <c r="BR102" s="226"/>
      <c r="BS102" s="226"/>
      <c r="BT102" s="226"/>
      <c r="BU102" s="226"/>
      <c r="BV102" s="226"/>
      <c r="BW102" s="226"/>
      <c r="BX102" s="226"/>
      <c r="BY102" s="226"/>
      <c r="BZ102" s="226"/>
      <c r="CA102" s="226"/>
      <c r="CB102" s="226"/>
      <c r="CC102" s="226"/>
      <c r="CD102" s="226"/>
      <c r="CE102" s="226"/>
      <c r="CF102" s="226"/>
      <c r="CG102" s="226"/>
      <c r="CH102" s="226"/>
      <c r="CI102" s="226"/>
      <c r="CJ102" s="226"/>
      <c r="CK102" s="226"/>
      <c r="CL102" s="226"/>
      <c r="CM102" s="226"/>
      <c r="CN102" s="226"/>
      <c r="CO102" s="226"/>
      <c r="CP102" s="226"/>
      <c r="CQ102" s="226"/>
      <c r="CR102" s="226"/>
      <c r="CS102" s="226"/>
      <c r="CT102" s="226"/>
      <c r="CU102" s="226"/>
      <c r="CV102" s="226"/>
      <c r="CW102" s="226"/>
      <c r="CX102" s="226"/>
      <c r="CY102" s="226"/>
      <c r="CZ102" s="226"/>
      <c r="DA102" s="226"/>
      <c r="DB102" s="226"/>
      <c r="DC102" s="226"/>
      <c r="DD102" s="226"/>
      <c r="DE102" s="226"/>
      <c r="DF102" s="226"/>
      <c r="DG102" s="226"/>
      <c r="DH102" s="226"/>
      <c r="DI102" s="226"/>
      <c r="DJ102" s="226"/>
      <c r="DK102" s="226"/>
      <c r="DL102" s="226"/>
      <c r="DM102" s="226"/>
      <c r="DN102" s="226"/>
      <c r="DO102" s="226"/>
      <c r="DP102" s="226"/>
      <c r="DQ102" s="226"/>
      <c r="DR102" s="226"/>
      <c r="DS102" s="226"/>
      <c r="DT102" s="226"/>
      <c r="DU102" s="226"/>
      <c r="DV102" s="226"/>
      <c r="DW102" s="226"/>
      <c r="DX102" s="226"/>
      <c r="DY102" s="226"/>
      <c r="DZ102" s="226"/>
      <c r="EA102" s="226"/>
      <c r="EB102" s="226"/>
      <c r="EC102" s="226"/>
      <c r="ED102" s="226"/>
      <c r="EE102" s="226"/>
      <c r="EF102" s="226"/>
      <c r="EG102" s="226"/>
      <c r="EH102" s="226"/>
      <c r="EI102" s="226"/>
      <c r="EJ102" s="226"/>
      <c r="EK102" s="226"/>
      <c r="EL102" s="226"/>
      <c r="EM102" s="226"/>
      <c r="EN102" s="226"/>
      <c r="EO102" s="226"/>
      <c r="EP102" s="226"/>
    </row>
    <row r="103" spans="45:146">
      <c r="AS103" s="226"/>
      <c r="AT103" s="226"/>
      <c r="AU103" s="226"/>
      <c r="AV103" s="226"/>
      <c r="AW103" s="226"/>
      <c r="AX103" s="226"/>
      <c r="AY103" s="226"/>
      <c r="AZ103" s="226"/>
      <c r="BA103" s="226"/>
      <c r="BB103" s="226"/>
      <c r="BC103" s="226"/>
      <c r="BD103" s="226"/>
      <c r="BE103" s="226"/>
      <c r="BF103" s="226"/>
      <c r="BG103" s="226"/>
      <c r="BH103" s="226"/>
      <c r="BI103" s="226"/>
      <c r="BJ103" s="226"/>
      <c r="BK103" s="226"/>
      <c r="BL103" s="226"/>
      <c r="BM103" s="226"/>
      <c r="BN103" s="226"/>
      <c r="BO103" s="226"/>
      <c r="BP103" s="226"/>
      <c r="BQ103" s="226"/>
      <c r="BR103" s="226"/>
      <c r="BS103" s="226"/>
      <c r="BT103" s="226"/>
      <c r="BU103" s="226"/>
      <c r="BV103" s="226"/>
      <c r="BW103" s="226"/>
      <c r="BX103" s="226"/>
      <c r="BY103" s="226"/>
      <c r="BZ103" s="226"/>
      <c r="CA103" s="226"/>
      <c r="CB103" s="226"/>
      <c r="CC103" s="226"/>
      <c r="CD103" s="226"/>
      <c r="CE103" s="226"/>
      <c r="CF103" s="226"/>
      <c r="CG103" s="226"/>
      <c r="CH103" s="226"/>
      <c r="CI103" s="226"/>
      <c r="CJ103" s="226"/>
      <c r="CK103" s="226"/>
      <c r="CL103" s="226"/>
      <c r="CM103" s="226"/>
      <c r="CN103" s="226"/>
      <c r="CO103" s="226"/>
      <c r="CP103" s="226"/>
      <c r="CQ103" s="226"/>
      <c r="CR103" s="226"/>
      <c r="CS103" s="226"/>
      <c r="CT103" s="226"/>
      <c r="CU103" s="226"/>
      <c r="CV103" s="226"/>
      <c r="CW103" s="226"/>
      <c r="CX103" s="226"/>
      <c r="CY103" s="226"/>
      <c r="CZ103" s="226"/>
      <c r="DA103" s="226"/>
      <c r="DB103" s="226"/>
      <c r="DC103" s="226"/>
      <c r="DD103" s="226"/>
      <c r="DE103" s="226"/>
      <c r="DF103" s="226"/>
      <c r="DG103" s="226"/>
      <c r="DH103" s="226"/>
      <c r="DI103" s="226"/>
      <c r="DJ103" s="226"/>
      <c r="DK103" s="226"/>
      <c r="DL103" s="226"/>
      <c r="DM103" s="226"/>
      <c r="DN103" s="226"/>
      <c r="DO103" s="226"/>
      <c r="DP103" s="226"/>
      <c r="DQ103" s="226"/>
      <c r="DR103" s="226"/>
      <c r="DS103" s="226"/>
      <c r="DT103" s="226"/>
      <c r="DU103" s="226"/>
      <c r="DV103" s="226"/>
      <c r="DW103" s="226"/>
      <c r="DX103" s="226"/>
      <c r="DY103" s="226"/>
      <c r="DZ103" s="226"/>
      <c r="EA103" s="226"/>
      <c r="EB103" s="226"/>
      <c r="EC103" s="226"/>
      <c r="ED103" s="226"/>
      <c r="EE103" s="226"/>
      <c r="EF103" s="226"/>
      <c r="EG103" s="226"/>
      <c r="EH103" s="226"/>
      <c r="EI103" s="226"/>
      <c r="EJ103" s="226"/>
      <c r="EK103" s="226"/>
      <c r="EL103" s="226"/>
      <c r="EM103" s="226"/>
      <c r="EN103" s="226"/>
      <c r="EO103" s="226"/>
      <c r="EP103" s="226"/>
    </row>
    <row r="104" spans="45:146">
      <c r="AS104" s="226"/>
      <c r="AT104" s="226"/>
      <c r="AU104" s="226"/>
      <c r="AV104" s="226"/>
      <c r="AW104" s="226"/>
      <c r="AX104" s="226"/>
      <c r="AY104" s="226"/>
      <c r="AZ104" s="226"/>
      <c r="BA104" s="226"/>
      <c r="BB104" s="226"/>
      <c r="BC104" s="226"/>
      <c r="BD104" s="226"/>
      <c r="BE104" s="226"/>
      <c r="BF104" s="226"/>
      <c r="BG104" s="226"/>
      <c r="BH104" s="226"/>
      <c r="BI104" s="226"/>
      <c r="BJ104" s="226"/>
      <c r="BK104" s="226"/>
      <c r="BL104" s="226"/>
      <c r="BM104" s="226"/>
      <c r="BN104" s="226"/>
      <c r="BO104" s="226"/>
      <c r="BP104" s="226"/>
      <c r="BQ104" s="226"/>
      <c r="BR104" s="226"/>
      <c r="BS104" s="226"/>
      <c r="BT104" s="226"/>
      <c r="BU104" s="226"/>
      <c r="BV104" s="226"/>
      <c r="BW104" s="226"/>
      <c r="BX104" s="226"/>
      <c r="BY104" s="226"/>
      <c r="BZ104" s="226"/>
      <c r="CA104" s="226"/>
      <c r="CB104" s="226"/>
      <c r="CC104" s="226"/>
      <c r="CD104" s="226"/>
      <c r="CE104" s="226"/>
      <c r="CF104" s="226"/>
      <c r="CG104" s="226"/>
      <c r="CH104" s="226"/>
      <c r="CI104" s="226"/>
      <c r="CJ104" s="226"/>
      <c r="CK104" s="226"/>
      <c r="CL104" s="226"/>
      <c r="CM104" s="226"/>
      <c r="CN104" s="226"/>
      <c r="CO104" s="226"/>
      <c r="CP104" s="226"/>
      <c r="CQ104" s="226"/>
      <c r="CR104" s="226"/>
      <c r="CS104" s="226"/>
      <c r="CT104" s="226"/>
      <c r="CU104" s="226"/>
      <c r="CV104" s="226"/>
      <c r="CW104" s="226"/>
      <c r="CX104" s="226"/>
      <c r="CY104" s="226"/>
      <c r="CZ104" s="226"/>
      <c r="DA104" s="226"/>
      <c r="DB104" s="226"/>
      <c r="DC104" s="226"/>
      <c r="DD104" s="226"/>
      <c r="DE104" s="226"/>
      <c r="DF104" s="226"/>
      <c r="DG104" s="226"/>
      <c r="DH104" s="226"/>
      <c r="DI104" s="226"/>
      <c r="DJ104" s="226"/>
      <c r="DK104" s="226"/>
      <c r="DL104" s="226"/>
      <c r="DM104" s="226"/>
      <c r="DN104" s="226"/>
      <c r="DO104" s="226"/>
      <c r="DP104" s="226"/>
      <c r="DQ104" s="226"/>
      <c r="DR104" s="226"/>
      <c r="DS104" s="226"/>
      <c r="DT104" s="226"/>
      <c r="DU104" s="226"/>
      <c r="DV104" s="226"/>
      <c r="DW104" s="226"/>
      <c r="DX104" s="226"/>
      <c r="DY104" s="226"/>
      <c r="DZ104" s="226"/>
      <c r="EA104" s="226"/>
      <c r="EB104" s="226"/>
      <c r="EC104" s="226"/>
      <c r="ED104" s="226"/>
      <c r="EE104" s="226"/>
      <c r="EF104" s="226"/>
      <c r="EG104" s="226"/>
      <c r="EH104" s="226"/>
      <c r="EI104" s="226"/>
      <c r="EJ104" s="226"/>
      <c r="EK104" s="226"/>
      <c r="EL104" s="226"/>
      <c r="EM104" s="226"/>
      <c r="EN104" s="226"/>
      <c r="EO104" s="226"/>
      <c r="EP104" s="226"/>
    </row>
    <row r="105" spans="45:146">
      <c r="AS105" s="226"/>
      <c r="AT105" s="226"/>
      <c r="AU105" s="226"/>
      <c r="AV105" s="226"/>
      <c r="AW105" s="226"/>
      <c r="AX105" s="226"/>
      <c r="AY105" s="226"/>
      <c r="AZ105" s="226"/>
      <c r="BA105" s="226"/>
      <c r="BB105" s="226"/>
      <c r="BC105" s="226"/>
      <c r="BD105" s="226"/>
      <c r="BE105" s="226"/>
      <c r="BF105" s="226"/>
      <c r="BG105" s="226"/>
      <c r="BH105" s="226"/>
      <c r="BI105" s="226"/>
      <c r="BJ105" s="226"/>
      <c r="BK105" s="226"/>
      <c r="BL105" s="226"/>
      <c r="BM105" s="226"/>
      <c r="BN105" s="226"/>
      <c r="BO105" s="226"/>
      <c r="BP105" s="226"/>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c r="EB105" s="226"/>
      <c r="EC105" s="226"/>
      <c r="ED105" s="226"/>
      <c r="EE105" s="226"/>
      <c r="EF105" s="226"/>
      <c r="EG105" s="226"/>
      <c r="EH105" s="226"/>
      <c r="EI105" s="226"/>
      <c r="EJ105" s="226"/>
      <c r="EK105" s="226"/>
      <c r="EL105" s="226"/>
      <c r="EM105" s="226"/>
      <c r="EN105" s="226"/>
      <c r="EO105" s="226"/>
      <c r="EP105" s="226"/>
    </row>
    <row r="106" spans="45:146">
      <c r="AS106" s="226"/>
      <c r="AT106" s="226"/>
      <c r="AU106" s="226"/>
      <c r="AV106" s="226"/>
      <c r="AW106" s="226"/>
      <c r="AX106" s="226"/>
      <c r="AY106" s="226"/>
      <c r="AZ106" s="226"/>
      <c r="BA106" s="226"/>
      <c r="BB106" s="226"/>
      <c r="BC106" s="226"/>
      <c r="BD106" s="226"/>
      <c r="BE106" s="226"/>
      <c r="BF106" s="226"/>
      <c r="BG106" s="226"/>
      <c r="BH106" s="226"/>
      <c r="BI106" s="226"/>
      <c r="BJ106" s="226"/>
      <c r="BK106" s="226"/>
      <c r="BL106" s="226"/>
      <c r="BM106" s="226"/>
      <c r="BN106" s="226"/>
      <c r="BO106" s="226"/>
      <c r="BP106" s="226"/>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c r="EB106" s="226"/>
      <c r="EC106" s="226"/>
      <c r="ED106" s="226"/>
      <c r="EE106" s="226"/>
      <c r="EF106" s="226"/>
      <c r="EG106" s="226"/>
      <c r="EH106" s="226"/>
      <c r="EI106" s="226"/>
      <c r="EJ106" s="226"/>
      <c r="EK106" s="226"/>
      <c r="EL106" s="226"/>
      <c r="EM106" s="226"/>
      <c r="EN106" s="226"/>
      <c r="EO106" s="226"/>
      <c r="EP106" s="226"/>
    </row>
    <row r="107" spans="45:146">
      <c r="AS107" s="226"/>
      <c r="AT107" s="226"/>
      <c r="AU107" s="226"/>
      <c r="AV107" s="226"/>
      <c r="AW107" s="226"/>
      <c r="AX107" s="226"/>
      <c r="AY107" s="226"/>
      <c r="AZ107" s="226"/>
      <c r="BA107" s="226"/>
      <c r="BB107" s="226"/>
      <c r="BC107" s="226"/>
      <c r="BD107" s="226"/>
      <c r="BE107" s="226"/>
      <c r="BF107" s="226"/>
      <c r="BG107" s="226"/>
      <c r="BH107" s="226"/>
      <c r="BI107" s="226"/>
      <c r="BJ107" s="226"/>
      <c r="BK107" s="226"/>
      <c r="BL107" s="226"/>
      <c r="BM107" s="226"/>
      <c r="BN107" s="226"/>
      <c r="BO107" s="226"/>
      <c r="BP107" s="226"/>
      <c r="BQ107" s="226"/>
      <c r="BR107" s="226"/>
      <c r="BS107" s="226"/>
      <c r="BT107" s="226"/>
      <c r="BU107" s="226"/>
      <c r="BV107" s="226"/>
      <c r="BW107" s="226"/>
      <c r="BX107" s="226"/>
      <c r="BY107" s="226"/>
      <c r="BZ107" s="226"/>
      <c r="CA107" s="226"/>
      <c r="CB107" s="226"/>
      <c r="CC107" s="226"/>
      <c r="CD107" s="226"/>
      <c r="CE107" s="226"/>
      <c r="CF107" s="226"/>
      <c r="CG107" s="226"/>
      <c r="CH107" s="226"/>
      <c r="CI107" s="226"/>
      <c r="CJ107" s="226"/>
      <c r="CK107" s="226"/>
      <c r="CL107" s="226"/>
      <c r="CM107" s="226"/>
      <c r="CN107" s="226"/>
      <c r="CO107" s="226"/>
      <c r="CP107" s="226"/>
      <c r="CQ107" s="226"/>
      <c r="CR107" s="226"/>
      <c r="CS107" s="226"/>
      <c r="CT107" s="226"/>
      <c r="CU107" s="226"/>
      <c r="CV107" s="226"/>
      <c r="CW107" s="226"/>
      <c r="CX107" s="226"/>
      <c r="CY107" s="226"/>
      <c r="CZ107" s="226"/>
      <c r="DA107" s="226"/>
      <c r="DB107" s="226"/>
      <c r="DC107" s="226"/>
      <c r="DD107" s="226"/>
      <c r="DE107" s="226"/>
      <c r="DF107" s="226"/>
      <c r="DG107" s="226"/>
      <c r="DH107" s="226"/>
      <c r="DI107" s="226"/>
      <c r="DJ107" s="226"/>
      <c r="DK107" s="226"/>
      <c r="DL107" s="226"/>
      <c r="DM107" s="226"/>
      <c r="DN107" s="226"/>
      <c r="DO107" s="226"/>
      <c r="DP107" s="226"/>
      <c r="DQ107" s="226"/>
      <c r="DR107" s="226"/>
      <c r="DS107" s="226"/>
      <c r="DT107" s="226"/>
      <c r="DU107" s="226"/>
      <c r="DV107" s="226"/>
      <c r="DW107" s="226"/>
      <c r="DX107" s="226"/>
      <c r="DY107" s="226"/>
      <c r="DZ107" s="226"/>
      <c r="EA107" s="226"/>
      <c r="EB107" s="226"/>
      <c r="EC107" s="226"/>
      <c r="ED107" s="226"/>
      <c r="EE107" s="226"/>
      <c r="EF107" s="226"/>
      <c r="EG107" s="226"/>
      <c r="EH107" s="226"/>
      <c r="EI107" s="226"/>
      <c r="EJ107" s="226"/>
      <c r="EK107" s="226"/>
      <c r="EL107" s="226"/>
      <c r="EM107" s="226"/>
      <c r="EN107" s="226"/>
      <c r="EO107" s="226"/>
      <c r="EP107" s="226"/>
    </row>
    <row r="108" spans="45:146">
      <c r="AS108" s="226"/>
      <c r="AT108" s="226"/>
      <c r="AU108" s="226"/>
      <c r="AV108" s="226"/>
      <c r="AW108" s="226"/>
      <c r="AX108" s="226"/>
      <c r="AY108" s="226"/>
      <c r="AZ108" s="226"/>
      <c r="BA108" s="226"/>
      <c r="BB108" s="226"/>
      <c r="BC108" s="226"/>
      <c r="BD108" s="226"/>
      <c r="BE108" s="226"/>
      <c r="BF108" s="226"/>
      <c r="BG108" s="226"/>
      <c r="BH108" s="226"/>
      <c r="BI108" s="226"/>
      <c r="BJ108" s="226"/>
      <c r="BK108" s="226"/>
      <c r="BL108" s="226"/>
      <c r="BM108" s="226"/>
      <c r="BN108" s="226"/>
      <c r="BO108" s="226"/>
      <c r="BP108" s="226"/>
      <c r="BQ108" s="226"/>
      <c r="BR108" s="226"/>
      <c r="BS108" s="226"/>
      <c r="BT108" s="226"/>
      <c r="BU108" s="226"/>
      <c r="BV108" s="226"/>
      <c r="BW108" s="226"/>
      <c r="BX108" s="226"/>
      <c r="BY108" s="226"/>
      <c r="BZ108" s="226"/>
      <c r="CA108" s="226"/>
      <c r="CB108" s="226"/>
      <c r="CC108" s="226"/>
      <c r="CD108" s="226"/>
      <c r="CE108" s="226"/>
      <c r="CF108" s="226"/>
      <c r="CG108" s="226"/>
      <c r="CH108" s="226"/>
      <c r="CI108" s="226"/>
      <c r="CJ108" s="226"/>
      <c r="CK108" s="226"/>
      <c r="CL108" s="226"/>
      <c r="CM108" s="226"/>
      <c r="CN108" s="226"/>
      <c r="CO108" s="226"/>
      <c r="CP108" s="226"/>
      <c r="CQ108" s="226"/>
      <c r="CR108" s="226"/>
      <c r="CS108" s="226"/>
      <c r="CT108" s="226"/>
      <c r="CU108" s="226"/>
      <c r="CV108" s="226"/>
      <c r="CW108" s="226"/>
      <c r="CX108" s="226"/>
      <c r="CY108" s="226"/>
      <c r="CZ108" s="226"/>
      <c r="DA108" s="226"/>
      <c r="DB108" s="226"/>
      <c r="DC108" s="226"/>
      <c r="DD108" s="226"/>
      <c r="DE108" s="226"/>
      <c r="DF108" s="226"/>
      <c r="DG108" s="226"/>
      <c r="DH108" s="226"/>
      <c r="DI108" s="226"/>
      <c r="DJ108" s="226"/>
      <c r="DK108" s="226"/>
      <c r="DL108" s="226"/>
      <c r="DM108" s="226"/>
      <c r="DN108" s="226"/>
      <c r="DO108" s="226"/>
      <c r="DP108" s="226"/>
      <c r="DQ108" s="226"/>
      <c r="DR108" s="226"/>
      <c r="DS108" s="226"/>
      <c r="DT108" s="226"/>
      <c r="DU108" s="226"/>
      <c r="DV108" s="226"/>
      <c r="DW108" s="226"/>
      <c r="DX108" s="226"/>
      <c r="DY108" s="226"/>
      <c r="DZ108" s="226"/>
      <c r="EA108" s="226"/>
      <c r="EB108" s="226"/>
      <c r="EC108" s="226"/>
      <c r="ED108" s="226"/>
      <c r="EE108" s="226"/>
      <c r="EF108" s="226"/>
      <c r="EG108" s="226"/>
      <c r="EH108" s="226"/>
      <c r="EI108" s="226"/>
      <c r="EJ108" s="226"/>
      <c r="EK108" s="226"/>
      <c r="EL108" s="226"/>
      <c r="EM108" s="226"/>
      <c r="EN108" s="226"/>
      <c r="EO108" s="226"/>
      <c r="EP108" s="226"/>
    </row>
    <row r="109" spans="45:146">
      <c r="AS109" s="226"/>
      <c r="AT109" s="226"/>
      <c r="AU109" s="226"/>
      <c r="AV109" s="226"/>
      <c r="AW109" s="226"/>
      <c r="AX109" s="226"/>
      <c r="AY109" s="226"/>
      <c r="AZ109" s="226"/>
      <c r="BA109" s="226"/>
      <c r="BB109" s="226"/>
      <c r="BC109" s="226"/>
      <c r="BD109" s="226"/>
      <c r="BE109" s="226"/>
      <c r="BF109" s="226"/>
      <c r="BG109" s="226"/>
      <c r="BH109" s="226"/>
      <c r="BI109" s="226"/>
      <c r="BJ109" s="226"/>
      <c r="BK109" s="226"/>
      <c r="BL109" s="226"/>
      <c r="BM109" s="226"/>
      <c r="BN109" s="226"/>
      <c r="BO109" s="226"/>
      <c r="BP109" s="226"/>
      <c r="BQ109" s="226"/>
      <c r="BR109" s="226"/>
      <c r="BS109" s="226"/>
      <c r="BT109" s="226"/>
      <c r="BU109" s="226"/>
      <c r="BV109" s="226"/>
      <c r="BW109" s="226"/>
      <c r="BX109" s="226"/>
      <c r="BY109" s="226"/>
      <c r="BZ109" s="226"/>
      <c r="CA109" s="226"/>
      <c r="CB109" s="226"/>
      <c r="CC109" s="226"/>
      <c r="CD109" s="226"/>
      <c r="CE109" s="226"/>
      <c r="CF109" s="226"/>
      <c r="CG109" s="226"/>
      <c r="CH109" s="226"/>
      <c r="CI109" s="226"/>
      <c r="CJ109" s="226"/>
      <c r="CK109" s="226"/>
      <c r="CL109" s="226"/>
      <c r="CM109" s="226"/>
      <c r="CN109" s="226"/>
      <c r="CO109" s="226"/>
      <c r="CP109" s="226"/>
      <c r="CQ109" s="226"/>
      <c r="CR109" s="226"/>
      <c r="CS109" s="226"/>
      <c r="CT109" s="226"/>
      <c r="CU109" s="226"/>
      <c r="CV109" s="226"/>
      <c r="CW109" s="226"/>
      <c r="CX109" s="226"/>
      <c r="CY109" s="226"/>
      <c r="CZ109" s="226"/>
      <c r="DA109" s="226"/>
      <c r="DB109" s="226"/>
      <c r="DC109" s="226"/>
      <c r="DD109" s="226"/>
      <c r="DE109" s="226"/>
      <c r="DF109" s="226"/>
      <c r="DG109" s="226"/>
      <c r="DH109" s="226"/>
      <c r="DI109" s="226"/>
      <c r="DJ109" s="226"/>
      <c r="DK109" s="226"/>
      <c r="DL109" s="226"/>
      <c r="DM109" s="226"/>
      <c r="DN109" s="226"/>
      <c r="DO109" s="226"/>
      <c r="DP109" s="226"/>
      <c r="DQ109" s="226"/>
      <c r="DR109" s="226"/>
      <c r="DS109" s="226"/>
      <c r="DT109" s="226"/>
      <c r="DU109" s="226"/>
      <c r="DV109" s="226"/>
      <c r="DW109" s="226"/>
      <c r="DX109" s="226"/>
      <c r="DY109" s="226"/>
      <c r="DZ109" s="226"/>
      <c r="EA109" s="226"/>
      <c r="EB109" s="226"/>
      <c r="EC109" s="226"/>
      <c r="ED109" s="226"/>
      <c r="EE109" s="226"/>
      <c r="EF109" s="226"/>
      <c r="EG109" s="226"/>
      <c r="EH109" s="226"/>
      <c r="EI109" s="226"/>
      <c r="EJ109" s="226"/>
      <c r="EK109" s="226"/>
      <c r="EL109" s="226"/>
      <c r="EM109" s="226"/>
      <c r="EN109" s="226"/>
      <c r="EO109" s="226"/>
      <c r="EP109" s="226"/>
    </row>
    <row r="110" spans="45:146">
      <c r="AS110" s="226"/>
      <c r="AT110" s="226"/>
      <c r="AU110" s="226"/>
      <c r="AV110" s="226"/>
      <c r="AW110" s="226"/>
      <c r="AX110" s="226"/>
      <c r="AY110" s="226"/>
      <c r="AZ110" s="226"/>
      <c r="BA110" s="226"/>
      <c r="BB110" s="226"/>
      <c r="BC110" s="226"/>
      <c r="BD110" s="226"/>
      <c r="BE110" s="226"/>
      <c r="BF110" s="226"/>
      <c r="BG110" s="226"/>
      <c r="BH110" s="226"/>
      <c r="BI110" s="226"/>
      <c r="BJ110" s="226"/>
      <c r="BK110" s="226"/>
      <c r="BL110" s="226"/>
      <c r="BM110" s="226"/>
      <c r="BN110" s="226"/>
      <c r="BO110" s="226"/>
      <c r="BP110" s="226"/>
      <c r="BQ110" s="226"/>
      <c r="BR110" s="226"/>
      <c r="BS110" s="226"/>
      <c r="BT110" s="226"/>
      <c r="BU110" s="226"/>
      <c r="BV110" s="226"/>
      <c r="BW110" s="226"/>
      <c r="BX110" s="226"/>
      <c r="BY110" s="226"/>
      <c r="BZ110" s="226"/>
      <c r="CA110" s="226"/>
      <c r="CB110" s="226"/>
      <c r="CC110" s="226"/>
      <c r="CD110" s="226"/>
      <c r="CE110" s="226"/>
      <c r="CF110" s="226"/>
      <c r="CG110" s="226"/>
      <c r="CH110" s="226"/>
      <c r="CI110" s="226"/>
      <c r="CJ110" s="226"/>
      <c r="CK110" s="226"/>
      <c r="CL110" s="226"/>
      <c r="CM110" s="226"/>
      <c r="CN110" s="226"/>
      <c r="CO110" s="226"/>
      <c r="CP110" s="226"/>
      <c r="CQ110" s="226"/>
      <c r="CR110" s="226"/>
      <c r="CS110" s="226"/>
      <c r="CT110" s="226"/>
      <c r="CU110" s="226"/>
      <c r="CV110" s="226"/>
      <c r="CW110" s="226"/>
      <c r="CX110" s="226"/>
      <c r="CY110" s="226"/>
      <c r="CZ110" s="226"/>
      <c r="DA110" s="226"/>
      <c r="DB110" s="226"/>
      <c r="DC110" s="226"/>
      <c r="DD110" s="226"/>
      <c r="DE110" s="226"/>
      <c r="DF110" s="226"/>
      <c r="DG110" s="226"/>
      <c r="DH110" s="226"/>
      <c r="DI110" s="226"/>
      <c r="DJ110" s="226"/>
      <c r="DK110" s="226"/>
      <c r="DL110" s="226"/>
      <c r="DM110" s="226"/>
      <c r="DN110" s="226"/>
      <c r="DO110" s="226"/>
      <c r="DP110" s="226"/>
      <c r="DQ110" s="226"/>
      <c r="DR110" s="226"/>
      <c r="DS110" s="226"/>
      <c r="DT110" s="226"/>
      <c r="DU110" s="226"/>
      <c r="DV110" s="226"/>
      <c r="DW110" s="226"/>
      <c r="DX110" s="226"/>
      <c r="DY110" s="226"/>
      <c r="DZ110" s="226"/>
      <c r="EA110" s="226"/>
      <c r="EB110" s="226"/>
      <c r="EC110" s="226"/>
      <c r="ED110" s="226"/>
      <c r="EE110" s="226"/>
      <c r="EF110" s="226"/>
      <c r="EG110" s="226"/>
      <c r="EH110" s="226"/>
      <c r="EI110" s="226"/>
      <c r="EJ110" s="226"/>
      <c r="EK110" s="226"/>
      <c r="EL110" s="226"/>
      <c r="EM110" s="226"/>
      <c r="EN110" s="226"/>
      <c r="EO110" s="226"/>
      <c r="EP110" s="226"/>
    </row>
    <row r="111" spans="45:146">
      <c r="AS111" s="226"/>
      <c r="AT111" s="226"/>
      <c r="AU111" s="226"/>
      <c r="AV111" s="226"/>
      <c r="AW111" s="226"/>
      <c r="AX111" s="226"/>
      <c r="AY111" s="226"/>
      <c r="AZ111" s="226"/>
      <c r="BA111" s="226"/>
      <c r="BB111" s="226"/>
      <c r="BC111" s="226"/>
      <c r="BD111" s="226"/>
      <c r="BE111" s="226"/>
      <c r="BF111" s="226"/>
      <c r="BG111" s="226"/>
      <c r="BH111" s="226"/>
      <c r="BI111" s="226"/>
      <c r="BJ111" s="226"/>
      <c r="BK111" s="226"/>
      <c r="BL111" s="226"/>
      <c r="BM111" s="226"/>
      <c r="BN111" s="226"/>
      <c r="BO111" s="226"/>
      <c r="BP111" s="226"/>
      <c r="BQ111" s="226"/>
      <c r="BR111" s="226"/>
      <c r="BS111" s="226"/>
      <c r="BT111" s="226"/>
      <c r="BU111" s="226"/>
      <c r="BV111" s="226"/>
      <c r="BW111" s="226"/>
      <c r="BX111" s="226"/>
      <c r="BY111" s="226"/>
      <c r="BZ111" s="226"/>
      <c r="CA111" s="226"/>
      <c r="CB111" s="226"/>
      <c r="CC111" s="226"/>
      <c r="CD111" s="226"/>
      <c r="CE111" s="226"/>
      <c r="CF111" s="226"/>
      <c r="CG111" s="226"/>
      <c r="CH111" s="226"/>
      <c r="CI111" s="226"/>
      <c r="CJ111" s="226"/>
      <c r="CK111" s="226"/>
      <c r="CL111" s="226"/>
      <c r="CM111" s="226"/>
      <c r="CN111" s="226"/>
      <c r="CO111" s="226"/>
      <c r="CP111" s="226"/>
      <c r="CQ111" s="226"/>
      <c r="CR111" s="226"/>
      <c r="CS111" s="226"/>
      <c r="CT111" s="226"/>
      <c r="CU111" s="226"/>
      <c r="CV111" s="226"/>
      <c r="CW111" s="226"/>
      <c r="CX111" s="226"/>
      <c r="CY111" s="226"/>
      <c r="CZ111" s="226"/>
      <c r="DA111" s="226"/>
      <c r="DB111" s="226"/>
      <c r="DC111" s="226"/>
      <c r="DD111" s="226"/>
      <c r="DE111" s="226"/>
      <c r="DF111" s="226"/>
      <c r="DG111" s="226"/>
      <c r="DH111" s="226"/>
      <c r="DI111" s="226"/>
      <c r="DJ111" s="226"/>
      <c r="DK111" s="226"/>
      <c r="DL111" s="226"/>
      <c r="DM111" s="226"/>
      <c r="DN111" s="226"/>
      <c r="DO111" s="226"/>
      <c r="DP111" s="226"/>
      <c r="DQ111" s="226"/>
      <c r="DR111" s="226"/>
      <c r="DS111" s="226"/>
      <c r="DT111" s="226"/>
      <c r="DU111" s="226"/>
      <c r="DV111" s="226"/>
      <c r="DW111" s="226"/>
      <c r="DX111" s="226"/>
      <c r="DY111" s="226"/>
      <c r="DZ111" s="226"/>
      <c r="EA111" s="226"/>
      <c r="EB111" s="226"/>
      <c r="EC111" s="226"/>
      <c r="ED111" s="226"/>
      <c r="EE111" s="226"/>
      <c r="EF111" s="226"/>
      <c r="EG111" s="226"/>
      <c r="EH111" s="226"/>
      <c r="EI111" s="226"/>
      <c r="EJ111" s="226"/>
      <c r="EK111" s="226"/>
      <c r="EL111" s="226"/>
      <c r="EM111" s="226"/>
      <c r="EN111" s="226"/>
      <c r="EO111" s="226"/>
      <c r="EP111" s="226"/>
    </row>
    <row r="112" spans="45:146">
      <c r="AS112" s="226"/>
      <c r="AT112" s="226"/>
      <c r="AU112" s="226"/>
      <c r="AV112" s="226"/>
      <c r="AW112" s="226"/>
      <c r="AX112" s="226"/>
      <c r="AY112" s="226"/>
      <c r="AZ112" s="226"/>
      <c r="BA112" s="226"/>
      <c r="BB112" s="226"/>
      <c r="BC112" s="226"/>
      <c r="BD112" s="226"/>
      <c r="BE112" s="226"/>
      <c r="BF112" s="226"/>
      <c r="BG112" s="226"/>
      <c r="BH112" s="226"/>
      <c r="BI112" s="226"/>
      <c r="BJ112" s="226"/>
      <c r="BK112" s="226"/>
      <c r="BL112" s="226"/>
      <c r="BM112" s="226"/>
      <c r="BN112" s="226"/>
      <c r="BO112" s="226"/>
      <c r="BP112" s="226"/>
      <c r="BQ112" s="226"/>
      <c r="BR112" s="226"/>
      <c r="BS112" s="226"/>
      <c r="BT112" s="226"/>
      <c r="BU112" s="226"/>
      <c r="BV112" s="226"/>
      <c r="BW112" s="226"/>
      <c r="BX112" s="226"/>
      <c r="BY112" s="226"/>
      <c r="BZ112" s="226"/>
      <c r="CA112" s="226"/>
      <c r="CB112" s="226"/>
      <c r="CC112" s="226"/>
      <c r="CD112" s="226"/>
      <c r="CE112" s="226"/>
      <c r="CF112" s="226"/>
      <c r="CG112" s="226"/>
      <c r="CH112" s="226"/>
      <c r="CI112" s="226"/>
      <c r="CJ112" s="226"/>
      <c r="CK112" s="226"/>
      <c r="CL112" s="226"/>
      <c r="CM112" s="226"/>
      <c r="CN112" s="226"/>
      <c r="CO112" s="226"/>
      <c r="CP112" s="226"/>
      <c r="CQ112" s="226"/>
      <c r="CR112" s="226"/>
      <c r="CS112" s="226"/>
      <c r="CT112" s="226"/>
      <c r="CU112" s="226"/>
      <c r="CV112" s="226"/>
      <c r="CW112" s="226"/>
      <c r="CX112" s="226"/>
      <c r="CY112" s="226"/>
      <c r="CZ112" s="226"/>
      <c r="DA112" s="226"/>
      <c r="DB112" s="226"/>
      <c r="DC112" s="226"/>
      <c r="DD112" s="226"/>
      <c r="DE112" s="226"/>
      <c r="DF112" s="226"/>
      <c r="DG112" s="226"/>
      <c r="DH112" s="226"/>
      <c r="DI112" s="226"/>
      <c r="DJ112" s="226"/>
      <c r="DK112" s="226"/>
      <c r="DL112" s="226"/>
      <c r="DM112" s="226"/>
      <c r="DN112" s="226"/>
      <c r="DO112" s="226"/>
      <c r="DP112" s="226"/>
      <c r="DQ112" s="226"/>
      <c r="DR112" s="226"/>
      <c r="DS112" s="226"/>
      <c r="DT112" s="226"/>
      <c r="DU112" s="226"/>
      <c r="DV112" s="226"/>
      <c r="DW112" s="226"/>
      <c r="DX112" s="226"/>
      <c r="DY112" s="226"/>
      <c r="DZ112" s="226"/>
      <c r="EA112" s="226"/>
      <c r="EB112" s="226"/>
      <c r="EC112" s="226"/>
      <c r="ED112" s="226"/>
      <c r="EE112" s="226"/>
      <c r="EF112" s="226"/>
      <c r="EG112" s="226"/>
      <c r="EH112" s="226"/>
      <c r="EI112" s="226"/>
      <c r="EJ112" s="226"/>
      <c r="EK112" s="226"/>
      <c r="EL112" s="226"/>
      <c r="EM112" s="226"/>
      <c r="EN112" s="226"/>
      <c r="EO112" s="226"/>
      <c r="EP112" s="226"/>
    </row>
    <row r="113" spans="45:146">
      <c r="AS113" s="226"/>
      <c r="AT113" s="226"/>
      <c r="AU113" s="226"/>
      <c r="AV113" s="226"/>
      <c r="AW113" s="226"/>
      <c r="AX113" s="226"/>
      <c r="AY113" s="226"/>
      <c r="AZ113" s="226"/>
      <c r="BA113" s="226"/>
      <c r="BB113" s="226"/>
      <c r="BC113" s="226"/>
      <c r="BD113" s="226"/>
      <c r="BE113" s="226"/>
      <c r="BF113" s="226"/>
      <c r="BG113" s="226"/>
      <c r="BH113" s="226"/>
      <c r="BI113" s="226"/>
      <c r="BJ113" s="226"/>
      <c r="BK113" s="226"/>
      <c r="BL113" s="226"/>
      <c r="BM113" s="226"/>
      <c r="BN113" s="226"/>
      <c r="BO113" s="226"/>
      <c r="BP113" s="226"/>
      <c r="BQ113" s="226"/>
      <c r="BR113" s="226"/>
      <c r="BS113" s="226"/>
      <c r="BT113" s="226"/>
      <c r="BU113" s="226"/>
      <c r="BV113" s="226"/>
      <c r="BW113" s="226"/>
      <c r="BX113" s="226"/>
      <c r="BY113" s="226"/>
      <c r="BZ113" s="226"/>
      <c r="CA113" s="226"/>
      <c r="CB113" s="226"/>
      <c r="CC113" s="226"/>
      <c r="CD113" s="226"/>
      <c r="CE113" s="226"/>
      <c r="CF113" s="226"/>
      <c r="CG113" s="226"/>
      <c r="CH113" s="226"/>
      <c r="CI113" s="226"/>
      <c r="CJ113" s="226"/>
      <c r="CK113" s="226"/>
      <c r="CL113" s="226"/>
      <c r="CM113" s="226"/>
      <c r="CN113" s="226"/>
      <c r="CO113" s="226"/>
      <c r="CP113" s="226"/>
      <c r="CQ113" s="226"/>
      <c r="CR113" s="226"/>
      <c r="CS113" s="226"/>
      <c r="CT113" s="226"/>
      <c r="CU113" s="226"/>
      <c r="CV113" s="226"/>
      <c r="CW113" s="226"/>
      <c r="CX113" s="226"/>
      <c r="CY113" s="226"/>
      <c r="CZ113" s="226"/>
      <c r="DA113" s="226"/>
      <c r="DB113" s="226"/>
      <c r="DC113" s="226"/>
      <c r="DD113" s="226"/>
      <c r="DE113" s="226"/>
      <c r="DF113" s="226"/>
      <c r="DG113" s="226"/>
      <c r="DH113" s="226"/>
      <c r="DI113" s="226"/>
      <c r="DJ113" s="226"/>
      <c r="DK113" s="226"/>
      <c r="DL113" s="226"/>
      <c r="DM113" s="226"/>
      <c r="DN113" s="226"/>
      <c r="DO113" s="226"/>
      <c r="DP113" s="226"/>
      <c r="DQ113" s="226"/>
      <c r="DR113" s="226"/>
      <c r="DS113" s="226"/>
      <c r="DT113" s="226"/>
      <c r="DU113" s="226"/>
      <c r="DV113" s="226"/>
      <c r="DW113" s="226"/>
      <c r="DX113" s="226"/>
      <c r="DY113" s="226"/>
      <c r="DZ113" s="226"/>
      <c r="EA113" s="226"/>
      <c r="EB113" s="226"/>
      <c r="EC113" s="226"/>
      <c r="ED113" s="226"/>
      <c r="EE113" s="226"/>
      <c r="EF113" s="226"/>
      <c r="EG113" s="226"/>
      <c r="EH113" s="226"/>
      <c r="EI113" s="226"/>
      <c r="EJ113" s="226"/>
      <c r="EK113" s="226"/>
      <c r="EL113" s="226"/>
      <c r="EM113" s="226"/>
      <c r="EN113" s="226"/>
      <c r="EO113" s="226"/>
      <c r="EP113" s="226"/>
    </row>
    <row r="114" spans="45:146">
      <c r="AS114" s="226"/>
      <c r="AT114" s="226"/>
      <c r="AU114" s="226"/>
      <c r="AV114" s="226"/>
      <c r="AW114" s="226"/>
      <c r="AX114" s="226"/>
      <c r="AY114" s="226"/>
      <c r="AZ114" s="226"/>
      <c r="BA114" s="226"/>
      <c r="BB114" s="226"/>
      <c r="BC114" s="226"/>
      <c r="BD114" s="226"/>
      <c r="BE114" s="226"/>
      <c r="BF114" s="226"/>
      <c r="BG114" s="226"/>
      <c r="BH114" s="226"/>
      <c r="BI114" s="226"/>
      <c r="BJ114" s="226"/>
      <c r="BK114" s="226"/>
      <c r="BL114" s="226"/>
      <c r="BM114" s="226"/>
      <c r="BN114" s="226"/>
      <c r="BO114" s="226"/>
      <c r="BP114" s="226"/>
      <c r="BQ114" s="226"/>
      <c r="BR114" s="226"/>
      <c r="BS114" s="226"/>
      <c r="BT114" s="226"/>
      <c r="BU114" s="226"/>
      <c r="BV114" s="226"/>
      <c r="BW114" s="226"/>
      <c r="BX114" s="226"/>
      <c r="BY114" s="226"/>
      <c r="BZ114" s="226"/>
      <c r="CA114" s="226"/>
      <c r="CB114" s="226"/>
      <c r="CC114" s="226"/>
      <c r="CD114" s="226"/>
      <c r="CE114" s="226"/>
      <c r="CF114" s="226"/>
      <c r="CG114" s="226"/>
      <c r="CH114" s="226"/>
      <c r="CI114" s="226"/>
      <c r="CJ114" s="226"/>
      <c r="CK114" s="226"/>
      <c r="CL114" s="226"/>
      <c r="CM114" s="226"/>
      <c r="CN114" s="226"/>
      <c r="CO114" s="226"/>
      <c r="CP114" s="226"/>
      <c r="CQ114" s="226"/>
      <c r="CR114" s="226"/>
      <c r="CS114" s="226"/>
      <c r="CT114" s="226"/>
      <c r="CU114" s="226"/>
      <c r="CV114" s="226"/>
      <c r="CW114" s="226"/>
      <c r="CX114" s="226"/>
      <c r="CY114" s="226"/>
      <c r="CZ114" s="226"/>
      <c r="DA114" s="226"/>
      <c r="DB114" s="226"/>
      <c r="DC114" s="226"/>
      <c r="DD114" s="226"/>
      <c r="DE114" s="226"/>
      <c r="DF114" s="226"/>
      <c r="DG114" s="226"/>
      <c r="DH114" s="226"/>
      <c r="DI114" s="226"/>
      <c r="DJ114" s="226"/>
      <c r="DK114" s="226"/>
      <c r="DL114" s="226"/>
      <c r="DM114" s="226"/>
      <c r="DN114" s="226"/>
      <c r="DO114" s="226"/>
      <c r="DP114" s="226"/>
      <c r="DQ114" s="226"/>
      <c r="DR114" s="226"/>
      <c r="DS114" s="226"/>
      <c r="DT114" s="226"/>
      <c r="DU114" s="226"/>
      <c r="DV114" s="226"/>
      <c r="DW114" s="226"/>
      <c r="DX114" s="226"/>
      <c r="DY114" s="226"/>
      <c r="DZ114" s="226"/>
      <c r="EA114" s="226"/>
      <c r="EB114" s="226"/>
      <c r="EC114" s="226"/>
      <c r="ED114" s="226"/>
      <c r="EE114" s="226"/>
      <c r="EF114" s="226"/>
      <c r="EG114" s="226"/>
      <c r="EH114" s="226"/>
      <c r="EI114" s="226"/>
      <c r="EJ114" s="226"/>
      <c r="EK114" s="226"/>
      <c r="EL114" s="226"/>
      <c r="EM114" s="226"/>
      <c r="EN114" s="226"/>
      <c r="EO114" s="226"/>
      <c r="EP114" s="226"/>
    </row>
    <row r="115" spans="45:146">
      <c r="AS115" s="226"/>
      <c r="AT115" s="226"/>
      <c r="AU115" s="226"/>
      <c r="AV115" s="226"/>
      <c r="AW115" s="226"/>
      <c r="AX115" s="226"/>
      <c r="AY115" s="226"/>
      <c r="AZ115" s="226"/>
      <c r="BA115" s="226"/>
      <c r="BB115" s="226"/>
      <c r="BC115" s="226"/>
      <c r="BD115" s="226"/>
      <c r="BE115" s="226"/>
      <c r="BF115" s="226"/>
      <c r="BG115" s="226"/>
      <c r="BH115" s="226"/>
      <c r="BI115" s="226"/>
      <c r="BJ115" s="226"/>
      <c r="BK115" s="226"/>
      <c r="BL115" s="226"/>
      <c r="BM115" s="226"/>
      <c r="BN115" s="226"/>
      <c r="BO115" s="226"/>
      <c r="BP115" s="226"/>
      <c r="BQ115" s="226"/>
      <c r="BR115" s="226"/>
      <c r="BS115" s="226"/>
      <c r="BT115" s="226"/>
      <c r="BU115" s="226"/>
      <c r="BV115" s="226"/>
      <c r="BW115" s="226"/>
      <c r="BX115" s="226"/>
      <c r="BY115" s="226"/>
      <c r="BZ115" s="226"/>
      <c r="CA115" s="226"/>
      <c r="CB115" s="226"/>
      <c r="CC115" s="226"/>
      <c r="CD115" s="226"/>
      <c r="CE115" s="226"/>
      <c r="CF115" s="226"/>
      <c r="CG115" s="226"/>
      <c r="CH115" s="226"/>
      <c r="CI115" s="226"/>
      <c r="CJ115" s="226"/>
      <c r="CK115" s="226"/>
      <c r="CL115" s="226"/>
      <c r="CM115" s="226"/>
      <c r="CN115" s="226"/>
      <c r="CO115" s="226"/>
      <c r="CP115" s="226"/>
      <c r="CQ115" s="226"/>
      <c r="CR115" s="226"/>
      <c r="CS115" s="226"/>
      <c r="CT115" s="226"/>
      <c r="CU115" s="226"/>
      <c r="CV115" s="226"/>
      <c r="CW115" s="226"/>
      <c r="CX115" s="226"/>
      <c r="CY115" s="226"/>
      <c r="CZ115" s="226"/>
      <c r="DA115" s="226"/>
      <c r="DB115" s="226"/>
      <c r="DC115" s="226"/>
      <c r="DD115" s="226"/>
      <c r="DE115" s="226"/>
      <c r="DF115" s="226"/>
      <c r="DG115" s="226"/>
      <c r="DH115" s="226"/>
      <c r="DI115" s="226"/>
      <c r="DJ115" s="226"/>
      <c r="DK115" s="226"/>
      <c r="DL115" s="226"/>
      <c r="DM115" s="226"/>
      <c r="DN115" s="226"/>
      <c r="DO115" s="226"/>
      <c r="DP115" s="226"/>
      <c r="DQ115" s="226"/>
      <c r="DR115" s="226"/>
      <c r="DS115" s="226"/>
      <c r="DT115" s="226"/>
      <c r="DU115" s="226"/>
      <c r="DV115" s="226"/>
      <c r="DW115" s="226"/>
      <c r="DX115" s="226"/>
      <c r="DY115" s="226"/>
      <c r="DZ115" s="226"/>
      <c r="EA115" s="226"/>
      <c r="EB115" s="226"/>
      <c r="EC115" s="226"/>
      <c r="ED115" s="226"/>
      <c r="EE115" s="226"/>
      <c r="EF115" s="226"/>
      <c r="EG115" s="226"/>
      <c r="EH115" s="226"/>
      <c r="EI115" s="226"/>
      <c r="EJ115" s="226"/>
      <c r="EK115" s="226"/>
      <c r="EL115" s="226"/>
      <c r="EM115" s="226"/>
      <c r="EN115" s="226"/>
      <c r="EO115" s="226"/>
      <c r="EP115" s="226"/>
    </row>
    <row r="116" spans="45:146">
      <c r="AS116" s="226"/>
      <c r="AT116" s="226"/>
      <c r="AU116" s="226"/>
      <c r="AV116" s="226"/>
      <c r="AW116" s="226"/>
      <c r="AX116" s="226"/>
      <c r="AY116" s="226"/>
      <c r="AZ116" s="226"/>
      <c r="BA116" s="226"/>
      <c r="BB116" s="226"/>
      <c r="BC116" s="226"/>
      <c r="BD116" s="226"/>
      <c r="BE116" s="226"/>
      <c r="BF116" s="226"/>
      <c r="BG116" s="226"/>
      <c r="BH116" s="226"/>
      <c r="BI116" s="226"/>
      <c r="BJ116" s="226"/>
      <c r="BK116" s="226"/>
      <c r="BL116" s="226"/>
      <c r="BM116" s="226"/>
      <c r="BN116" s="226"/>
      <c r="BO116" s="226"/>
      <c r="BP116" s="226"/>
      <c r="BQ116" s="226"/>
      <c r="BR116" s="226"/>
      <c r="BS116" s="226"/>
      <c r="BT116" s="226"/>
      <c r="BU116" s="226"/>
      <c r="BV116" s="226"/>
      <c r="BW116" s="226"/>
      <c r="BX116" s="226"/>
      <c r="BY116" s="226"/>
      <c r="BZ116" s="226"/>
      <c r="CA116" s="226"/>
      <c r="CB116" s="226"/>
      <c r="CC116" s="226"/>
      <c r="CD116" s="226"/>
      <c r="CE116" s="226"/>
      <c r="CF116" s="226"/>
      <c r="CG116" s="226"/>
      <c r="CH116" s="226"/>
      <c r="CI116" s="226"/>
      <c r="CJ116" s="226"/>
      <c r="CK116" s="226"/>
      <c r="CL116" s="226"/>
      <c r="CM116" s="226"/>
      <c r="CN116" s="226"/>
      <c r="CO116" s="226"/>
      <c r="CP116" s="226"/>
      <c r="CQ116" s="226"/>
      <c r="CR116" s="226"/>
      <c r="CS116" s="226"/>
      <c r="CT116" s="226"/>
      <c r="CU116" s="226"/>
      <c r="CV116" s="226"/>
      <c r="CW116" s="226"/>
      <c r="CX116" s="226"/>
      <c r="CY116" s="226"/>
      <c r="CZ116" s="226"/>
      <c r="DA116" s="226"/>
      <c r="DB116" s="226"/>
      <c r="DC116" s="226"/>
      <c r="DD116" s="226"/>
      <c r="DE116" s="226"/>
      <c r="DF116" s="226"/>
      <c r="DG116" s="226"/>
      <c r="DH116" s="226"/>
      <c r="DI116" s="226"/>
      <c r="DJ116" s="226"/>
      <c r="DK116" s="226"/>
      <c r="DL116" s="226"/>
      <c r="DM116" s="226"/>
      <c r="DN116" s="226"/>
      <c r="DO116" s="226"/>
      <c r="DP116" s="226"/>
      <c r="DQ116" s="226"/>
      <c r="DR116" s="226"/>
      <c r="DS116" s="226"/>
      <c r="DT116" s="226"/>
      <c r="DU116" s="226"/>
      <c r="DV116" s="226"/>
      <c r="DW116" s="226"/>
      <c r="DX116" s="226"/>
      <c r="DY116" s="226"/>
      <c r="DZ116" s="226"/>
      <c r="EA116" s="226"/>
      <c r="EB116" s="226"/>
      <c r="EC116" s="226"/>
      <c r="ED116" s="226"/>
      <c r="EE116" s="226"/>
      <c r="EF116" s="226"/>
      <c r="EG116" s="226"/>
      <c r="EH116" s="226"/>
      <c r="EI116" s="226"/>
      <c r="EJ116" s="226"/>
      <c r="EK116" s="226"/>
      <c r="EL116" s="226"/>
      <c r="EM116" s="226"/>
      <c r="EN116" s="226"/>
      <c r="EO116" s="226"/>
      <c r="EP116" s="226"/>
    </row>
    <row r="117" spans="45:146">
      <c r="AS117" s="226"/>
      <c r="AT117" s="226"/>
      <c r="AU117" s="226"/>
      <c r="AV117" s="226"/>
      <c r="AW117" s="226"/>
      <c r="AX117" s="226"/>
      <c r="AY117" s="226"/>
      <c r="AZ117" s="226"/>
      <c r="BA117" s="226"/>
      <c r="BB117" s="226"/>
      <c r="BC117" s="226"/>
      <c r="BD117" s="226"/>
      <c r="BE117" s="226"/>
      <c r="BF117" s="226"/>
      <c r="BG117" s="226"/>
      <c r="BH117" s="226"/>
      <c r="BI117" s="226"/>
      <c r="BJ117" s="226"/>
      <c r="BK117" s="226"/>
      <c r="BL117" s="226"/>
      <c r="BM117" s="226"/>
      <c r="BN117" s="226"/>
      <c r="BO117" s="226"/>
      <c r="BP117" s="226"/>
      <c r="BQ117" s="226"/>
      <c r="BR117" s="226"/>
      <c r="BS117" s="226"/>
      <c r="BT117" s="226"/>
      <c r="BU117" s="226"/>
      <c r="BV117" s="226"/>
      <c r="BW117" s="226"/>
      <c r="BX117" s="226"/>
      <c r="BY117" s="226"/>
      <c r="BZ117" s="226"/>
      <c r="CA117" s="226"/>
      <c r="CB117" s="226"/>
      <c r="CC117" s="226"/>
      <c r="CD117" s="226"/>
      <c r="CE117" s="226"/>
      <c r="CF117" s="226"/>
      <c r="CG117" s="226"/>
      <c r="CH117" s="226"/>
      <c r="CI117" s="226"/>
      <c r="CJ117" s="226"/>
      <c r="CK117" s="226"/>
      <c r="CL117" s="226"/>
      <c r="CM117" s="226"/>
      <c r="CN117" s="226"/>
      <c r="CO117" s="226"/>
      <c r="CP117" s="226"/>
      <c r="CQ117" s="226"/>
      <c r="CR117" s="226"/>
      <c r="CS117" s="226"/>
      <c r="CT117" s="226"/>
      <c r="CU117" s="226"/>
      <c r="CV117" s="226"/>
      <c r="CW117" s="226"/>
      <c r="CX117" s="226"/>
      <c r="CY117" s="226"/>
      <c r="CZ117" s="226"/>
      <c r="DA117" s="226"/>
      <c r="DB117" s="226"/>
      <c r="DC117" s="226"/>
      <c r="DD117" s="226"/>
      <c r="DE117" s="226"/>
      <c r="DF117" s="226"/>
      <c r="DG117" s="226"/>
      <c r="DH117" s="226"/>
      <c r="DI117" s="226"/>
      <c r="DJ117" s="226"/>
      <c r="DK117" s="226"/>
      <c r="DL117" s="226"/>
      <c r="DM117" s="226"/>
      <c r="DN117" s="226"/>
      <c r="DO117" s="226"/>
      <c r="DP117" s="226"/>
      <c r="DQ117" s="226"/>
      <c r="DR117" s="226"/>
      <c r="DS117" s="226"/>
      <c r="DT117" s="226"/>
      <c r="DU117" s="226"/>
      <c r="DV117" s="226"/>
      <c r="DW117" s="226"/>
      <c r="DX117" s="226"/>
      <c r="DY117" s="226"/>
      <c r="DZ117" s="226"/>
      <c r="EA117" s="226"/>
      <c r="EB117" s="226"/>
      <c r="EC117" s="226"/>
      <c r="ED117" s="226"/>
      <c r="EE117" s="226"/>
      <c r="EF117" s="226"/>
      <c r="EG117" s="226"/>
      <c r="EH117" s="226"/>
      <c r="EI117" s="226"/>
      <c r="EJ117" s="226"/>
      <c r="EK117" s="226"/>
      <c r="EL117" s="226"/>
      <c r="EM117" s="226"/>
      <c r="EN117" s="226"/>
      <c r="EO117" s="226"/>
      <c r="EP117" s="226"/>
    </row>
    <row r="118" spans="45:146">
      <c r="AS118" s="226"/>
      <c r="AT118" s="226"/>
      <c r="AU118" s="226"/>
      <c r="AV118" s="226"/>
      <c r="AW118" s="226"/>
      <c r="AX118" s="226"/>
      <c r="AY118" s="226"/>
      <c r="AZ118" s="226"/>
      <c r="BA118" s="226"/>
      <c r="BB118" s="226"/>
      <c r="BC118" s="226"/>
      <c r="BD118" s="226"/>
      <c r="BE118" s="226"/>
      <c r="BF118" s="226"/>
      <c r="BG118" s="226"/>
      <c r="BH118" s="226"/>
      <c r="BI118" s="226"/>
      <c r="BJ118" s="226"/>
      <c r="BK118" s="226"/>
      <c r="BL118" s="226"/>
      <c r="BM118" s="226"/>
      <c r="BN118" s="226"/>
      <c r="BO118" s="226"/>
      <c r="BP118" s="226"/>
      <c r="BQ118" s="226"/>
      <c r="BR118" s="226"/>
      <c r="BS118" s="226"/>
      <c r="BT118" s="226"/>
      <c r="BU118" s="226"/>
      <c r="BV118" s="226"/>
      <c r="BW118" s="226"/>
      <c r="BX118" s="226"/>
      <c r="BY118" s="226"/>
      <c r="BZ118" s="226"/>
      <c r="CA118" s="226"/>
      <c r="CB118" s="226"/>
      <c r="CC118" s="226"/>
      <c r="CD118" s="226"/>
      <c r="CE118" s="226"/>
      <c r="CF118" s="226"/>
      <c r="CG118" s="226"/>
      <c r="CH118" s="226"/>
      <c r="CI118" s="226"/>
      <c r="CJ118" s="226"/>
      <c r="CK118" s="226"/>
      <c r="CL118" s="226"/>
      <c r="CM118" s="226"/>
      <c r="CN118" s="226"/>
      <c r="CO118" s="226"/>
      <c r="CP118" s="226"/>
      <c r="CQ118" s="226"/>
      <c r="CR118" s="226"/>
      <c r="CS118" s="226"/>
      <c r="CT118" s="226"/>
      <c r="CU118" s="226"/>
      <c r="CV118" s="226"/>
      <c r="CW118" s="226"/>
      <c r="CX118" s="226"/>
      <c r="CY118" s="226"/>
      <c r="CZ118" s="226"/>
      <c r="DA118" s="226"/>
      <c r="DB118" s="226"/>
      <c r="DC118" s="226"/>
      <c r="DD118" s="226"/>
      <c r="DE118" s="226"/>
      <c r="DF118" s="226"/>
      <c r="DG118" s="226"/>
      <c r="DH118" s="226"/>
      <c r="DI118" s="226"/>
      <c r="DJ118" s="226"/>
      <c r="DK118" s="226"/>
      <c r="DL118" s="226"/>
      <c r="DM118" s="226"/>
      <c r="DN118" s="226"/>
      <c r="DO118" s="226"/>
      <c r="DP118" s="226"/>
      <c r="DQ118" s="226"/>
      <c r="DR118" s="226"/>
      <c r="DS118" s="226"/>
      <c r="DT118" s="226"/>
      <c r="DU118" s="226"/>
      <c r="DV118" s="226"/>
      <c r="DW118" s="226"/>
      <c r="DX118" s="226"/>
      <c r="DY118" s="226"/>
      <c r="DZ118" s="226"/>
      <c r="EA118" s="226"/>
      <c r="EB118" s="226"/>
      <c r="EC118" s="226"/>
      <c r="ED118" s="226"/>
      <c r="EE118" s="226"/>
      <c r="EF118" s="226"/>
      <c r="EG118" s="226"/>
      <c r="EH118" s="226"/>
      <c r="EI118" s="226"/>
      <c r="EJ118" s="226"/>
      <c r="EK118" s="226"/>
      <c r="EL118" s="226"/>
      <c r="EM118" s="226"/>
      <c r="EN118" s="226"/>
      <c r="EO118" s="226"/>
      <c r="EP118" s="226"/>
    </row>
    <row r="119" spans="45:146">
      <c r="AS119" s="226"/>
      <c r="AT119" s="226"/>
      <c r="AU119" s="226"/>
      <c r="AV119" s="226"/>
      <c r="AW119" s="226"/>
      <c r="AX119" s="226"/>
      <c r="AY119" s="226"/>
      <c r="AZ119" s="226"/>
      <c r="BA119" s="226"/>
      <c r="BB119" s="226"/>
      <c r="BC119" s="226"/>
      <c r="BD119" s="226"/>
      <c r="BE119" s="226"/>
      <c r="BF119" s="226"/>
      <c r="BG119" s="226"/>
      <c r="BH119" s="226"/>
      <c r="BI119" s="226"/>
      <c r="BJ119" s="226"/>
      <c r="BK119" s="226"/>
      <c r="BL119" s="226"/>
      <c r="BM119" s="226"/>
      <c r="BN119" s="226"/>
      <c r="BO119" s="226"/>
      <c r="BP119" s="226"/>
      <c r="BQ119" s="226"/>
      <c r="BR119" s="226"/>
      <c r="BS119" s="226"/>
      <c r="BT119" s="226"/>
      <c r="BU119" s="226"/>
      <c r="BV119" s="226"/>
      <c r="BW119" s="226"/>
      <c r="BX119" s="226"/>
      <c r="BY119" s="226"/>
      <c r="BZ119" s="226"/>
      <c r="CA119" s="226"/>
      <c r="CB119" s="226"/>
      <c r="CC119" s="226"/>
      <c r="CD119" s="226"/>
      <c r="CE119" s="226"/>
      <c r="CF119" s="226"/>
      <c r="CG119" s="226"/>
      <c r="CH119" s="226"/>
      <c r="CI119" s="226"/>
      <c r="CJ119" s="226"/>
      <c r="CK119" s="226"/>
      <c r="CL119" s="226"/>
      <c r="CM119" s="226"/>
      <c r="CN119" s="226"/>
      <c r="CO119" s="226"/>
      <c r="CP119" s="226"/>
      <c r="CQ119" s="226"/>
      <c r="CR119" s="226"/>
      <c r="CS119" s="226"/>
      <c r="CT119" s="226"/>
      <c r="CU119" s="226"/>
      <c r="CV119" s="226"/>
      <c r="CW119" s="226"/>
      <c r="CX119" s="226"/>
      <c r="CY119" s="226"/>
      <c r="CZ119" s="226"/>
      <c r="DA119" s="226"/>
      <c r="DB119" s="226"/>
      <c r="DC119" s="226"/>
      <c r="DD119" s="226"/>
      <c r="DE119" s="226"/>
      <c r="DF119" s="226"/>
      <c r="DG119" s="226"/>
      <c r="DH119" s="226"/>
      <c r="DI119" s="226"/>
      <c r="DJ119" s="226"/>
      <c r="DK119" s="226"/>
      <c r="DL119" s="226"/>
      <c r="DM119" s="226"/>
      <c r="DN119" s="226"/>
      <c r="DO119" s="226"/>
      <c r="DP119" s="226"/>
      <c r="DQ119" s="226"/>
      <c r="DR119" s="226"/>
      <c r="DS119" s="226"/>
      <c r="DT119" s="226"/>
      <c r="DU119" s="226"/>
      <c r="DV119" s="226"/>
      <c r="DW119" s="226"/>
      <c r="DX119" s="226"/>
      <c r="DY119" s="226"/>
      <c r="DZ119" s="226"/>
      <c r="EA119" s="226"/>
      <c r="EB119" s="226"/>
      <c r="EC119" s="226"/>
      <c r="ED119" s="226"/>
      <c r="EE119" s="226"/>
      <c r="EF119" s="226"/>
      <c r="EG119" s="226"/>
      <c r="EH119" s="226"/>
      <c r="EI119" s="226"/>
      <c r="EJ119" s="226"/>
      <c r="EK119" s="226"/>
      <c r="EL119" s="226"/>
      <c r="EM119" s="226"/>
      <c r="EN119" s="226"/>
      <c r="EO119" s="226"/>
      <c r="EP119" s="226"/>
    </row>
    <row r="120" spans="45:146">
      <c r="AS120" s="226"/>
      <c r="AT120" s="226"/>
      <c r="AU120" s="226"/>
      <c r="AV120" s="226"/>
      <c r="AW120" s="226"/>
      <c r="AX120" s="226"/>
      <c r="AY120" s="226"/>
      <c r="AZ120" s="226"/>
      <c r="BA120" s="226"/>
      <c r="BB120" s="226"/>
      <c r="BC120" s="226"/>
      <c r="BD120" s="226"/>
      <c r="BE120" s="226"/>
      <c r="BF120" s="226"/>
      <c r="BG120" s="226"/>
      <c r="BH120" s="226"/>
      <c r="BI120" s="226"/>
      <c r="BJ120" s="226"/>
      <c r="BK120" s="226"/>
      <c r="BL120" s="226"/>
      <c r="BM120" s="226"/>
      <c r="BN120" s="226"/>
      <c r="BO120" s="226"/>
      <c r="BP120" s="226"/>
      <c r="BQ120" s="226"/>
      <c r="BR120" s="226"/>
      <c r="BS120" s="226"/>
      <c r="BT120" s="226"/>
      <c r="BU120" s="226"/>
      <c r="BV120" s="226"/>
      <c r="BW120" s="226"/>
      <c r="BX120" s="226"/>
      <c r="BY120" s="226"/>
      <c r="BZ120" s="226"/>
      <c r="CA120" s="226"/>
      <c r="CB120" s="226"/>
      <c r="CC120" s="226"/>
      <c r="CD120" s="226"/>
      <c r="CE120" s="226"/>
      <c r="CF120" s="226"/>
      <c r="CG120" s="226"/>
      <c r="CH120" s="226"/>
      <c r="CI120" s="226"/>
      <c r="CJ120" s="226"/>
      <c r="CK120" s="226"/>
      <c r="CL120" s="226"/>
      <c r="CM120" s="226"/>
      <c r="CN120" s="226"/>
      <c r="CO120" s="226"/>
      <c r="CP120" s="226"/>
      <c r="CQ120" s="226"/>
      <c r="CR120" s="226"/>
      <c r="CS120" s="226"/>
      <c r="CT120" s="226"/>
      <c r="CU120" s="226"/>
      <c r="CV120" s="226"/>
      <c r="CW120" s="226"/>
      <c r="CX120" s="226"/>
      <c r="CY120" s="226"/>
      <c r="CZ120" s="226"/>
      <c r="DA120" s="226"/>
      <c r="DB120" s="226"/>
      <c r="DC120" s="226"/>
      <c r="DD120" s="226"/>
      <c r="DE120" s="226"/>
      <c r="DF120" s="226"/>
      <c r="DG120" s="226"/>
      <c r="DH120" s="226"/>
      <c r="DI120" s="226"/>
      <c r="DJ120" s="226"/>
      <c r="DK120" s="226"/>
      <c r="DL120" s="226"/>
      <c r="DM120" s="226"/>
      <c r="DN120" s="226"/>
      <c r="DO120" s="226"/>
      <c r="DP120" s="226"/>
      <c r="DQ120" s="226"/>
      <c r="DR120" s="226"/>
      <c r="DS120" s="226"/>
      <c r="DT120" s="226"/>
      <c r="DU120" s="226"/>
      <c r="DV120" s="226"/>
      <c r="DW120" s="226"/>
      <c r="DX120" s="226"/>
      <c r="DY120" s="226"/>
      <c r="DZ120" s="226"/>
      <c r="EA120" s="226"/>
      <c r="EB120" s="226"/>
      <c r="EC120" s="226"/>
      <c r="ED120" s="226"/>
      <c r="EE120" s="226"/>
      <c r="EF120" s="226"/>
      <c r="EG120" s="226"/>
      <c r="EH120" s="226"/>
      <c r="EI120" s="226"/>
      <c r="EJ120" s="226"/>
      <c r="EK120" s="226"/>
      <c r="EL120" s="226"/>
      <c r="EM120" s="226"/>
      <c r="EN120" s="226"/>
      <c r="EO120" s="226"/>
      <c r="EP120" s="226"/>
    </row>
    <row r="121" spans="45:146">
      <c r="AS121" s="226"/>
      <c r="AT121" s="226"/>
      <c r="AU121" s="226"/>
      <c r="AV121" s="226"/>
      <c r="AW121" s="226"/>
      <c r="AX121" s="226"/>
      <c r="AY121" s="226"/>
      <c r="AZ121" s="226"/>
      <c r="BA121" s="226"/>
      <c r="BB121" s="226"/>
      <c r="BC121" s="226"/>
      <c r="BD121" s="226"/>
      <c r="BE121" s="226"/>
      <c r="BF121" s="226"/>
      <c r="BG121" s="226"/>
      <c r="BH121" s="226"/>
      <c r="BI121" s="226"/>
      <c r="BJ121" s="226"/>
      <c r="BK121" s="226"/>
      <c r="BL121" s="226"/>
      <c r="BM121" s="226"/>
      <c r="BN121" s="226"/>
      <c r="BO121" s="226"/>
      <c r="BP121" s="226"/>
      <c r="BQ121" s="226"/>
      <c r="BR121" s="226"/>
      <c r="BS121" s="226"/>
      <c r="BT121" s="226"/>
      <c r="BU121" s="226"/>
      <c r="BV121" s="226"/>
      <c r="BW121" s="226"/>
      <c r="BX121" s="226"/>
      <c r="BY121" s="226"/>
      <c r="BZ121" s="226"/>
      <c r="CA121" s="226"/>
      <c r="CB121" s="226"/>
      <c r="CC121" s="226"/>
      <c r="CD121" s="226"/>
      <c r="CE121" s="226"/>
      <c r="CF121" s="226"/>
      <c r="CG121" s="226"/>
      <c r="CH121" s="226"/>
      <c r="CI121" s="226"/>
      <c r="CJ121" s="226"/>
      <c r="CK121" s="226"/>
      <c r="CL121" s="226"/>
      <c r="CM121" s="226"/>
      <c r="CN121" s="226"/>
      <c r="CO121" s="226"/>
      <c r="CP121" s="226"/>
      <c r="CQ121" s="226"/>
      <c r="CR121" s="226"/>
      <c r="CS121" s="226"/>
      <c r="CT121" s="226"/>
      <c r="CU121" s="226"/>
      <c r="CV121" s="226"/>
      <c r="CW121" s="226"/>
      <c r="CX121" s="226"/>
      <c r="CY121" s="226"/>
      <c r="CZ121" s="226"/>
      <c r="DA121" s="226"/>
      <c r="DB121" s="226"/>
      <c r="DC121" s="226"/>
      <c r="DD121" s="226"/>
      <c r="DE121" s="226"/>
      <c r="DF121" s="226"/>
      <c r="DG121" s="226"/>
      <c r="DH121" s="226"/>
      <c r="DI121" s="226"/>
      <c r="DJ121" s="226"/>
      <c r="DK121" s="226"/>
      <c r="DL121" s="226"/>
      <c r="DM121" s="226"/>
      <c r="DN121" s="226"/>
      <c r="DO121" s="226"/>
      <c r="DP121" s="226"/>
      <c r="DQ121" s="226"/>
      <c r="DR121" s="226"/>
      <c r="DS121" s="226"/>
      <c r="DT121" s="226"/>
      <c r="DU121" s="226"/>
      <c r="DV121" s="226"/>
      <c r="DW121" s="226"/>
      <c r="DX121" s="226"/>
      <c r="DY121" s="226"/>
      <c r="DZ121" s="226"/>
      <c r="EA121" s="226"/>
      <c r="EB121" s="226"/>
      <c r="EC121" s="226"/>
      <c r="ED121" s="226"/>
      <c r="EE121" s="226"/>
      <c r="EF121" s="226"/>
      <c r="EG121" s="226"/>
      <c r="EH121" s="226"/>
      <c r="EI121" s="226"/>
      <c r="EJ121" s="226"/>
      <c r="EK121" s="226"/>
      <c r="EL121" s="226"/>
      <c r="EM121" s="226"/>
      <c r="EN121" s="226"/>
      <c r="EO121" s="226"/>
      <c r="EP121" s="226"/>
    </row>
    <row r="122" spans="45:146">
      <c r="AS122" s="226"/>
      <c r="AT122" s="226"/>
      <c r="AU122" s="226"/>
      <c r="AV122" s="226"/>
      <c r="AW122" s="226"/>
      <c r="AX122" s="226"/>
      <c r="AY122" s="226"/>
      <c r="AZ122" s="226"/>
      <c r="BA122" s="226"/>
      <c r="BB122" s="226"/>
      <c r="BC122" s="226"/>
      <c r="BD122" s="226"/>
      <c r="BE122" s="226"/>
      <c r="BF122" s="226"/>
      <c r="BG122" s="226"/>
      <c r="BH122" s="226"/>
      <c r="BI122" s="226"/>
      <c r="BJ122" s="226"/>
      <c r="BK122" s="226"/>
      <c r="BL122" s="226"/>
      <c r="BM122" s="226"/>
      <c r="BN122" s="226"/>
      <c r="BO122" s="226"/>
      <c r="BP122" s="226"/>
      <c r="BQ122" s="226"/>
      <c r="BR122" s="226"/>
      <c r="BS122" s="226"/>
      <c r="BT122" s="226"/>
      <c r="BU122" s="226"/>
      <c r="BV122" s="226"/>
      <c r="BW122" s="226"/>
      <c r="BX122" s="226"/>
      <c r="BY122" s="226"/>
      <c r="BZ122" s="226"/>
      <c r="CA122" s="226"/>
      <c r="CB122" s="226"/>
      <c r="CC122" s="226"/>
      <c r="CD122" s="226"/>
      <c r="CE122" s="226"/>
      <c r="CF122" s="226"/>
      <c r="CG122" s="226"/>
      <c r="CH122" s="226"/>
      <c r="CI122" s="226"/>
      <c r="CJ122" s="226"/>
      <c r="CK122" s="226"/>
      <c r="CL122" s="226"/>
      <c r="CM122" s="226"/>
      <c r="CN122" s="226"/>
      <c r="CO122" s="226"/>
      <c r="CP122" s="226"/>
      <c r="CQ122" s="226"/>
      <c r="CR122" s="226"/>
      <c r="CS122" s="226"/>
      <c r="CT122" s="226"/>
      <c r="CU122" s="226"/>
      <c r="CV122" s="226"/>
      <c r="CW122" s="226"/>
      <c r="CX122" s="226"/>
      <c r="CY122" s="226"/>
      <c r="CZ122" s="226"/>
      <c r="DA122" s="226"/>
      <c r="DB122" s="226"/>
      <c r="DC122" s="226"/>
      <c r="DD122" s="226"/>
      <c r="DE122" s="226"/>
      <c r="DF122" s="226"/>
      <c r="DG122" s="226"/>
      <c r="DH122" s="226"/>
      <c r="DI122" s="226"/>
      <c r="DJ122" s="226"/>
      <c r="DK122" s="226"/>
      <c r="DL122" s="226"/>
      <c r="DM122" s="226"/>
      <c r="DN122" s="226"/>
      <c r="DO122" s="226"/>
      <c r="DP122" s="226"/>
      <c r="DQ122" s="226"/>
      <c r="DR122" s="226"/>
      <c r="DS122" s="226"/>
      <c r="DT122" s="226"/>
      <c r="DU122" s="226"/>
      <c r="DV122" s="226"/>
      <c r="DW122" s="226"/>
      <c r="DX122" s="226"/>
      <c r="DY122" s="226"/>
      <c r="DZ122" s="226"/>
      <c r="EA122" s="226"/>
      <c r="EB122" s="226"/>
      <c r="EC122" s="226"/>
      <c r="ED122" s="226"/>
      <c r="EE122" s="226"/>
      <c r="EF122" s="226"/>
      <c r="EG122" s="226"/>
      <c r="EH122" s="226"/>
      <c r="EI122" s="226"/>
      <c r="EJ122" s="226"/>
      <c r="EK122" s="226"/>
      <c r="EL122" s="226"/>
      <c r="EM122" s="226"/>
      <c r="EN122" s="226"/>
      <c r="EO122" s="226"/>
      <c r="EP122" s="226"/>
    </row>
    <row r="123" spans="45:146">
      <c r="AS123" s="226"/>
      <c r="AT123" s="226"/>
      <c r="AU123" s="226"/>
      <c r="AV123" s="226"/>
      <c r="AW123" s="226"/>
      <c r="AX123" s="226"/>
      <c r="AY123" s="226"/>
      <c r="AZ123" s="226"/>
      <c r="BA123" s="226"/>
      <c r="BB123" s="226"/>
      <c r="BC123" s="226"/>
      <c r="BD123" s="226"/>
      <c r="BE123" s="226"/>
      <c r="BF123" s="226"/>
      <c r="BG123" s="226"/>
      <c r="BH123" s="226"/>
      <c r="BI123" s="226"/>
      <c r="BJ123" s="226"/>
      <c r="BK123" s="226"/>
      <c r="BL123" s="226"/>
      <c r="BM123" s="226"/>
      <c r="BN123" s="226"/>
      <c r="BO123" s="226"/>
      <c r="BP123" s="226"/>
      <c r="BQ123" s="226"/>
      <c r="BR123" s="226"/>
      <c r="BS123" s="226"/>
      <c r="BT123" s="226"/>
      <c r="BU123" s="226"/>
      <c r="BV123" s="226"/>
      <c r="BW123" s="226"/>
      <c r="BX123" s="226"/>
      <c r="BY123" s="226"/>
      <c r="BZ123" s="226"/>
      <c r="CA123" s="226"/>
      <c r="CB123" s="226"/>
      <c r="CC123" s="226"/>
      <c r="CD123" s="226"/>
      <c r="CE123" s="226"/>
      <c r="CF123" s="226"/>
      <c r="CG123" s="226"/>
      <c r="CH123" s="226"/>
      <c r="CI123" s="226"/>
      <c r="CJ123" s="226"/>
      <c r="CK123" s="226"/>
      <c r="CL123" s="226"/>
      <c r="CM123" s="226"/>
      <c r="CN123" s="226"/>
      <c r="CO123" s="226"/>
      <c r="CP123" s="226"/>
      <c r="CQ123" s="226"/>
      <c r="CR123" s="226"/>
      <c r="CS123" s="226"/>
      <c r="CT123" s="226"/>
      <c r="CU123" s="226"/>
      <c r="CV123" s="226"/>
      <c r="CW123" s="226"/>
      <c r="CX123" s="226"/>
      <c r="CY123" s="226"/>
      <c r="CZ123" s="226"/>
      <c r="DA123" s="226"/>
      <c r="DB123" s="226"/>
      <c r="DC123" s="226"/>
      <c r="DD123" s="226"/>
      <c r="DE123" s="226"/>
      <c r="DF123" s="226"/>
      <c r="DG123" s="226"/>
      <c r="DH123" s="226"/>
      <c r="DI123" s="226"/>
      <c r="DJ123" s="226"/>
      <c r="DK123" s="226"/>
      <c r="DL123" s="226"/>
      <c r="DM123" s="226"/>
      <c r="DN123" s="226"/>
      <c r="DO123" s="226"/>
      <c r="DP123" s="226"/>
      <c r="DQ123" s="226"/>
      <c r="DR123" s="226"/>
      <c r="DS123" s="226"/>
      <c r="DT123" s="226"/>
      <c r="DU123" s="226"/>
      <c r="DV123" s="226"/>
      <c r="DW123" s="226"/>
      <c r="DX123" s="226"/>
      <c r="DY123" s="226"/>
      <c r="DZ123" s="226"/>
      <c r="EA123" s="226"/>
      <c r="EB123" s="226"/>
      <c r="EC123" s="226"/>
      <c r="ED123" s="226"/>
      <c r="EE123" s="226"/>
      <c r="EF123" s="226"/>
      <c r="EG123" s="226"/>
      <c r="EH123" s="226"/>
      <c r="EI123" s="226"/>
      <c r="EJ123" s="226"/>
      <c r="EK123" s="226"/>
      <c r="EL123" s="226"/>
      <c r="EM123" s="226"/>
      <c r="EN123" s="226"/>
      <c r="EO123" s="226"/>
      <c r="EP123" s="226"/>
    </row>
    <row r="124" spans="45:146">
      <c r="AS124" s="226"/>
      <c r="AT124" s="226"/>
      <c r="AU124" s="226"/>
      <c r="AV124" s="226"/>
      <c r="AW124" s="226"/>
      <c r="AX124" s="226"/>
      <c r="AY124" s="226"/>
      <c r="AZ124" s="226"/>
      <c r="BA124" s="226"/>
      <c r="BB124" s="226"/>
      <c r="BC124" s="226"/>
      <c r="BD124" s="226"/>
      <c r="BE124" s="226"/>
      <c r="BF124" s="226"/>
      <c r="BG124" s="226"/>
      <c r="BH124" s="226"/>
      <c r="BI124" s="226"/>
      <c r="BJ124" s="226"/>
      <c r="BK124" s="226"/>
      <c r="BL124" s="226"/>
      <c r="BM124" s="226"/>
      <c r="BN124" s="226"/>
      <c r="BO124" s="226"/>
      <c r="BP124" s="226"/>
      <c r="BQ124" s="226"/>
      <c r="BR124" s="226"/>
      <c r="BS124" s="226"/>
      <c r="BT124" s="226"/>
      <c r="BU124" s="226"/>
      <c r="BV124" s="226"/>
      <c r="BW124" s="226"/>
      <c r="BX124" s="226"/>
      <c r="BY124" s="226"/>
      <c r="BZ124" s="226"/>
      <c r="CA124" s="226"/>
      <c r="CB124" s="226"/>
      <c r="CC124" s="226"/>
      <c r="CD124" s="226"/>
      <c r="CE124" s="226"/>
      <c r="CF124" s="226"/>
      <c r="CG124" s="226"/>
      <c r="CH124" s="226"/>
      <c r="CI124" s="226"/>
      <c r="CJ124" s="226"/>
      <c r="CK124" s="226"/>
      <c r="CL124" s="226"/>
      <c r="CM124" s="226"/>
      <c r="CN124" s="226"/>
      <c r="CO124" s="226"/>
      <c r="CP124" s="226"/>
      <c r="CQ124" s="226"/>
      <c r="CR124" s="226"/>
      <c r="CS124" s="226"/>
      <c r="CT124" s="226"/>
      <c r="CU124" s="226"/>
      <c r="CV124" s="226"/>
      <c r="CW124" s="226"/>
      <c r="CX124" s="226"/>
      <c r="CY124" s="226"/>
      <c r="CZ124" s="226"/>
      <c r="DA124" s="226"/>
      <c r="DB124" s="226"/>
      <c r="DC124" s="226"/>
      <c r="DD124" s="226"/>
      <c r="DE124" s="226"/>
      <c r="DF124" s="226"/>
      <c r="DG124" s="226"/>
      <c r="DH124" s="226"/>
      <c r="DI124" s="226"/>
      <c r="DJ124" s="226"/>
      <c r="DK124" s="226"/>
      <c r="DL124" s="226"/>
      <c r="DM124" s="226"/>
      <c r="DN124" s="226"/>
      <c r="DO124" s="226"/>
      <c r="DP124" s="226"/>
      <c r="DQ124" s="226"/>
      <c r="DR124" s="226"/>
      <c r="DS124" s="226"/>
      <c r="DT124" s="226"/>
      <c r="DU124" s="226"/>
      <c r="DV124" s="226"/>
      <c r="DW124" s="226"/>
      <c r="DX124" s="226"/>
      <c r="DY124" s="226"/>
      <c r="DZ124" s="226"/>
      <c r="EA124" s="226"/>
      <c r="EB124" s="226"/>
      <c r="EC124" s="226"/>
      <c r="ED124" s="226"/>
      <c r="EE124" s="226"/>
      <c r="EF124" s="226"/>
      <c r="EG124" s="226"/>
      <c r="EH124" s="226"/>
      <c r="EI124" s="226"/>
      <c r="EJ124" s="226"/>
      <c r="EK124" s="226"/>
      <c r="EL124" s="226"/>
      <c r="EM124" s="226"/>
      <c r="EN124" s="226"/>
      <c r="EO124" s="226"/>
      <c r="EP124" s="226"/>
    </row>
    <row r="125" spans="45:146">
      <c r="AS125" s="226"/>
      <c r="AT125" s="226"/>
      <c r="AU125" s="226"/>
      <c r="AV125" s="226"/>
      <c r="AW125" s="226"/>
      <c r="AX125" s="226"/>
      <c r="AY125" s="226"/>
      <c r="AZ125" s="226"/>
      <c r="BA125" s="226"/>
      <c r="BB125" s="226"/>
      <c r="BC125" s="226"/>
      <c r="BD125" s="226"/>
      <c r="BE125" s="226"/>
      <c r="BF125" s="226"/>
      <c r="BG125" s="226"/>
      <c r="BH125" s="226"/>
      <c r="BI125" s="226"/>
      <c r="BJ125" s="226"/>
      <c r="BK125" s="226"/>
      <c r="BL125" s="226"/>
      <c r="BM125" s="226"/>
      <c r="BN125" s="226"/>
      <c r="BO125" s="226"/>
      <c r="BP125" s="226"/>
      <c r="BQ125" s="226"/>
      <c r="BR125" s="226"/>
      <c r="BS125" s="226"/>
      <c r="BT125" s="226"/>
      <c r="BU125" s="226"/>
      <c r="BV125" s="226"/>
      <c r="BW125" s="226"/>
      <c r="BX125" s="226"/>
      <c r="BY125" s="226"/>
      <c r="BZ125" s="226"/>
      <c r="CA125" s="226"/>
      <c r="CB125" s="226"/>
      <c r="CC125" s="226"/>
      <c r="CD125" s="226"/>
      <c r="CE125" s="226"/>
      <c r="CF125" s="226"/>
      <c r="CG125" s="226"/>
      <c r="CH125" s="226"/>
      <c r="CI125" s="226"/>
      <c r="CJ125" s="226"/>
      <c r="CK125" s="226"/>
      <c r="CL125" s="226"/>
      <c r="CM125" s="226"/>
      <c r="CN125" s="226"/>
      <c r="CO125" s="226"/>
      <c r="CP125" s="226"/>
      <c r="CQ125" s="226"/>
      <c r="CR125" s="226"/>
      <c r="CS125" s="226"/>
      <c r="CT125" s="226"/>
      <c r="CU125" s="226"/>
      <c r="CV125" s="226"/>
      <c r="CW125" s="226"/>
      <c r="CX125" s="226"/>
      <c r="CY125" s="226"/>
      <c r="CZ125" s="226"/>
      <c r="DA125" s="226"/>
      <c r="DB125" s="226"/>
      <c r="DC125" s="226"/>
      <c r="DD125" s="226"/>
      <c r="DE125" s="226"/>
      <c r="DF125" s="226"/>
      <c r="DG125" s="226"/>
      <c r="DH125" s="226"/>
      <c r="DI125" s="226"/>
      <c r="DJ125" s="226"/>
      <c r="DK125" s="226"/>
      <c r="DL125" s="226"/>
      <c r="DM125" s="226"/>
      <c r="DN125" s="226"/>
      <c r="DO125" s="226"/>
      <c r="DP125" s="226"/>
      <c r="DQ125" s="226"/>
      <c r="DR125" s="226"/>
      <c r="DS125" s="226"/>
      <c r="DT125" s="226"/>
      <c r="DU125" s="226"/>
      <c r="DV125" s="226"/>
      <c r="DW125" s="226"/>
      <c r="DX125" s="226"/>
      <c r="DY125" s="226"/>
      <c r="DZ125" s="226"/>
      <c r="EA125" s="226"/>
      <c r="EB125" s="226"/>
      <c r="EC125" s="226"/>
      <c r="ED125" s="226"/>
      <c r="EE125" s="226"/>
      <c r="EF125" s="226"/>
      <c r="EG125" s="226"/>
      <c r="EH125" s="226"/>
      <c r="EI125" s="226"/>
      <c r="EJ125" s="226"/>
      <c r="EK125" s="226"/>
      <c r="EL125" s="226"/>
      <c r="EM125" s="226"/>
      <c r="EN125" s="226"/>
      <c r="EO125" s="226"/>
      <c r="EP125" s="226"/>
    </row>
    <row r="126" spans="45:146">
      <c r="AS126" s="226"/>
      <c r="AT126" s="226"/>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26"/>
      <c r="CE126" s="226"/>
      <c r="CF126" s="226"/>
      <c r="CG126" s="226"/>
      <c r="CH126" s="226"/>
      <c r="CI126" s="226"/>
      <c r="CJ126" s="226"/>
      <c r="CK126" s="226"/>
      <c r="CL126" s="226"/>
      <c r="CM126" s="226"/>
      <c r="CN126" s="226"/>
      <c r="CO126" s="226"/>
      <c r="CP126" s="226"/>
      <c r="CQ126" s="226"/>
      <c r="CR126" s="226"/>
      <c r="CS126" s="226"/>
      <c r="CT126" s="226"/>
      <c r="CU126" s="226"/>
      <c r="CV126" s="226"/>
      <c r="CW126" s="226"/>
      <c r="CX126" s="226"/>
      <c r="CY126" s="226"/>
      <c r="CZ126" s="226"/>
      <c r="DA126" s="226"/>
      <c r="DB126" s="226"/>
      <c r="DC126" s="226"/>
      <c r="DD126" s="226"/>
      <c r="DE126" s="226"/>
      <c r="DF126" s="226"/>
      <c r="DG126" s="226"/>
      <c r="DH126" s="226"/>
      <c r="DI126" s="226"/>
      <c r="DJ126" s="226"/>
      <c r="DK126" s="226"/>
      <c r="DL126" s="226"/>
      <c r="DM126" s="226"/>
      <c r="DN126" s="226"/>
      <c r="DO126" s="226"/>
      <c r="DP126" s="226"/>
      <c r="DQ126" s="226"/>
      <c r="DR126" s="226"/>
      <c r="DS126" s="226"/>
      <c r="DT126" s="226"/>
      <c r="DU126" s="226"/>
      <c r="DV126" s="226"/>
      <c r="DW126" s="226"/>
      <c r="DX126" s="226"/>
      <c r="DY126" s="226"/>
      <c r="DZ126" s="226"/>
      <c r="EA126" s="226"/>
      <c r="EB126" s="226"/>
      <c r="EC126" s="226"/>
      <c r="ED126" s="226"/>
      <c r="EE126" s="226"/>
      <c r="EF126" s="226"/>
      <c r="EG126" s="226"/>
      <c r="EH126" s="226"/>
      <c r="EI126" s="226"/>
      <c r="EJ126" s="226"/>
      <c r="EK126" s="226"/>
      <c r="EL126" s="226"/>
      <c r="EM126" s="226"/>
      <c r="EN126" s="226"/>
      <c r="EO126" s="226"/>
      <c r="EP126" s="226"/>
    </row>
    <row r="127" spans="45:146">
      <c r="AS127" s="226"/>
      <c r="AT127" s="226"/>
      <c r="AU127" s="226"/>
      <c r="AV127" s="226"/>
      <c r="AW127" s="226"/>
      <c r="AX127" s="226"/>
      <c r="AY127" s="226"/>
      <c r="AZ127" s="226"/>
      <c r="BA127" s="226"/>
      <c r="BB127" s="226"/>
      <c r="BC127" s="226"/>
      <c r="BD127" s="226"/>
      <c r="BE127" s="226"/>
      <c r="BF127" s="226"/>
      <c r="BG127" s="226"/>
      <c r="BH127" s="226"/>
      <c r="BI127" s="226"/>
      <c r="BJ127" s="226"/>
      <c r="BK127" s="226"/>
      <c r="BL127" s="226"/>
      <c r="BM127" s="226"/>
      <c r="BN127" s="226"/>
      <c r="BO127" s="226"/>
      <c r="BP127" s="226"/>
      <c r="BQ127" s="226"/>
      <c r="BR127" s="226"/>
      <c r="BS127" s="226"/>
      <c r="BT127" s="226"/>
      <c r="BU127" s="226"/>
      <c r="BV127" s="226"/>
      <c r="BW127" s="226"/>
      <c r="BX127" s="226"/>
      <c r="BY127" s="226"/>
      <c r="BZ127" s="226"/>
      <c r="CA127" s="226"/>
      <c r="CB127" s="226"/>
      <c r="CC127" s="226"/>
      <c r="CD127" s="226"/>
      <c r="CE127" s="226"/>
      <c r="CF127" s="226"/>
      <c r="CG127" s="226"/>
      <c r="CH127" s="226"/>
      <c r="CI127" s="226"/>
      <c r="CJ127" s="226"/>
      <c r="CK127" s="226"/>
      <c r="CL127" s="226"/>
      <c r="CM127" s="226"/>
      <c r="CN127" s="226"/>
      <c r="CO127" s="226"/>
      <c r="CP127" s="226"/>
      <c r="CQ127" s="226"/>
      <c r="CR127" s="226"/>
      <c r="CS127" s="226"/>
      <c r="CT127" s="226"/>
      <c r="CU127" s="226"/>
      <c r="CV127" s="226"/>
      <c r="CW127" s="226"/>
      <c r="CX127" s="226"/>
      <c r="CY127" s="226"/>
      <c r="CZ127" s="226"/>
      <c r="DA127" s="226"/>
      <c r="DB127" s="226"/>
      <c r="DC127" s="226"/>
      <c r="DD127" s="226"/>
      <c r="DE127" s="226"/>
      <c r="DF127" s="226"/>
      <c r="DG127" s="226"/>
      <c r="DH127" s="226"/>
      <c r="DI127" s="226"/>
      <c r="DJ127" s="226"/>
      <c r="DK127" s="226"/>
      <c r="DL127" s="226"/>
      <c r="DM127" s="226"/>
      <c r="DN127" s="226"/>
      <c r="DO127" s="226"/>
      <c r="DP127" s="226"/>
      <c r="DQ127" s="226"/>
      <c r="DR127" s="226"/>
      <c r="DS127" s="226"/>
      <c r="DT127" s="226"/>
      <c r="DU127" s="226"/>
      <c r="DV127" s="226"/>
      <c r="DW127" s="226"/>
      <c r="DX127" s="226"/>
      <c r="DY127" s="226"/>
      <c r="DZ127" s="226"/>
      <c r="EA127" s="226"/>
      <c r="EB127" s="226"/>
      <c r="EC127" s="226"/>
      <c r="ED127" s="226"/>
      <c r="EE127" s="226"/>
      <c r="EF127" s="226"/>
      <c r="EG127" s="226"/>
      <c r="EH127" s="226"/>
      <c r="EI127" s="226"/>
      <c r="EJ127" s="226"/>
      <c r="EK127" s="226"/>
      <c r="EL127" s="226"/>
      <c r="EM127" s="226"/>
      <c r="EN127" s="226"/>
      <c r="EO127" s="226"/>
      <c r="EP127" s="226"/>
    </row>
    <row r="128" spans="45:146">
      <c r="AS128" s="226"/>
      <c r="AT128" s="226"/>
      <c r="AU128" s="226"/>
      <c r="AV128" s="226"/>
      <c r="AW128" s="226"/>
      <c r="AX128" s="226"/>
      <c r="AY128" s="226"/>
      <c r="AZ128" s="226"/>
      <c r="BA128" s="226"/>
      <c r="BB128" s="226"/>
      <c r="BC128" s="226"/>
      <c r="BD128" s="226"/>
      <c r="BE128" s="226"/>
      <c r="BF128" s="226"/>
      <c r="BG128" s="226"/>
      <c r="BH128" s="226"/>
      <c r="BI128" s="226"/>
      <c r="BJ128" s="226"/>
      <c r="BK128" s="226"/>
      <c r="BL128" s="226"/>
      <c r="BM128" s="226"/>
      <c r="BN128" s="226"/>
      <c r="BO128" s="226"/>
      <c r="BP128" s="226"/>
      <c r="BQ128" s="226"/>
      <c r="BR128" s="226"/>
      <c r="BS128" s="226"/>
      <c r="BT128" s="226"/>
      <c r="BU128" s="226"/>
      <c r="BV128" s="226"/>
      <c r="BW128" s="226"/>
      <c r="BX128" s="226"/>
      <c r="BY128" s="226"/>
      <c r="BZ128" s="226"/>
      <c r="CA128" s="226"/>
      <c r="CB128" s="226"/>
      <c r="CC128" s="226"/>
      <c r="CD128" s="226"/>
      <c r="CE128" s="226"/>
      <c r="CF128" s="226"/>
      <c r="CG128" s="226"/>
      <c r="CH128" s="226"/>
      <c r="CI128" s="226"/>
      <c r="CJ128" s="226"/>
      <c r="CK128" s="226"/>
      <c r="CL128" s="226"/>
      <c r="CM128" s="226"/>
      <c r="CN128" s="226"/>
      <c r="CO128" s="226"/>
      <c r="CP128" s="226"/>
      <c r="CQ128" s="226"/>
      <c r="CR128" s="226"/>
      <c r="CS128" s="226"/>
      <c r="CT128" s="226"/>
      <c r="CU128" s="226"/>
      <c r="CV128" s="226"/>
      <c r="CW128" s="226"/>
      <c r="CX128" s="226"/>
      <c r="CY128" s="226"/>
      <c r="CZ128" s="226"/>
      <c r="DA128" s="226"/>
      <c r="DB128" s="226"/>
      <c r="DC128" s="226"/>
      <c r="DD128" s="226"/>
      <c r="DE128" s="226"/>
      <c r="DF128" s="226"/>
      <c r="DG128" s="226"/>
      <c r="DH128" s="226"/>
      <c r="DI128" s="226"/>
      <c r="DJ128" s="226"/>
      <c r="DK128" s="226"/>
      <c r="DL128" s="226"/>
      <c r="DM128" s="226"/>
      <c r="DN128" s="226"/>
      <c r="DO128" s="226"/>
      <c r="DP128" s="226"/>
      <c r="DQ128" s="226"/>
      <c r="DR128" s="226"/>
      <c r="DS128" s="226"/>
      <c r="DT128" s="226"/>
      <c r="DU128" s="226"/>
      <c r="DV128" s="226"/>
      <c r="DW128" s="226"/>
      <c r="DX128" s="226"/>
      <c r="DY128" s="226"/>
      <c r="DZ128" s="226"/>
      <c r="EA128" s="226"/>
      <c r="EB128" s="226"/>
      <c r="EC128" s="226"/>
      <c r="ED128" s="226"/>
      <c r="EE128" s="226"/>
      <c r="EF128" s="226"/>
      <c r="EG128" s="226"/>
      <c r="EH128" s="226"/>
      <c r="EI128" s="226"/>
      <c r="EJ128" s="226"/>
      <c r="EK128" s="226"/>
      <c r="EL128" s="226"/>
      <c r="EM128" s="226"/>
      <c r="EN128" s="226"/>
      <c r="EO128" s="226"/>
      <c r="EP128" s="226"/>
    </row>
    <row r="129" spans="45:146">
      <c r="AS129" s="226"/>
      <c r="AT129" s="226"/>
      <c r="AU129" s="226"/>
      <c r="AV129" s="226"/>
      <c r="AW129" s="226"/>
      <c r="AX129" s="226"/>
      <c r="AY129" s="226"/>
      <c r="AZ129" s="226"/>
      <c r="BA129" s="226"/>
      <c r="BB129" s="226"/>
      <c r="BC129" s="226"/>
      <c r="BD129" s="226"/>
      <c r="BE129" s="226"/>
      <c r="BF129" s="226"/>
      <c r="BG129" s="226"/>
      <c r="BH129" s="226"/>
      <c r="BI129" s="226"/>
      <c r="BJ129" s="226"/>
      <c r="BK129" s="226"/>
      <c r="BL129" s="226"/>
      <c r="BM129" s="226"/>
      <c r="BN129" s="226"/>
      <c r="BO129" s="226"/>
      <c r="BP129" s="226"/>
      <c r="BQ129" s="226"/>
      <c r="BR129" s="226"/>
      <c r="BS129" s="226"/>
      <c r="BT129" s="226"/>
      <c r="BU129" s="226"/>
      <c r="BV129" s="226"/>
      <c r="BW129" s="226"/>
      <c r="BX129" s="226"/>
      <c r="BY129" s="226"/>
      <c r="BZ129" s="226"/>
      <c r="CA129" s="226"/>
      <c r="CB129" s="226"/>
      <c r="CC129" s="226"/>
      <c r="CD129" s="226"/>
      <c r="CE129" s="226"/>
      <c r="CF129" s="226"/>
      <c r="CG129" s="226"/>
      <c r="CH129" s="226"/>
      <c r="CI129" s="226"/>
      <c r="CJ129" s="226"/>
      <c r="CK129" s="226"/>
      <c r="CL129" s="226"/>
      <c r="CM129" s="226"/>
      <c r="CN129" s="226"/>
      <c r="CO129" s="226"/>
      <c r="CP129" s="226"/>
      <c r="CQ129" s="226"/>
      <c r="CR129" s="226"/>
      <c r="CS129" s="226"/>
      <c r="CT129" s="226"/>
      <c r="CU129" s="226"/>
      <c r="CV129" s="226"/>
      <c r="CW129" s="226"/>
      <c r="CX129" s="226"/>
      <c r="CY129" s="226"/>
      <c r="CZ129" s="226"/>
      <c r="DA129" s="226"/>
      <c r="DB129" s="226"/>
      <c r="DC129" s="226"/>
      <c r="DD129" s="226"/>
      <c r="DE129" s="226"/>
      <c r="DF129" s="226"/>
      <c r="DG129" s="226"/>
      <c r="DH129" s="226"/>
      <c r="DI129" s="226"/>
      <c r="DJ129" s="226"/>
      <c r="DK129" s="226"/>
      <c r="DL129" s="226"/>
      <c r="DM129" s="226"/>
      <c r="DN129" s="226"/>
      <c r="DO129" s="226"/>
      <c r="DP129" s="226"/>
      <c r="DQ129" s="226"/>
      <c r="DR129" s="226"/>
      <c r="DS129" s="226"/>
      <c r="DT129" s="226"/>
      <c r="DU129" s="226"/>
      <c r="DV129" s="226"/>
      <c r="DW129" s="226"/>
      <c r="DX129" s="226"/>
      <c r="DY129" s="226"/>
      <c r="DZ129" s="226"/>
      <c r="EA129" s="226"/>
      <c r="EB129" s="226"/>
      <c r="EC129" s="226"/>
      <c r="ED129" s="226"/>
      <c r="EE129" s="226"/>
      <c r="EF129" s="226"/>
      <c r="EG129" s="226"/>
      <c r="EH129" s="226"/>
      <c r="EI129" s="226"/>
      <c r="EJ129" s="226"/>
      <c r="EK129" s="226"/>
      <c r="EL129" s="226"/>
      <c r="EM129" s="226"/>
      <c r="EN129" s="226"/>
      <c r="EO129" s="226"/>
      <c r="EP129" s="226"/>
    </row>
    <row r="130" spans="45:146">
      <c r="AS130" s="226"/>
      <c r="AT130" s="226"/>
      <c r="AU130" s="226"/>
      <c r="AV130" s="226"/>
      <c r="AW130" s="226"/>
      <c r="AX130" s="226"/>
      <c r="AY130" s="226"/>
      <c r="AZ130" s="226"/>
      <c r="BA130" s="226"/>
      <c r="BB130" s="226"/>
      <c r="BC130" s="226"/>
      <c r="BD130" s="226"/>
      <c r="BE130" s="226"/>
      <c r="BF130" s="226"/>
      <c r="BG130" s="226"/>
      <c r="BH130" s="226"/>
      <c r="BI130" s="226"/>
      <c r="BJ130" s="226"/>
      <c r="BK130" s="226"/>
      <c r="BL130" s="226"/>
      <c r="BM130" s="226"/>
      <c r="BN130" s="226"/>
      <c r="BO130" s="226"/>
      <c r="BP130" s="226"/>
      <c r="BQ130" s="226"/>
      <c r="BR130" s="226"/>
      <c r="BS130" s="226"/>
      <c r="BT130" s="226"/>
      <c r="BU130" s="226"/>
      <c r="BV130" s="226"/>
      <c r="BW130" s="226"/>
      <c r="BX130" s="226"/>
      <c r="BY130" s="226"/>
      <c r="BZ130" s="226"/>
      <c r="CA130" s="226"/>
      <c r="CB130" s="226"/>
      <c r="CC130" s="226"/>
      <c r="CD130" s="226"/>
      <c r="CE130" s="226"/>
      <c r="CF130" s="226"/>
      <c r="CG130" s="226"/>
      <c r="CH130" s="226"/>
      <c r="CI130" s="226"/>
      <c r="CJ130" s="226"/>
      <c r="CK130" s="226"/>
      <c r="CL130" s="226"/>
      <c r="CM130" s="226"/>
      <c r="CN130" s="226"/>
      <c r="CO130" s="226"/>
      <c r="CP130" s="226"/>
      <c r="CQ130" s="226"/>
      <c r="CR130" s="226"/>
      <c r="CS130" s="226"/>
      <c r="CT130" s="226"/>
      <c r="CU130" s="226"/>
      <c r="CV130" s="226"/>
      <c r="CW130" s="226"/>
      <c r="CX130" s="226"/>
      <c r="CY130" s="226"/>
      <c r="CZ130" s="226"/>
      <c r="DA130" s="226"/>
      <c r="DB130" s="226"/>
      <c r="DC130" s="226"/>
      <c r="DD130" s="226"/>
      <c r="DE130" s="226"/>
      <c r="DF130" s="226"/>
      <c r="DG130" s="226"/>
      <c r="DH130" s="226"/>
      <c r="DI130" s="226"/>
      <c r="DJ130" s="226"/>
      <c r="DK130" s="226"/>
      <c r="DL130" s="226"/>
      <c r="DM130" s="226"/>
      <c r="DN130" s="226"/>
      <c r="DO130" s="226"/>
      <c r="DP130" s="226"/>
      <c r="DQ130" s="226"/>
      <c r="DR130" s="226"/>
      <c r="DS130" s="226"/>
      <c r="DT130" s="226"/>
      <c r="DU130" s="226"/>
      <c r="DV130" s="226"/>
      <c r="DW130" s="226"/>
      <c r="DX130" s="226"/>
      <c r="DY130" s="226"/>
      <c r="DZ130" s="226"/>
      <c r="EA130" s="226"/>
      <c r="EB130" s="226"/>
      <c r="EC130" s="226"/>
      <c r="ED130" s="226"/>
      <c r="EE130" s="226"/>
      <c r="EF130" s="226"/>
      <c r="EG130" s="226"/>
      <c r="EH130" s="226"/>
      <c r="EI130" s="226"/>
      <c r="EJ130" s="226"/>
      <c r="EK130" s="226"/>
      <c r="EL130" s="226"/>
      <c r="EM130" s="226"/>
      <c r="EN130" s="226"/>
      <c r="EO130" s="226"/>
      <c r="EP130" s="226"/>
    </row>
    <row r="131" spans="45:146">
      <c r="AS131" s="226"/>
      <c r="AT131" s="226"/>
      <c r="AU131" s="226"/>
      <c r="AV131" s="226"/>
      <c r="AW131" s="226"/>
      <c r="AX131" s="226"/>
      <c r="AY131" s="226"/>
      <c r="AZ131" s="226"/>
      <c r="BA131" s="226"/>
      <c r="BB131" s="226"/>
      <c r="BC131" s="226"/>
      <c r="BD131" s="226"/>
      <c r="BE131" s="226"/>
      <c r="BF131" s="226"/>
      <c r="BG131" s="226"/>
      <c r="BH131" s="226"/>
      <c r="BI131" s="226"/>
      <c r="BJ131" s="226"/>
      <c r="BK131" s="226"/>
      <c r="BL131" s="226"/>
      <c r="BM131" s="226"/>
      <c r="BN131" s="226"/>
      <c r="BO131" s="226"/>
      <c r="BP131" s="226"/>
      <c r="BQ131" s="226"/>
      <c r="BR131" s="226"/>
      <c r="BS131" s="226"/>
      <c r="BT131" s="226"/>
      <c r="BU131" s="226"/>
      <c r="BV131" s="226"/>
      <c r="BW131" s="226"/>
      <c r="BX131" s="226"/>
      <c r="BY131" s="226"/>
      <c r="BZ131" s="226"/>
      <c r="CA131" s="226"/>
      <c r="CB131" s="226"/>
      <c r="CC131" s="226"/>
      <c r="CD131" s="226"/>
      <c r="CE131" s="226"/>
      <c r="CF131" s="226"/>
      <c r="CG131" s="226"/>
      <c r="CH131" s="226"/>
      <c r="CI131" s="226"/>
      <c r="CJ131" s="226"/>
      <c r="CK131" s="226"/>
      <c r="CL131" s="226"/>
      <c r="CM131" s="226"/>
      <c r="CN131" s="226"/>
      <c r="CO131" s="226"/>
      <c r="CP131" s="226"/>
      <c r="CQ131" s="226"/>
      <c r="CR131" s="226"/>
      <c r="CS131" s="226"/>
      <c r="CT131" s="226"/>
      <c r="CU131" s="226"/>
      <c r="CV131" s="226"/>
      <c r="CW131" s="226"/>
      <c r="CX131" s="226"/>
      <c r="CY131" s="226"/>
      <c r="CZ131" s="226"/>
      <c r="DA131" s="226"/>
      <c r="DB131" s="226"/>
      <c r="DC131" s="226"/>
      <c r="DD131" s="226"/>
      <c r="DE131" s="226"/>
      <c r="DF131" s="226"/>
      <c r="DG131" s="226"/>
      <c r="DH131" s="226"/>
      <c r="DI131" s="226"/>
      <c r="DJ131" s="226"/>
      <c r="DK131" s="226"/>
      <c r="DL131" s="226"/>
      <c r="DM131" s="226"/>
      <c r="DN131" s="226"/>
      <c r="DO131" s="226"/>
      <c r="DP131" s="226"/>
      <c r="DQ131" s="226"/>
      <c r="DR131" s="226"/>
      <c r="DS131" s="226"/>
      <c r="DT131" s="226"/>
      <c r="DU131" s="226"/>
      <c r="DV131" s="226"/>
      <c r="DW131" s="226"/>
      <c r="DX131" s="226"/>
      <c r="DY131" s="226"/>
      <c r="DZ131" s="226"/>
      <c r="EA131" s="226"/>
      <c r="EB131" s="226"/>
      <c r="EC131" s="226"/>
      <c r="ED131" s="226"/>
      <c r="EE131" s="226"/>
      <c r="EF131" s="226"/>
      <c r="EG131" s="226"/>
      <c r="EH131" s="226"/>
      <c r="EI131" s="226"/>
      <c r="EJ131" s="226"/>
      <c r="EK131" s="226"/>
      <c r="EL131" s="226"/>
      <c r="EM131" s="226"/>
      <c r="EN131" s="226"/>
      <c r="EO131" s="226"/>
      <c r="EP131" s="226"/>
    </row>
    <row r="132" spans="45:146">
      <c r="AS132" s="226"/>
      <c r="AT132" s="226"/>
      <c r="AU132" s="226"/>
      <c r="AV132" s="226"/>
      <c r="AW132" s="226"/>
      <c r="AX132" s="226"/>
      <c r="AY132" s="226"/>
      <c r="AZ132" s="226"/>
      <c r="BA132" s="226"/>
      <c r="BB132" s="226"/>
      <c r="BC132" s="226"/>
      <c r="BD132" s="226"/>
      <c r="BE132" s="226"/>
      <c r="BF132" s="226"/>
      <c r="BG132" s="226"/>
      <c r="BH132" s="226"/>
      <c r="BI132" s="226"/>
      <c r="BJ132" s="226"/>
      <c r="BK132" s="226"/>
      <c r="BL132" s="226"/>
      <c r="BM132" s="226"/>
      <c r="BN132" s="226"/>
      <c r="BO132" s="226"/>
      <c r="BP132" s="226"/>
      <c r="BQ132" s="226"/>
      <c r="BR132" s="226"/>
      <c r="BS132" s="226"/>
      <c r="BT132" s="226"/>
      <c r="BU132" s="226"/>
      <c r="BV132" s="226"/>
      <c r="BW132" s="226"/>
      <c r="BX132" s="226"/>
      <c r="BY132" s="226"/>
      <c r="BZ132" s="226"/>
      <c r="CA132" s="226"/>
      <c r="CB132" s="226"/>
      <c r="CC132" s="226"/>
      <c r="CD132" s="226"/>
      <c r="CE132" s="226"/>
      <c r="CF132" s="226"/>
      <c r="CG132" s="226"/>
      <c r="CH132" s="226"/>
      <c r="CI132" s="226"/>
      <c r="CJ132" s="226"/>
      <c r="CK132" s="226"/>
      <c r="CL132" s="226"/>
      <c r="CM132" s="226"/>
      <c r="CN132" s="226"/>
      <c r="CO132" s="226"/>
      <c r="CP132" s="226"/>
      <c r="CQ132" s="226"/>
      <c r="CR132" s="226"/>
      <c r="CS132" s="226"/>
      <c r="CT132" s="226"/>
      <c r="CU132" s="226"/>
      <c r="CV132" s="226"/>
      <c r="CW132" s="226"/>
      <c r="CX132" s="226"/>
      <c r="CY132" s="226"/>
      <c r="CZ132" s="226"/>
      <c r="DA132" s="226"/>
      <c r="DB132" s="226"/>
      <c r="DC132" s="226"/>
      <c r="DD132" s="226"/>
      <c r="DE132" s="226"/>
      <c r="DF132" s="226"/>
      <c r="DG132" s="226"/>
      <c r="DH132" s="226"/>
      <c r="DI132" s="226"/>
      <c r="DJ132" s="226"/>
      <c r="DK132" s="226"/>
      <c r="DL132" s="226"/>
      <c r="DM132" s="226"/>
      <c r="DN132" s="226"/>
      <c r="DO132" s="226"/>
      <c r="DP132" s="226"/>
      <c r="DQ132" s="226"/>
      <c r="DR132" s="226"/>
      <c r="DS132" s="226"/>
      <c r="DT132" s="226"/>
      <c r="DU132" s="226"/>
      <c r="DV132" s="226"/>
      <c r="DW132" s="226"/>
      <c r="DX132" s="226"/>
      <c r="DY132" s="226"/>
      <c r="DZ132" s="226"/>
      <c r="EA132" s="226"/>
      <c r="EB132" s="226"/>
      <c r="EC132" s="226"/>
      <c r="ED132" s="226"/>
      <c r="EE132" s="226"/>
      <c r="EF132" s="226"/>
      <c r="EG132" s="226"/>
      <c r="EH132" s="226"/>
      <c r="EI132" s="226"/>
      <c r="EJ132" s="226"/>
      <c r="EK132" s="226"/>
      <c r="EL132" s="226"/>
      <c r="EM132" s="226"/>
      <c r="EN132" s="226"/>
      <c r="EO132" s="226"/>
      <c r="EP132" s="226"/>
    </row>
    <row r="133" spans="45:146">
      <c r="AS133" s="226"/>
      <c r="AT133" s="226"/>
      <c r="AU133" s="226"/>
      <c r="AV133" s="226"/>
      <c r="AW133" s="226"/>
      <c r="AX133" s="226"/>
      <c r="AY133" s="226"/>
      <c r="AZ133" s="226"/>
      <c r="BA133" s="226"/>
      <c r="BB133" s="226"/>
      <c r="BC133" s="226"/>
      <c r="BD133" s="226"/>
      <c r="BE133" s="226"/>
      <c r="BF133" s="226"/>
      <c r="BG133" s="226"/>
      <c r="BH133" s="226"/>
      <c r="BI133" s="226"/>
      <c r="BJ133" s="226"/>
      <c r="BK133" s="226"/>
      <c r="BL133" s="226"/>
      <c r="BM133" s="226"/>
      <c r="BN133" s="226"/>
      <c r="BO133" s="226"/>
      <c r="BP133" s="226"/>
      <c r="BQ133" s="226"/>
      <c r="BR133" s="226"/>
      <c r="BS133" s="226"/>
      <c r="BT133" s="226"/>
      <c r="BU133" s="226"/>
      <c r="BV133" s="226"/>
      <c r="BW133" s="226"/>
      <c r="BX133" s="226"/>
      <c r="BY133" s="226"/>
      <c r="BZ133" s="226"/>
      <c r="CA133" s="226"/>
      <c r="CB133" s="226"/>
      <c r="CC133" s="226"/>
      <c r="CD133" s="226"/>
      <c r="CE133" s="226"/>
      <c r="CF133" s="226"/>
      <c r="CG133" s="226"/>
      <c r="CH133" s="226"/>
      <c r="CI133" s="226"/>
      <c r="CJ133" s="226"/>
      <c r="CK133" s="226"/>
      <c r="CL133" s="226"/>
      <c r="CM133" s="226"/>
      <c r="CN133" s="226"/>
      <c r="CO133" s="226"/>
      <c r="CP133" s="226"/>
      <c r="CQ133" s="226"/>
      <c r="CR133" s="226"/>
      <c r="CS133" s="226"/>
      <c r="CT133" s="226"/>
      <c r="CU133" s="226"/>
      <c r="CV133" s="226"/>
      <c r="CW133" s="226"/>
      <c r="CX133" s="226"/>
      <c r="CY133" s="226"/>
      <c r="CZ133" s="226"/>
      <c r="DA133" s="226"/>
      <c r="DB133" s="226"/>
      <c r="DC133" s="226"/>
      <c r="DD133" s="226"/>
      <c r="DE133" s="226"/>
      <c r="DF133" s="226"/>
      <c r="DG133" s="226"/>
      <c r="DH133" s="226"/>
      <c r="DI133" s="226"/>
      <c r="DJ133" s="226"/>
      <c r="DK133" s="226"/>
      <c r="DL133" s="226"/>
      <c r="DM133" s="226"/>
      <c r="DN133" s="226"/>
      <c r="DO133" s="226"/>
      <c r="DP133" s="226"/>
      <c r="DQ133" s="226"/>
      <c r="DR133" s="226"/>
      <c r="DS133" s="226"/>
      <c r="DT133" s="226"/>
      <c r="DU133" s="226"/>
      <c r="DV133" s="226"/>
      <c r="DW133" s="226"/>
      <c r="DX133" s="226"/>
      <c r="DY133" s="226"/>
      <c r="DZ133" s="226"/>
      <c r="EA133" s="226"/>
      <c r="EB133" s="226"/>
      <c r="EC133" s="226"/>
      <c r="ED133" s="226"/>
      <c r="EE133" s="226"/>
      <c r="EF133" s="226"/>
      <c r="EG133" s="226"/>
      <c r="EH133" s="226"/>
      <c r="EI133" s="226"/>
      <c r="EJ133" s="226"/>
      <c r="EK133" s="226"/>
      <c r="EL133" s="226"/>
      <c r="EM133" s="226"/>
      <c r="EN133" s="226"/>
      <c r="EO133" s="226"/>
      <c r="EP133" s="226"/>
    </row>
    <row r="134" spans="45:146">
      <c r="AS134" s="226"/>
      <c r="AT134" s="226"/>
      <c r="AU134" s="226"/>
      <c r="AV134" s="226"/>
      <c r="AW134" s="226"/>
      <c r="AX134" s="226"/>
      <c r="AY134" s="226"/>
      <c r="AZ134" s="226"/>
      <c r="BA134" s="226"/>
      <c r="BB134" s="226"/>
      <c r="BC134" s="226"/>
      <c r="BD134" s="226"/>
      <c r="BE134" s="226"/>
      <c r="BF134" s="226"/>
      <c r="BG134" s="226"/>
      <c r="BH134" s="226"/>
      <c r="BI134" s="226"/>
      <c r="BJ134" s="226"/>
      <c r="BK134" s="226"/>
      <c r="BL134" s="226"/>
      <c r="BM134" s="226"/>
      <c r="BN134" s="226"/>
      <c r="BO134" s="226"/>
      <c r="BP134" s="226"/>
      <c r="BQ134" s="226"/>
      <c r="BR134" s="226"/>
      <c r="BS134" s="226"/>
      <c r="BT134" s="226"/>
      <c r="BU134" s="226"/>
      <c r="BV134" s="226"/>
      <c r="BW134" s="226"/>
      <c r="BX134" s="226"/>
      <c r="BY134" s="226"/>
      <c r="BZ134" s="226"/>
      <c r="CA134" s="226"/>
      <c r="CB134" s="226"/>
      <c r="CC134" s="226"/>
      <c r="CD134" s="226"/>
      <c r="CE134" s="226"/>
      <c r="CF134" s="226"/>
      <c r="CG134" s="226"/>
      <c r="CH134" s="226"/>
      <c r="CI134" s="226"/>
      <c r="CJ134" s="226"/>
      <c r="CK134" s="226"/>
      <c r="CL134" s="226"/>
      <c r="CM134" s="226"/>
      <c r="CN134" s="226"/>
      <c r="CO134" s="226"/>
      <c r="CP134" s="226"/>
      <c r="CQ134" s="226"/>
      <c r="CR134" s="226"/>
      <c r="CS134" s="226"/>
      <c r="CT134" s="226"/>
      <c r="CU134" s="226"/>
      <c r="CV134" s="226"/>
      <c r="CW134" s="226"/>
      <c r="CX134" s="226"/>
      <c r="CY134" s="226"/>
      <c r="CZ134" s="226"/>
      <c r="DA134" s="226"/>
      <c r="DB134" s="226"/>
      <c r="DC134" s="226"/>
      <c r="DD134" s="226"/>
      <c r="DE134" s="226"/>
      <c r="DF134" s="226"/>
      <c r="DG134" s="226"/>
      <c r="DH134" s="226"/>
      <c r="DI134" s="226"/>
      <c r="DJ134" s="226"/>
      <c r="DK134" s="226"/>
      <c r="DL134" s="226"/>
      <c r="DM134" s="226"/>
      <c r="DN134" s="226"/>
      <c r="DO134" s="226"/>
      <c r="DP134" s="226"/>
      <c r="DQ134" s="226"/>
      <c r="DR134" s="226"/>
      <c r="DS134" s="226"/>
      <c r="DT134" s="226"/>
      <c r="DU134" s="226"/>
      <c r="DV134" s="226"/>
      <c r="DW134" s="226"/>
      <c r="DX134" s="226"/>
      <c r="DY134" s="226"/>
      <c r="DZ134" s="226"/>
      <c r="EA134" s="226"/>
      <c r="EB134" s="226"/>
      <c r="EC134" s="226"/>
      <c r="ED134" s="226"/>
      <c r="EE134" s="226"/>
      <c r="EF134" s="226"/>
      <c r="EG134" s="226"/>
      <c r="EH134" s="226"/>
      <c r="EI134" s="226"/>
      <c r="EJ134" s="226"/>
      <c r="EK134" s="226"/>
      <c r="EL134" s="226"/>
      <c r="EM134" s="226"/>
      <c r="EN134" s="226"/>
      <c r="EO134" s="226"/>
      <c r="EP134" s="226"/>
    </row>
    <row r="135" spans="45:146">
      <c r="AS135" s="226"/>
      <c r="AT135" s="226"/>
      <c r="AU135" s="226"/>
      <c r="AV135" s="226"/>
      <c r="AW135" s="226"/>
      <c r="AX135" s="226"/>
      <c r="AY135" s="226"/>
      <c r="AZ135" s="226"/>
      <c r="BA135" s="226"/>
      <c r="BB135" s="226"/>
      <c r="BC135" s="226"/>
      <c r="BD135" s="226"/>
      <c r="BE135" s="226"/>
      <c r="BF135" s="226"/>
      <c r="BG135" s="226"/>
      <c r="BH135" s="226"/>
      <c r="BI135" s="226"/>
      <c r="BJ135" s="226"/>
      <c r="BK135" s="226"/>
      <c r="BL135" s="226"/>
      <c r="BM135" s="226"/>
      <c r="BN135" s="226"/>
      <c r="BO135" s="226"/>
      <c r="BP135" s="226"/>
      <c r="BQ135" s="226"/>
      <c r="BR135" s="226"/>
      <c r="BS135" s="226"/>
      <c r="BT135" s="226"/>
      <c r="BU135" s="226"/>
      <c r="BV135" s="226"/>
      <c r="BW135" s="226"/>
      <c r="BX135" s="226"/>
      <c r="BY135" s="226"/>
      <c r="BZ135" s="226"/>
      <c r="CA135" s="226"/>
      <c r="CB135" s="226"/>
      <c r="CC135" s="226"/>
      <c r="CD135" s="226"/>
      <c r="CE135" s="226"/>
      <c r="CF135" s="226"/>
      <c r="CG135" s="226"/>
      <c r="CH135" s="226"/>
      <c r="CI135" s="226"/>
      <c r="CJ135" s="226"/>
      <c r="CK135" s="226"/>
      <c r="CL135" s="226"/>
      <c r="CM135" s="226"/>
      <c r="CN135" s="226"/>
      <c r="CO135" s="226"/>
      <c r="CP135" s="226"/>
      <c r="CQ135" s="226"/>
      <c r="CR135" s="226"/>
      <c r="CS135" s="226"/>
      <c r="CT135" s="226"/>
      <c r="CU135" s="226"/>
      <c r="CV135" s="226"/>
      <c r="CW135" s="226"/>
      <c r="CX135" s="226"/>
      <c r="CY135" s="226"/>
      <c r="CZ135" s="226"/>
      <c r="DA135" s="226"/>
      <c r="DB135" s="226"/>
      <c r="DC135" s="226"/>
      <c r="DD135" s="226"/>
      <c r="DE135" s="226"/>
      <c r="DF135" s="226"/>
      <c r="DG135" s="226"/>
      <c r="DH135" s="226"/>
      <c r="DI135" s="226"/>
      <c r="DJ135" s="226"/>
      <c r="DK135" s="226"/>
      <c r="DL135" s="226"/>
      <c r="DM135" s="226"/>
      <c r="DN135" s="226"/>
      <c r="DO135" s="226"/>
      <c r="DP135" s="226"/>
      <c r="DQ135" s="226"/>
      <c r="DR135" s="226"/>
      <c r="DS135" s="226"/>
      <c r="DT135" s="226"/>
      <c r="DU135" s="226"/>
      <c r="DV135" s="226"/>
      <c r="DW135" s="226"/>
      <c r="DX135" s="226"/>
      <c r="DY135" s="226"/>
      <c r="DZ135" s="226"/>
      <c r="EA135" s="226"/>
      <c r="EB135" s="226"/>
      <c r="EC135" s="226"/>
      <c r="ED135" s="226"/>
      <c r="EE135" s="226"/>
      <c r="EF135" s="226"/>
      <c r="EG135" s="226"/>
      <c r="EH135" s="226"/>
      <c r="EI135" s="226"/>
      <c r="EJ135" s="226"/>
      <c r="EK135" s="226"/>
      <c r="EL135" s="226"/>
      <c r="EM135" s="226"/>
      <c r="EN135" s="226"/>
      <c r="EO135" s="226"/>
      <c r="EP135" s="226"/>
    </row>
    <row r="136" spans="45:146">
      <c r="AS136" s="226"/>
      <c r="AT136" s="226"/>
      <c r="AU136" s="226"/>
      <c r="AV136" s="226"/>
      <c r="AW136" s="226"/>
      <c r="AX136" s="226"/>
      <c r="AY136" s="226"/>
      <c r="AZ136" s="226"/>
      <c r="BA136" s="226"/>
      <c r="BB136" s="226"/>
      <c r="BC136" s="226"/>
      <c r="BD136" s="226"/>
      <c r="BE136" s="226"/>
      <c r="BF136" s="226"/>
      <c r="BG136" s="226"/>
      <c r="BH136" s="226"/>
      <c r="BI136" s="226"/>
      <c r="BJ136" s="226"/>
      <c r="BK136" s="226"/>
      <c r="BL136" s="226"/>
      <c r="BM136" s="226"/>
      <c r="BN136" s="226"/>
      <c r="BO136" s="226"/>
      <c r="BP136" s="226"/>
      <c r="BQ136" s="226"/>
      <c r="BR136" s="226"/>
      <c r="BS136" s="226"/>
      <c r="BT136" s="226"/>
      <c r="BU136" s="226"/>
      <c r="BV136" s="226"/>
      <c r="BW136" s="226"/>
      <c r="BX136" s="226"/>
      <c r="BY136" s="226"/>
      <c r="BZ136" s="226"/>
      <c r="CA136" s="226"/>
      <c r="CB136" s="226"/>
      <c r="CC136" s="226"/>
      <c r="CD136" s="226"/>
      <c r="CE136" s="226"/>
      <c r="CF136" s="226"/>
      <c r="CG136" s="226"/>
      <c r="CH136" s="226"/>
      <c r="CI136" s="226"/>
      <c r="CJ136" s="226"/>
      <c r="CK136" s="226"/>
      <c r="CL136" s="226"/>
      <c r="CM136" s="226"/>
      <c r="CN136" s="226"/>
      <c r="CO136" s="226"/>
      <c r="CP136" s="226"/>
      <c r="CQ136" s="226"/>
      <c r="CR136" s="226"/>
      <c r="CS136" s="226"/>
      <c r="CT136" s="226"/>
      <c r="CU136" s="226"/>
      <c r="CV136" s="226"/>
      <c r="CW136" s="226"/>
      <c r="CX136" s="226"/>
      <c r="CY136" s="226"/>
      <c r="CZ136" s="226"/>
      <c r="DA136" s="226"/>
      <c r="DB136" s="226"/>
      <c r="DC136" s="226"/>
      <c r="DD136" s="226"/>
      <c r="DE136" s="226"/>
      <c r="DF136" s="226"/>
      <c r="DG136" s="226"/>
      <c r="DH136" s="226"/>
      <c r="DI136" s="226"/>
      <c r="DJ136" s="226"/>
      <c r="DK136" s="226"/>
      <c r="DL136" s="226"/>
      <c r="DM136" s="226"/>
      <c r="DN136" s="226"/>
      <c r="DO136" s="226"/>
      <c r="DP136" s="226"/>
      <c r="DQ136" s="226"/>
      <c r="DR136" s="226"/>
      <c r="DS136" s="226"/>
      <c r="DT136" s="226"/>
      <c r="DU136" s="226"/>
      <c r="DV136" s="226"/>
      <c r="DW136" s="226"/>
      <c r="DX136" s="226"/>
      <c r="DY136" s="226"/>
      <c r="DZ136" s="226"/>
      <c r="EA136" s="226"/>
      <c r="EB136" s="226"/>
      <c r="EC136" s="226"/>
      <c r="ED136" s="226"/>
      <c r="EE136" s="226"/>
      <c r="EF136" s="226"/>
      <c r="EG136" s="226"/>
      <c r="EH136" s="226"/>
      <c r="EI136" s="226"/>
      <c r="EJ136" s="226"/>
      <c r="EK136" s="226"/>
      <c r="EL136" s="226"/>
      <c r="EM136" s="226"/>
      <c r="EN136" s="226"/>
      <c r="EO136" s="226"/>
      <c r="EP136" s="226"/>
    </row>
    <row r="137" spans="45:146">
      <c r="AS137" s="226"/>
      <c r="AT137" s="226"/>
      <c r="AU137" s="226"/>
      <c r="AV137" s="226"/>
      <c r="AW137" s="226"/>
      <c r="AX137" s="226"/>
      <c r="AY137" s="226"/>
      <c r="AZ137" s="226"/>
      <c r="BA137" s="226"/>
      <c r="BB137" s="226"/>
      <c r="BC137" s="226"/>
      <c r="BD137" s="226"/>
      <c r="BE137" s="226"/>
      <c r="BF137" s="226"/>
      <c r="BG137" s="226"/>
      <c r="BH137" s="226"/>
      <c r="BI137" s="226"/>
      <c r="BJ137" s="226"/>
      <c r="BK137" s="226"/>
      <c r="BL137" s="226"/>
      <c r="BM137" s="226"/>
      <c r="BN137" s="226"/>
      <c r="BO137" s="226"/>
      <c r="BP137" s="226"/>
      <c r="BQ137" s="226"/>
      <c r="BR137" s="226"/>
      <c r="BS137" s="226"/>
      <c r="BT137" s="226"/>
      <c r="BU137" s="226"/>
      <c r="BV137" s="226"/>
      <c r="BW137" s="226"/>
      <c r="BX137" s="226"/>
      <c r="BY137" s="226"/>
      <c r="BZ137" s="226"/>
      <c r="CA137" s="226"/>
      <c r="CB137" s="226"/>
      <c r="CC137" s="226"/>
      <c r="CD137" s="226"/>
      <c r="CE137" s="226"/>
      <c r="CF137" s="226"/>
      <c r="CG137" s="226"/>
      <c r="CH137" s="226"/>
      <c r="CI137" s="226"/>
      <c r="CJ137" s="226"/>
      <c r="CK137" s="226"/>
      <c r="CL137" s="226"/>
      <c r="CM137" s="226"/>
      <c r="CN137" s="226"/>
      <c r="CO137" s="226"/>
      <c r="CP137" s="226"/>
      <c r="CQ137" s="226"/>
      <c r="CR137" s="226"/>
      <c r="CS137" s="226"/>
      <c r="CT137" s="226"/>
      <c r="CU137" s="226"/>
      <c r="CV137" s="226"/>
      <c r="CW137" s="226"/>
      <c r="CX137" s="226"/>
      <c r="CY137" s="226"/>
      <c r="CZ137" s="226"/>
      <c r="DA137" s="226"/>
      <c r="DB137" s="226"/>
      <c r="DC137" s="226"/>
      <c r="DD137" s="226"/>
      <c r="DE137" s="226"/>
      <c r="DF137" s="226"/>
      <c r="DG137" s="226"/>
      <c r="DH137" s="226"/>
      <c r="DI137" s="226"/>
      <c r="DJ137" s="226"/>
      <c r="DK137" s="226"/>
      <c r="DL137" s="226"/>
      <c r="DM137" s="226"/>
      <c r="DN137" s="226"/>
      <c r="DO137" s="226"/>
      <c r="DP137" s="226"/>
      <c r="DQ137" s="226"/>
      <c r="DR137" s="226"/>
      <c r="DS137" s="226"/>
      <c r="DT137" s="226"/>
      <c r="DU137" s="226"/>
      <c r="DV137" s="226"/>
      <c r="DW137" s="226"/>
      <c r="DX137" s="226"/>
      <c r="DY137" s="226"/>
      <c r="DZ137" s="226"/>
      <c r="EA137" s="226"/>
      <c r="EB137" s="226"/>
      <c r="EC137" s="226"/>
      <c r="ED137" s="226"/>
      <c r="EE137" s="226"/>
      <c r="EF137" s="226"/>
      <c r="EG137" s="226"/>
      <c r="EH137" s="226"/>
      <c r="EI137" s="226"/>
      <c r="EJ137" s="226"/>
      <c r="EK137" s="226"/>
      <c r="EL137" s="226"/>
      <c r="EM137" s="226"/>
      <c r="EN137" s="226"/>
      <c r="EO137" s="226"/>
      <c r="EP137" s="226"/>
    </row>
    <row r="138" spans="45:146">
      <c r="AS138" s="226"/>
      <c r="AT138" s="226"/>
      <c r="AU138" s="226"/>
      <c r="AV138" s="226"/>
      <c r="AW138" s="226"/>
      <c r="AX138" s="226"/>
      <c r="AY138" s="226"/>
      <c r="AZ138" s="226"/>
      <c r="BA138" s="226"/>
      <c r="BB138" s="226"/>
      <c r="BC138" s="226"/>
      <c r="BD138" s="226"/>
      <c r="BE138" s="226"/>
      <c r="BF138" s="226"/>
      <c r="BG138" s="226"/>
      <c r="BH138" s="226"/>
      <c r="BI138" s="226"/>
      <c r="BJ138" s="226"/>
      <c r="BK138" s="226"/>
      <c r="BL138" s="226"/>
      <c r="BM138" s="226"/>
      <c r="BN138" s="226"/>
      <c r="BO138" s="226"/>
      <c r="BP138" s="226"/>
      <c r="BQ138" s="226"/>
      <c r="BR138" s="226"/>
      <c r="BS138" s="226"/>
      <c r="BT138" s="226"/>
      <c r="BU138" s="226"/>
      <c r="BV138" s="226"/>
      <c r="BW138" s="226"/>
      <c r="BX138" s="226"/>
      <c r="BY138" s="226"/>
      <c r="BZ138" s="226"/>
      <c r="CA138" s="226"/>
      <c r="CB138" s="226"/>
      <c r="CC138" s="226"/>
      <c r="CD138" s="226"/>
      <c r="CE138" s="226"/>
      <c r="CF138" s="226"/>
      <c r="CG138" s="226"/>
      <c r="CH138" s="226"/>
      <c r="CI138" s="226"/>
      <c r="CJ138" s="226"/>
      <c r="CK138" s="226"/>
      <c r="CL138" s="226"/>
      <c r="CM138" s="226"/>
      <c r="CN138" s="226"/>
      <c r="CO138" s="226"/>
      <c r="CP138" s="226"/>
      <c r="CQ138" s="226"/>
      <c r="CR138" s="226"/>
      <c r="CS138" s="226"/>
      <c r="CT138" s="226"/>
      <c r="CU138" s="226"/>
      <c r="CV138" s="226"/>
      <c r="CW138" s="226"/>
      <c r="CX138" s="226"/>
      <c r="CY138" s="226"/>
      <c r="CZ138" s="226"/>
      <c r="DA138" s="226"/>
      <c r="DB138" s="226"/>
      <c r="DC138" s="226"/>
      <c r="DD138" s="226"/>
      <c r="DE138" s="226"/>
      <c r="DF138" s="226"/>
      <c r="DG138" s="226"/>
      <c r="DH138" s="226"/>
      <c r="DI138" s="226"/>
      <c r="DJ138" s="226"/>
      <c r="DK138" s="226"/>
      <c r="DL138" s="226"/>
      <c r="DM138" s="226"/>
      <c r="DN138" s="226"/>
      <c r="DO138" s="226"/>
      <c r="DP138" s="226"/>
      <c r="DQ138" s="226"/>
      <c r="DR138" s="226"/>
      <c r="DS138" s="226"/>
      <c r="DT138" s="226"/>
      <c r="DU138" s="226"/>
      <c r="DV138" s="226"/>
      <c r="DW138" s="226"/>
      <c r="DX138" s="226"/>
      <c r="DY138" s="226"/>
      <c r="DZ138" s="226"/>
      <c r="EA138" s="226"/>
      <c r="EB138" s="226"/>
      <c r="EC138" s="226"/>
      <c r="ED138" s="226"/>
      <c r="EE138" s="226"/>
      <c r="EF138" s="226"/>
      <c r="EG138" s="226"/>
      <c r="EH138" s="226"/>
      <c r="EI138" s="226"/>
      <c r="EJ138" s="226"/>
      <c r="EK138" s="226"/>
      <c r="EL138" s="226"/>
      <c r="EM138" s="226"/>
      <c r="EN138" s="226"/>
      <c r="EO138" s="226"/>
      <c r="EP138" s="226"/>
    </row>
    <row r="139" spans="45:146">
      <c r="AS139" s="226"/>
      <c r="AT139" s="226"/>
      <c r="AU139" s="226"/>
      <c r="AV139" s="226"/>
      <c r="AW139" s="226"/>
      <c r="AX139" s="226"/>
      <c r="AY139" s="226"/>
      <c r="AZ139" s="226"/>
      <c r="BA139" s="226"/>
      <c r="BB139" s="226"/>
      <c r="BC139" s="226"/>
      <c r="BD139" s="226"/>
      <c r="BE139" s="226"/>
      <c r="BF139" s="226"/>
      <c r="BG139" s="226"/>
      <c r="BH139" s="226"/>
      <c r="BI139" s="226"/>
      <c r="BJ139" s="226"/>
      <c r="BK139" s="226"/>
      <c r="BL139" s="226"/>
      <c r="BM139" s="226"/>
      <c r="BN139" s="226"/>
      <c r="BO139" s="226"/>
      <c r="BP139" s="226"/>
      <c r="BQ139" s="226"/>
      <c r="BR139" s="226"/>
      <c r="BS139" s="226"/>
      <c r="BT139" s="226"/>
      <c r="BU139" s="226"/>
      <c r="BV139" s="226"/>
      <c r="BW139" s="226"/>
      <c r="BX139" s="226"/>
      <c r="BY139" s="226"/>
      <c r="BZ139" s="226"/>
      <c r="CA139" s="226"/>
      <c r="CB139" s="226"/>
      <c r="CC139" s="226"/>
      <c r="CD139" s="226"/>
      <c r="CE139" s="226"/>
      <c r="CF139" s="226"/>
      <c r="CG139" s="226"/>
      <c r="CH139" s="226"/>
      <c r="CI139" s="226"/>
      <c r="CJ139" s="226"/>
      <c r="CK139" s="226"/>
      <c r="CL139" s="226"/>
      <c r="CM139" s="226"/>
      <c r="CN139" s="226"/>
      <c r="CO139" s="226"/>
      <c r="CP139" s="226"/>
      <c r="CQ139" s="226"/>
      <c r="CR139" s="226"/>
      <c r="CS139" s="226"/>
      <c r="CT139" s="226"/>
      <c r="CU139" s="226"/>
      <c r="CV139" s="226"/>
      <c r="CW139" s="226"/>
      <c r="CX139" s="226"/>
      <c r="CY139" s="226"/>
      <c r="CZ139" s="226"/>
      <c r="DA139" s="226"/>
      <c r="DB139" s="226"/>
      <c r="DC139" s="226"/>
      <c r="DD139" s="226"/>
      <c r="DE139" s="226"/>
      <c r="DF139" s="226"/>
      <c r="DG139" s="226"/>
      <c r="DH139" s="226"/>
      <c r="DI139" s="226"/>
      <c r="DJ139" s="226"/>
      <c r="DK139" s="226"/>
      <c r="DL139" s="226"/>
      <c r="DM139" s="226"/>
      <c r="DN139" s="226"/>
      <c r="DO139" s="226"/>
      <c r="DP139" s="226"/>
      <c r="DQ139" s="226"/>
      <c r="DR139" s="226"/>
      <c r="DS139" s="226"/>
      <c r="DT139" s="226"/>
      <c r="DU139" s="226"/>
      <c r="DV139" s="226"/>
      <c r="DW139" s="226"/>
      <c r="DX139" s="226"/>
      <c r="DY139" s="226"/>
      <c r="DZ139" s="226"/>
      <c r="EA139" s="226"/>
      <c r="EB139" s="226"/>
      <c r="EC139" s="226"/>
      <c r="ED139" s="226"/>
      <c r="EE139" s="226"/>
      <c r="EF139" s="226"/>
      <c r="EG139" s="226"/>
      <c r="EH139" s="226"/>
      <c r="EI139" s="226"/>
      <c r="EJ139" s="226"/>
      <c r="EK139" s="226"/>
      <c r="EL139" s="226"/>
      <c r="EM139" s="226"/>
      <c r="EN139" s="226"/>
      <c r="EO139" s="226"/>
      <c r="EP139" s="226"/>
    </row>
    <row r="140" spans="45:146">
      <c r="AS140" s="226"/>
      <c r="AT140" s="226"/>
      <c r="AU140" s="226"/>
      <c r="AV140" s="226"/>
      <c r="AW140" s="226"/>
      <c r="AX140" s="226"/>
      <c r="AY140" s="226"/>
      <c r="AZ140" s="226"/>
      <c r="BA140" s="226"/>
      <c r="BB140" s="226"/>
      <c r="BC140" s="226"/>
      <c r="BD140" s="226"/>
      <c r="BE140" s="226"/>
      <c r="BF140" s="226"/>
      <c r="BG140" s="226"/>
      <c r="BH140" s="226"/>
      <c r="BI140" s="226"/>
      <c r="BJ140" s="226"/>
      <c r="BK140" s="226"/>
      <c r="BL140" s="226"/>
      <c r="BM140" s="226"/>
      <c r="BN140" s="226"/>
      <c r="BO140" s="226"/>
      <c r="BP140" s="226"/>
      <c r="BQ140" s="226"/>
      <c r="BR140" s="226"/>
      <c r="BS140" s="226"/>
      <c r="BT140" s="226"/>
      <c r="BU140" s="226"/>
      <c r="BV140" s="226"/>
      <c r="BW140" s="226"/>
      <c r="BX140" s="226"/>
      <c r="BY140" s="226"/>
      <c r="BZ140" s="226"/>
      <c r="CA140" s="226"/>
      <c r="CB140" s="226"/>
      <c r="CC140" s="226"/>
      <c r="CD140" s="226"/>
      <c r="CE140" s="226"/>
      <c r="CF140" s="226"/>
      <c r="CG140" s="226"/>
      <c r="CH140" s="226"/>
      <c r="CI140" s="226"/>
      <c r="CJ140" s="226"/>
      <c r="CK140" s="226"/>
      <c r="CL140" s="226"/>
      <c r="CM140" s="226"/>
      <c r="CN140" s="226"/>
      <c r="CO140" s="226"/>
      <c r="CP140" s="226"/>
      <c r="CQ140" s="226"/>
      <c r="CR140" s="226"/>
      <c r="CS140" s="226"/>
      <c r="CT140" s="226"/>
      <c r="CU140" s="226"/>
      <c r="CV140" s="226"/>
      <c r="CW140" s="226"/>
      <c r="CX140" s="226"/>
      <c r="CY140" s="226"/>
      <c r="CZ140" s="226"/>
      <c r="DA140" s="226"/>
      <c r="DB140" s="226"/>
      <c r="DC140" s="226"/>
      <c r="DD140" s="226"/>
      <c r="DE140" s="226"/>
      <c r="DF140" s="226"/>
      <c r="DG140" s="226"/>
      <c r="DH140" s="226"/>
      <c r="DI140" s="226"/>
      <c r="DJ140" s="226"/>
      <c r="DK140" s="226"/>
      <c r="DL140" s="226"/>
      <c r="DM140" s="226"/>
      <c r="DN140" s="226"/>
      <c r="DO140" s="226"/>
      <c r="DP140" s="226"/>
      <c r="DQ140" s="226"/>
      <c r="DR140" s="226"/>
      <c r="DS140" s="226"/>
      <c r="DT140" s="226"/>
      <c r="DU140" s="226"/>
      <c r="DV140" s="226"/>
      <c r="DW140" s="226"/>
      <c r="DX140" s="226"/>
      <c r="DY140" s="226"/>
      <c r="DZ140" s="226"/>
      <c r="EA140" s="226"/>
      <c r="EB140" s="226"/>
      <c r="EC140" s="226"/>
      <c r="ED140" s="226"/>
      <c r="EE140" s="226"/>
      <c r="EF140" s="226"/>
      <c r="EG140" s="226"/>
      <c r="EH140" s="226"/>
      <c r="EI140" s="226"/>
      <c r="EJ140" s="226"/>
      <c r="EK140" s="226"/>
      <c r="EL140" s="226"/>
      <c r="EM140" s="226"/>
      <c r="EN140" s="226"/>
      <c r="EO140" s="226"/>
      <c r="EP140" s="226"/>
    </row>
    <row r="141" spans="45:146">
      <c r="AS141" s="226"/>
      <c r="AT141" s="226"/>
      <c r="AU141" s="226"/>
      <c r="AV141" s="226"/>
      <c r="AW141" s="226"/>
      <c r="AX141" s="226"/>
      <c r="AY141" s="226"/>
      <c r="AZ141" s="226"/>
      <c r="BA141" s="226"/>
      <c r="BB141" s="226"/>
      <c r="BC141" s="226"/>
      <c r="BD141" s="226"/>
      <c r="BE141" s="226"/>
      <c r="BF141" s="226"/>
      <c r="BG141" s="226"/>
      <c r="BH141" s="226"/>
      <c r="BI141" s="226"/>
      <c r="BJ141" s="226"/>
      <c r="BK141" s="226"/>
      <c r="BL141" s="226"/>
      <c r="BM141" s="226"/>
      <c r="BN141" s="226"/>
      <c r="BO141" s="226"/>
      <c r="BP141" s="226"/>
      <c r="BQ141" s="226"/>
      <c r="BR141" s="226"/>
      <c r="BS141" s="226"/>
      <c r="BT141" s="226"/>
      <c r="BU141" s="226"/>
      <c r="BV141" s="226"/>
      <c r="BW141" s="226"/>
      <c r="BX141" s="226"/>
      <c r="BY141" s="226"/>
      <c r="BZ141" s="226"/>
      <c r="CA141" s="226"/>
      <c r="CB141" s="226"/>
      <c r="CC141" s="226"/>
      <c r="CD141" s="226"/>
      <c r="CE141" s="226"/>
      <c r="CF141" s="226"/>
      <c r="CG141" s="226"/>
      <c r="CH141" s="226"/>
      <c r="CI141" s="226"/>
      <c r="CJ141" s="226"/>
      <c r="CK141" s="226"/>
      <c r="CL141" s="226"/>
      <c r="CM141" s="226"/>
      <c r="CN141" s="226"/>
      <c r="CO141" s="226"/>
      <c r="CP141" s="226"/>
      <c r="CQ141" s="226"/>
      <c r="CR141" s="226"/>
      <c r="CS141" s="226"/>
      <c r="CT141" s="226"/>
      <c r="CU141" s="226"/>
      <c r="CV141" s="226"/>
      <c r="CW141" s="226"/>
      <c r="CX141" s="226"/>
      <c r="CY141" s="226"/>
      <c r="CZ141" s="226"/>
      <c r="DA141" s="226"/>
      <c r="DB141" s="226"/>
      <c r="DC141" s="226"/>
      <c r="DD141" s="226"/>
      <c r="DE141" s="226"/>
      <c r="DF141" s="226"/>
      <c r="DG141" s="226"/>
      <c r="DH141" s="226"/>
      <c r="DI141" s="226"/>
      <c r="DJ141" s="226"/>
      <c r="DK141" s="226"/>
      <c r="DL141" s="226"/>
      <c r="DM141" s="226"/>
      <c r="DN141" s="226"/>
      <c r="DO141" s="226"/>
      <c r="DP141" s="226"/>
      <c r="DQ141" s="226"/>
      <c r="DR141" s="226"/>
      <c r="DS141" s="226"/>
      <c r="DT141" s="226"/>
      <c r="DU141" s="226"/>
      <c r="DV141" s="226"/>
      <c r="DW141" s="226"/>
      <c r="DX141" s="226"/>
      <c r="DY141" s="226"/>
      <c r="DZ141" s="226"/>
      <c r="EA141" s="226"/>
      <c r="EB141" s="226"/>
      <c r="EC141" s="226"/>
      <c r="ED141" s="226"/>
      <c r="EE141" s="226"/>
      <c r="EF141" s="226"/>
      <c r="EG141" s="226"/>
      <c r="EH141" s="226"/>
      <c r="EI141" s="226"/>
      <c r="EJ141" s="226"/>
      <c r="EK141" s="226"/>
      <c r="EL141" s="226"/>
      <c r="EM141" s="226"/>
      <c r="EN141" s="226"/>
      <c r="EO141" s="226"/>
      <c r="EP141" s="226"/>
    </row>
    <row r="142" spans="45:146">
      <c r="AS142" s="226"/>
      <c r="AT142" s="226"/>
      <c r="AU142" s="226"/>
      <c r="AV142" s="226"/>
      <c r="AW142" s="226"/>
      <c r="AX142" s="226"/>
      <c r="AY142" s="226"/>
      <c r="AZ142" s="226"/>
      <c r="BA142" s="226"/>
      <c r="BB142" s="226"/>
      <c r="BC142" s="226"/>
      <c r="BD142" s="226"/>
      <c r="BE142" s="226"/>
      <c r="BF142" s="226"/>
      <c r="BG142" s="226"/>
      <c r="BH142" s="226"/>
      <c r="BI142" s="226"/>
      <c r="BJ142" s="226"/>
      <c r="BK142" s="226"/>
      <c r="BL142" s="226"/>
      <c r="BM142" s="226"/>
      <c r="BN142" s="226"/>
      <c r="BO142" s="226"/>
      <c r="BP142" s="226"/>
      <c r="BQ142" s="226"/>
      <c r="BR142" s="226"/>
      <c r="BS142" s="226"/>
      <c r="BT142" s="226"/>
      <c r="BU142" s="226"/>
      <c r="BV142" s="226"/>
      <c r="BW142" s="226"/>
      <c r="BX142" s="226"/>
      <c r="BY142" s="226"/>
      <c r="BZ142" s="226"/>
      <c r="CA142" s="226"/>
      <c r="CB142" s="226"/>
      <c r="CC142" s="226"/>
      <c r="CD142" s="226"/>
      <c r="CE142" s="226"/>
      <c r="CF142" s="226"/>
      <c r="CG142" s="226"/>
      <c r="CH142" s="226"/>
      <c r="CI142" s="226"/>
      <c r="CJ142" s="226"/>
      <c r="CK142" s="226"/>
      <c r="CL142" s="226"/>
      <c r="CM142" s="226"/>
      <c r="CN142" s="226"/>
      <c r="CO142" s="226"/>
      <c r="CP142" s="226"/>
      <c r="CQ142" s="226"/>
      <c r="CR142" s="226"/>
      <c r="CS142" s="226"/>
      <c r="CT142" s="226"/>
      <c r="CU142" s="226"/>
      <c r="CV142" s="226"/>
      <c r="CW142" s="226"/>
      <c r="CX142" s="226"/>
      <c r="CY142" s="226"/>
      <c r="CZ142" s="226"/>
      <c r="DA142" s="226"/>
      <c r="DB142" s="226"/>
      <c r="DC142" s="226"/>
      <c r="DD142" s="226"/>
      <c r="DE142" s="226"/>
      <c r="DF142" s="226"/>
      <c r="DG142" s="226"/>
      <c r="DH142" s="226"/>
      <c r="DI142" s="226"/>
      <c r="DJ142" s="226"/>
      <c r="DK142" s="226"/>
      <c r="DL142" s="226"/>
      <c r="DM142" s="226"/>
      <c r="DN142" s="226"/>
      <c r="DO142" s="226"/>
      <c r="DP142" s="226"/>
      <c r="DQ142" s="226"/>
      <c r="DR142" s="226"/>
      <c r="DS142" s="226"/>
      <c r="DT142" s="226"/>
      <c r="DU142" s="226"/>
      <c r="DV142" s="226"/>
      <c r="DW142" s="226"/>
      <c r="DX142" s="226"/>
      <c r="DY142" s="226"/>
      <c r="DZ142" s="226"/>
      <c r="EA142" s="226"/>
      <c r="EB142" s="226"/>
      <c r="EC142" s="226"/>
      <c r="ED142" s="226"/>
      <c r="EE142" s="226"/>
      <c r="EF142" s="226"/>
      <c r="EG142" s="226"/>
      <c r="EH142" s="226"/>
      <c r="EI142" s="226"/>
      <c r="EJ142" s="226"/>
      <c r="EK142" s="226"/>
      <c r="EL142" s="226"/>
      <c r="EM142" s="226"/>
      <c r="EN142" s="226"/>
      <c r="EO142" s="226"/>
      <c r="EP142" s="226"/>
    </row>
    <row r="143" spans="45:14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T143" s="226"/>
      <c r="BU143" s="226"/>
      <c r="BV143" s="226"/>
      <c r="BW143" s="226"/>
      <c r="BX143" s="226"/>
      <c r="BY143" s="226"/>
      <c r="BZ143" s="226"/>
      <c r="CA143" s="226"/>
      <c r="CB143" s="226"/>
      <c r="CC143" s="226"/>
      <c r="CD143" s="226"/>
      <c r="CE143" s="226"/>
      <c r="CF143" s="226"/>
      <c r="CG143" s="226"/>
      <c r="CH143" s="226"/>
      <c r="CI143" s="226"/>
      <c r="CJ143" s="226"/>
      <c r="CK143" s="226"/>
      <c r="CL143" s="226"/>
      <c r="CM143" s="226"/>
      <c r="CN143" s="226"/>
      <c r="CO143" s="226"/>
      <c r="CP143" s="226"/>
      <c r="CQ143" s="226"/>
      <c r="CR143" s="226"/>
      <c r="CS143" s="226"/>
      <c r="CT143" s="226"/>
      <c r="CU143" s="226"/>
      <c r="CV143" s="226"/>
      <c r="CW143" s="226"/>
      <c r="CX143" s="226"/>
      <c r="CY143" s="226"/>
      <c r="CZ143" s="226"/>
      <c r="DA143" s="226"/>
      <c r="DB143" s="226"/>
      <c r="DC143" s="226"/>
      <c r="DD143" s="226"/>
      <c r="DE143" s="226"/>
      <c r="DF143" s="226"/>
      <c r="DG143" s="226"/>
      <c r="DH143" s="226"/>
      <c r="DI143" s="226"/>
      <c r="DJ143" s="226"/>
      <c r="DK143" s="226"/>
      <c r="DL143" s="226"/>
      <c r="DM143" s="226"/>
      <c r="DN143" s="226"/>
      <c r="DO143" s="226"/>
      <c r="DP143" s="226"/>
      <c r="DQ143" s="226"/>
      <c r="DR143" s="226"/>
      <c r="DS143" s="226"/>
      <c r="DT143" s="226"/>
      <c r="DU143" s="226"/>
      <c r="DV143" s="226"/>
      <c r="DW143" s="226"/>
      <c r="DX143" s="226"/>
      <c r="DY143" s="226"/>
      <c r="DZ143" s="226"/>
      <c r="EA143" s="226"/>
      <c r="EB143" s="226"/>
      <c r="EC143" s="226"/>
      <c r="ED143" s="226"/>
      <c r="EE143" s="226"/>
      <c r="EF143" s="226"/>
      <c r="EG143" s="226"/>
      <c r="EH143" s="226"/>
      <c r="EI143" s="226"/>
      <c r="EJ143" s="226"/>
      <c r="EK143" s="226"/>
      <c r="EL143" s="226"/>
      <c r="EM143" s="226"/>
      <c r="EN143" s="226"/>
      <c r="EO143" s="226"/>
      <c r="EP143" s="226"/>
    </row>
    <row r="144" spans="45:146">
      <c r="AS144" s="226"/>
      <c r="AT144" s="226"/>
      <c r="AU144" s="226"/>
      <c r="AV144" s="226"/>
      <c r="AW144" s="226"/>
      <c r="AX144" s="226"/>
      <c r="AY144" s="226"/>
      <c r="AZ144" s="226"/>
      <c r="BA144" s="226"/>
      <c r="BB144" s="226"/>
      <c r="BC144" s="226"/>
      <c r="BD144" s="226"/>
      <c r="BE144" s="226"/>
      <c r="BF144" s="226"/>
      <c r="BG144" s="226"/>
      <c r="BH144" s="226"/>
      <c r="BI144" s="226"/>
      <c r="BJ144" s="226"/>
      <c r="BK144" s="226"/>
      <c r="BL144" s="226"/>
      <c r="BM144" s="226"/>
      <c r="BN144" s="226"/>
      <c r="BO144" s="226"/>
      <c r="BP144" s="226"/>
      <c r="BQ144" s="226"/>
      <c r="BR144" s="226"/>
      <c r="BS144" s="226"/>
      <c r="BT144" s="226"/>
      <c r="BU144" s="226"/>
      <c r="BV144" s="226"/>
      <c r="BW144" s="226"/>
      <c r="BX144" s="226"/>
      <c r="BY144" s="226"/>
      <c r="BZ144" s="226"/>
      <c r="CA144" s="226"/>
      <c r="CB144" s="226"/>
      <c r="CC144" s="226"/>
      <c r="CD144" s="226"/>
      <c r="CE144" s="226"/>
      <c r="CF144" s="226"/>
      <c r="CG144" s="226"/>
      <c r="CH144" s="226"/>
      <c r="CI144" s="226"/>
      <c r="CJ144" s="226"/>
      <c r="CK144" s="226"/>
      <c r="CL144" s="226"/>
      <c r="CM144" s="226"/>
      <c r="CN144" s="226"/>
      <c r="CO144" s="226"/>
      <c r="CP144" s="226"/>
      <c r="CQ144" s="226"/>
      <c r="CR144" s="226"/>
      <c r="CS144" s="226"/>
      <c r="CT144" s="226"/>
      <c r="CU144" s="226"/>
      <c r="CV144" s="226"/>
      <c r="CW144" s="226"/>
      <c r="CX144" s="226"/>
      <c r="CY144" s="226"/>
      <c r="CZ144" s="226"/>
      <c r="DA144" s="226"/>
      <c r="DB144" s="226"/>
      <c r="DC144" s="226"/>
      <c r="DD144" s="226"/>
      <c r="DE144" s="226"/>
      <c r="DF144" s="226"/>
      <c r="DG144" s="226"/>
      <c r="DH144" s="226"/>
      <c r="DI144" s="226"/>
      <c r="DJ144" s="226"/>
      <c r="DK144" s="226"/>
      <c r="DL144" s="226"/>
      <c r="DM144" s="226"/>
      <c r="DN144" s="226"/>
      <c r="DO144" s="226"/>
      <c r="DP144" s="226"/>
      <c r="DQ144" s="226"/>
      <c r="DR144" s="226"/>
      <c r="DS144" s="226"/>
      <c r="DT144" s="226"/>
      <c r="DU144" s="226"/>
      <c r="DV144" s="226"/>
      <c r="DW144" s="226"/>
      <c r="DX144" s="226"/>
      <c r="DY144" s="226"/>
      <c r="DZ144" s="226"/>
      <c r="EA144" s="226"/>
      <c r="EB144" s="226"/>
      <c r="EC144" s="226"/>
      <c r="ED144" s="226"/>
      <c r="EE144" s="226"/>
      <c r="EF144" s="226"/>
      <c r="EG144" s="226"/>
      <c r="EH144" s="226"/>
      <c r="EI144" s="226"/>
      <c r="EJ144" s="226"/>
      <c r="EK144" s="226"/>
      <c r="EL144" s="226"/>
      <c r="EM144" s="226"/>
      <c r="EN144" s="226"/>
      <c r="EO144" s="226"/>
      <c r="EP144" s="226"/>
    </row>
    <row r="145" spans="45:146">
      <c r="AS145" s="226"/>
      <c r="AT145" s="226"/>
      <c r="AU145" s="226"/>
      <c r="AV145" s="226"/>
      <c r="AW145" s="226"/>
      <c r="AX145" s="226"/>
      <c r="AY145" s="226"/>
      <c r="AZ145" s="226"/>
      <c r="BA145" s="226"/>
      <c r="BB145" s="226"/>
      <c r="BC145" s="226"/>
      <c r="BD145" s="226"/>
      <c r="BE145" s="226"/>
      <c r="BF145" s="226"/>
      <c r="BG145" s="226"/>
      <c r="BH145" s="226"/>
      <c r="BI145" s="226"/>
      <c r="BJ145" s="226"/>
      <c r="BK145" s="226"/>
      <c r="BL145" s="226"/>
      <c r="BM145" s="226"/>
      <c r="BN145" s="226"/>
      <c r="BO145" s="226"/>
      <c r="BP145" s="226"/>
      <c r="BQ145" s="226"/>
      <c r="BR145" s="226"/>
      <c r="BS145" s="226"/>
      <c r="BT145" s="226"/>
      <c r="BU145" s="226"/>
      <c r="BV145" s="226"/>
      <c r="BW145" s="226"/>
      <c r="BX145" s="226"/>
      <c r="BY145" s="226"/>
      <c r="BZ145" s="226"/>
      <c r="CA145" s="226"/>
      <c r="CB145" s="226"/>
      <c r="CC145" s="226"/>
      <c r="CD145" s="226"/>
      <c r="CE145" s="226"/>
      <c r="CF145" s="226"/>
      <c r="CG145" s="226"/>
      <c r="CH145" s="226"/>
      <c r="CI145" s="226"/>
      <c r="CJ145" s="226"/>
      <c r="CK145" s="226"/>
      <c r="CL145" s="226"/>
      <c r="CM145" s="226"/>
      <c r="CN145" s="226"/>
      <c r="CO145" s="226"/>
      <c r="CP145" s="226"/>
      <c r="CQ145" s="226"/>
      <c r="CR145" s="226"/>
      <c r="CS145" s="226"/>
      <c r="CT145" s="226"/>
      <c r="CU145" s="226"/>
      <c r="CV145" s="226"/>
      <c r="CW145" s="226"/>
      <c r="CX145" s="226"/>
      <c r="CY145" s="226"/>
      <c r="CZ145" s="226"/>
      <c r="DA145" s="226"/>
      <c r="DB145" s="226"/>
      <c r="DC145" s="226"/>
      <c r="DD145" s="226"/>
      <c r="DE145" s="226"/>
      <c r="DF145" s="226"/>
      <c r="DG145" s="226"/>
      <c r="DH145" s="226"/>
      <c r="DI145" s="226"/>
      <c r="DJ145" s="226"/>
      <c r="DK145" s="226"/>
      <c r="DL145" s="226"/>
      <c r="DM145" s="226"/>
      <c r="DN145" s="226"/>
      <c r="DO145" s="226"/>
      <c r="DP145" s="226"/>
      <c r="DQ145" s="226"/>
      <c r="DR145" s="226"/>
      <c r="DS145" s="226"/>
      <c r="DT145" s="226"/>
      <c r="DU145" s="226"/>
      <c r="DV145" s="226"/>
      <c r="DW145" s="226"/>
      <c r="DX145" s="226"/>
      <c r="DY145" s="226"/>
      <c r="DZ145" s="226"/>
      <c r="EA145" s="226"/>
      <c r="EB145" s="226"/>
      <c r="EC145" s="226"/>
      <c r="ED145" s="226"/>
      <c r="EE145" s="226"/>
      <c r="EF145" s="226"/>
      <c r="EG145" s="226"/>
      <c r="EH145" s="226"/>
      <c r="EI145" s="226"/>
      <c r="EJ145" s="226"/>
      <c r="EK145" s="226"/>
      <c r="EL145" s="226"/>
      <c r="EM145" s="226"/>
      <c r="EN145" s="226"/>
      <c r="EO145" s="226"/>
      <c r="EP145" s="226"/>
    </row>
    <row r="146" spans="45:146">
      <c r="AS146" s="226"/>
      <c r="AT146" s="226"/>
      <c r="AU146" s="226"/>
      <c r="AV146" s="226"/>
      <c r="AW146" s="226"/>
      <c r="AX146" s="226"/>
      <c r="AY146" s="226"/>
      <c r="AZ146" s="226"/>
      <c r="BA146" s="226"/>
      <c r="BB146" s="226"/>
      <c r="BC146" s="226"/>
      <c r="BD146" s="226"/>
      <c r="BE146" s="226"/>
      <c r="BF146" s="226"/>
      <c r="BG146" s="226"/>
      <c r="BH146" s="226"/>
      <c r="BI146" s="226"/>
      <c r="BJ146" s="226"/>
      <c r="BK146" s="226"/>
      <c r="BL146" s="226"/>
      <c r="BM146" s="226"/>
      <c r="BN146" s="226"/>
      <c r="BO146" s="226"/>
      <c r="BP146" s="226"/>
      <c r="BQ146" s="226"/>
      <c r="BR146" s="226"/>
      <c r="BS146" s="226"/>
      <c r="BT146" s="226"/>
      <c r="BU146" s="226"/>
      <c r="BV146" s="226"/>
      <c r="BW146" s="226"/>
      <c r="BX146" s="226"/>
      <c r="BY146" s="226"/>
      <c r="BZ146" s="226"/>
      <c r="CA146" s="226"/>
      <c r="CB146" s="226"/>
      <c r="CC146" s="226"/>
      <c r="CD146" s="226"/>
      <c r="CE146" s="226"/>
      <c r="CF146" s="226"/>
      <c r="CG146" s="226"/>
      <c r="CH146" s="226"/>
      <c r="CI146" s="226"/>
      <c r="CJ146" s="226"/>
      <c r="CK146" s="226"/>
      <c r="CL146" s="226"/>
      <c r="CM146" s="226"/>
      <c r="CN146" s="226"/>
      <c r="CO146" s="226"/>
      <c r="CP146" s="226"/>
      <c r="CQ146" s="226"/>
      <c r="CR146" s="226"/>
      <c r="CS146" s="226"/>
      <c r="CT146" s="226"/>
      <c r="CU146" s="226"/>
      <c r="CV146" s="226"/>
      <c r="CW146" s="226"/>
      <c r="CX146" s="226"/>
      <c r="CY146" s="226"/>
      <c r="CZ146" s="226"/>
      <c r="DA146" s="226"/>
      <c r="DB146" s="226"/>
      <c r="DC146" s="226"/>
      <c r="DD146" s="226"/>
      <c r="DE146" s="226"/>
      <c r="DF146" s="226"/>
      <c r="DG146" s="226"/>
      <c r="DH146" s="226"/>
      <c r="DI146" s="226"/>
      <c r="DJ146" s="226"/>
      <c r="DK146" s="226"/>
      <c r="DL146" s="226"/>
      <c r="DM146" s="226"/>
      <c r="DN146" s="226"/>
      <c r="DO146" s="226"/>
      <c r="DP146" s="226"/>
      <c r="DQ146" s="226"/>
      <c r="DR146" s="226"/>
      <c r="DS146" s="226"/>
      <c r="DT146" s="226"/>
      <c r="DU146" s="226"/>
      <c r="DV146" s="226"/>
      <c r="DW146" s="226"/>
      <c r="DX146" s="226"/>
      <c r="DY146" s="226"/>
      <c r="DZ146" s="226"/>
      <c r="EA146" s="226"/>
      <c r="EB146" s="226"/>
      <c r="EC146" s="226"/>
      <c r="ED146" s="226"/>
      <c r="EE146" s="226"/>
      <c r="EF146" s="226"/>
      <c r="EG146" s="226"/>
      <c r="EH146" s="226"/>
      <c r="EI146" s="226"/>
      <c r="EJ146" s="226"/>
      <c r="EK146" s="226"/>
      <c r="EL146" s="226"/>
      <c r="EM146" s="226"/>
      <c r="EN146" s="226"/>
      <c r="EO146" s="226"/>
      <c r="EP146" s="226"/>
    </row>
    <row r="147" spans="45:146">
      <c r="AS147" s="226"/>
      <c r="AT147" s="226"/>
      <c r="AU147" s="226"/>
      <c r="AV147" s="226"/>
      <c r="AW147" s="226"/>
      <c r="AX147" s="226"/>
      <c r="AY147" s="226"/>
      <c r="AZ147" s="226"/>
      <c r="BA147" s="226"/>
      <c r="BB147" s="226"/>
      <c r="BC147" s="226"/>
      <c r="BD147" s="226"/>
      <c r="BE147" s="226"/>
      <c r="BF147" s="226"/>
      <c r="BG147" s="226"/>
      <c r="BH147" s="226"/>
      <c r="BI147" s="226"/>
      <c r="BJ147" s="226"/>
      <c r="BK147" s="226"/>
      <c r="BL147" s="226"/>
      <c r="BM147" s="226"/>
      <c r="BN147" s="226"/>
      <c r="BO147" s="226"/>
      <c r="BP147" s="226"/>
      <c r="BQ147" s="226"/>
      <c r="BR147" s="226"/>
      <c r="BS147" s="226"/>
      <c r="BT147" s="226"/>
      <c r="BU147" s="226"/>
      <c r="BV147" s="226"/>
      <c r="BW147" s="226"/>
      <c r="BX147" s="226"/>
      <c r="BY147" s="226"/>
      <c r="BZ147" s="226"/>
      <c r="CA147" s="226"/>
      <c r="CB147" s="226"/>
      <c r="CC147" s="226"/>
      <c r="CD147" s="226"/>
      <c r="CE147" s="226"/>
      <c r="CF147" s="226"/>
      <c r="CG147" s="226"/>
      <c r="CH147" s="226"/>
      <c r="CI147" s="226"/>
      <c r="CJ147" s="226"/>
      <c r="CK147" s="226"/>
      <c r="CL147" s="226"/>
      <c r="CM147" s="226"/>
      <c r="CN147" s="226"/>
      <c r="CO147" s="226"/>
      <c r="CP147" s="226"/>
      <c r="CQ147" s="226"/>
      <c r="CR147" s="226"/>
      <c r="CS147" s="226"/>
      <c r="CT147" s="226"/>
      <c r="CU147" s="226"/>
      <c r="CV147" s="226"/>
      <c r="CW147" s="226"/>
      <c r="CX147" s="226"/>
      <c r="CY147" s="226"/>
      <c r="CZ147" s="226"/>
      <c r="DA147" s="226"/>
      <c r="DB147" s="226"/>
      <c r="DC147" s="226"/>
      <c r="DD147" s="226"/>
      <c r="DE147" s="226"/>
      <c r="DF147" s="226"/>
      <c r="DG147" s="226"/>
      <c r="DH147" s="226"/>
      <c r="DI147" s="226"/>
      <c r="DJ147" s="226"/>
      <c r="DK147" s="226"/>
      <c r="DL147" s="226"/>
      <c r="DM147" s="226"/>
      <c r="DN147" s="226"/>
      <c r="DO147" s="226"/>
      <c r="DP147" s="226"/>
      <c r="DQ147" s="226"/>
      <c r="DR147" s="226"/>
      <c r="DS147" s="226"/>
      <c r="DT147" s="226"/>
      <c r="DU147" s="226"/>
      <c r="DV147" s="226"/>
      <c r="DW147" s="226"/>
      <c r="DX147" s="226"/>
      <c r="DY147" s="226"/>
      <c r="DZ147" s="226"/>
      <c r="EA147" s="226"/>
      <c r="EB147" s="226"/>
      <c r="EC147" s="226"/>
      <c r="ED147" s="226"/>
      <c r="EE147" s="226"/>
      <c r="EF147" s="226"/>
      <c r="EG147" s="226"/>
      <c r="EH147" s="226"/>
      <c r="EI147" s="226"/>
      <c r="EJ147" s="226"/>
      <c r="EK147" s="226"/>
      <c r="EL147" s="226"/>
      <c r="EM147" s="226"/>
      <c r="EN147" s="226"/>
      <c r="EO147" s="226"/>
      <c r="EP147" s="226"/>
    </row>
    <row r="148" spans="45:146">
      <c r="AS148" s="226"/>
      <c r="AT148" s="226"/>
      <c r="AU148" s="226"/>
      <c r="AV148" s="226"/>
      <c r="AW148" s="226"/>
      <c r="AX148" s="226"/>
      <c r="AY148" s="226"/>
      <c r="AZ148" s="226"/>
      <c r="BA148" s="226"/>
      <c r="BB148" s="226"/>
      <c r="BC148" s="226"/>
      <c r="BD148" s="226"/>
      <c r="BE148" s="226"/>
      <c r="BF148" s="226"/>
      <c r="BG148" s="226"/>
      <c r="BH148" s="226"/>
      <c r="BI148" s="226"/>
      <c r="BJ148" s="226"/>
      <c r="BK148" s="226"/>
      <c r="BL148" s="226"/>
      <c r="BM148" s="226"/>
      <c r="BN148" s="226"/>
      <c r="BO148" s="226"/>
      <c r="BP148" s="226"/>
      <c r="BQ148" s="226"/>
      <c r="BR148" s="226"/>
      <c r="BS148" s="226"/>
      <c r="BT148" s="226"/>
      <c r="BU148" s="226"/>
      <c r="BV148" s="226"/>
      <c r="BW148" s="226"/>
      <c r="BX148" s="226"/>
      <c r="BY148" s="226"/>
      <c r="BZ148" s="226"/>
      <c r="CA148" s="226"/>
      <c r="CB148" s="226"/>
      <c r="CC148" s="226"/>
      <c r="CD148" s="226"/>
      <c r="CE148" s="226"/>
      <c r="CF148" s="226"/>
      <c r="CG148" s="226"/>
      <c r="CH148" s="226"/>
      <c r="CI148" s="226"/>
      <c r="CJ148" s="226"/>
      <c r="CK148" s="226"/>
      <c r="CL148" s="226"/>
      <c r="CM148" s="226"/>
      <c r="CN148" s="226"/>
      <c r="CO148" s="226"/>
      <c r="CP148" s="226"/>
      <c r="CQ148" s="226"/>
      <c r="CR148" s="226"/>
      <c r="CS148" s="226"/>
      <c r="CT148" s="226"/>
      <c r="CU148" s="226"/>
      <c r="CV148" s="226"/>
      <c r="CW148" s="226"/>
      <c r="CX148" s="226"/>
      <c r="CY148" s="226"/>
      <c r="CZ148" s="226"/>
      <c r="DA148" s="226"/>
      <c r="DB148" s="226"/>
      <c r="DC148" s="226"/>
      <c r="DD148" s="226"/>
      <c r="DE148" s="226"/>
      <c r="DF148" s="226"/>
      <c r="DG148" s="226"/>
      <c r="DH148" s="226"/>
      <c r="DI148" s="226"/>
      <c r="DJ148" s="226"/>
      <c r="DK148" s="226"/>
      <c r="DL148" s="226"/>
      <c r="DM148" s="226"/>
      <c r="DN148" s="226"/>
      <c r="DO148" s="226"/>
      <c r="DP148" s="226"/>
      <c r="DQ148" s="226"/>
      <c r="DR148" s="226"/>
      <c r="DS148" s="226"/>
      <c r="DT148" s="226"/>
      <c r="DU148" s="226"/>
      <c r="DV148" s="226"/>
      <c r="DW148" s="226"/>
      <c r="DX148" s="226"/>
      <c r="DY148" s="226"/>
      <c r="DZ148" s="226"/>
      <c r="EA148" s="226"/>
      <c r="EB148" s="226"/>
      <c r="EC148" s="226"/>
      <c r="ED148" s="226"/>
      <c r="EE148" s="226"/>
      <c r="EF148" s="226"/>
      <c r="EG148" s="226"/>
      <c r="EH148" s="226"/>
      <c r="EI148" s="226"/>
      <c r="EJ148" s="226"/>
      <c r="EK148" s="226"/>
      <c r="EL148" s="226"/>
      <c r="EM148" s="226"/>
      <c r="EN148" s="226"/>
      <c r="EO148" s="226"/>
      <c r="EP148" s="226"/>
    </row>
    <row r="149" spans="45:146">
      <c r="AS149" s="226"/>
      <c r="AT149" s="226"/>
      <c r="AU149" s="226"/>
      <c r="AV149" s="226"/>
      <c r="AW149" s="226"/>
      <c r="AX149" s="226"/>
      <c r="AY149" s="226"/>
      <c r="AZ149" s="226"/>
      <c r="BA149" s="226"/>
      <c r="BB149" s="226"/>
      <c r="BC149" s="226"/>
      <c r="BD149" s="226"/>
      <c r="BE149" s="226"/>
      <c r="BF149" s="226"/>
      <c r="BG149" s="226"/>
      <c r="BH149" s="226"/>
      <c r="BI149" s="226"/>
      <c r="BJ149" s="226"/>
      <c r="BK149" s="226"/>
      <c r="BL149" s="226"/>
      <c r="BM149" s="226"/>
      <c r="BN149" s="226"/>
      <c r="BO149" s="226"/>
      <c r="BP149" s="226"/>
      <c r="BQ149" s="226"/>
      <c r="BR149" s="226"/>
      <c r="BS149" s="226"/>
      <c r="BT149" s="226"/>
      <c r="BU149" s="226"/>
      <c r="BV149" s="226"/>
      <c r="BW149" s="226"/>
      <c r="BX149" s="226"/>
      <c r="BY149" s="226"/>
      <c r="BZ149" s="226"/>
      <c r="CA149" s="226"/>
      <c r="CB149" s="226"/>
      <c r="CC149" s="226"/>
      <c r="CD149" s="226"/>
      <c r="CE149" s="226"/>
      <c r="CF149" s="226"/>
      <c r="CG149" s="226"/>
      <c r="CH149" s="226"/>
      <c r="CI149" s="226"/>
      <c r="CJ149" s="226"/>
      <c r="CK149" s="226"/>
      <c r="CL149" s="226"/>
      <c r="CM149" s="226"/>
      <c r="CN149" s="226"/>
      <c r="CO149" s="226"/>
      <c r="CP149" s="226"/>
      <c r="CQ149" s="226"/>
      <c r="CR149" s="226"/>
      <c r="CS149" s="226"/>
      <c r="CT149" s="226"/>
      <c r="CU149" s="226"/>
      <c r="CV149" s="226"/>
      <c r="CW149" s="226"/>
      <c r="CX149" s="226"/>
      <c r="CY149" s="226"/>
      <c r="CZ149" s="226"/>
      <c r="DA149" s="226"/>
      <c r="DB149" s="226"/>
      <c r="DC149" s="226"/>
      <c r="DD149" s="226"/>
      <c r="DE149" s="226"/>
      <c r="DF149" s="226"/>
      <c r="DG149" s="226"/>
      <c r="DH149" s="226"/>
      <c r="DI149" s="226"/>
      <c r="DJ149" s="226"/>
      <c r="DK149" s="226"/>
      <c r="DL149" s="226"/>
      <c r="DM149" s="226"/>
      <c r="DN149" s="226"/>
      <c r="DO149" s="226"/>
      <c r="DP149" s="226"/>
      <c r="DQ149" s="226"/>
      <c r="DR149" s="226"/>
      <c r="DS149" s="226"/>
      <c r="DT149" s="226"/>
      <c r="DU149" s="226"/>
      <c r="DV149" s="226"/>
      <c r="DW149" s="226"/>
      <c r="DX149" s="226"/>
      <c r="DY149" s="226"/>
      <c r="DZ149" s="226"/>
      <c r="EA149" s="226"/>
      <c r="EB149" s="226"/>
      <c r="EC149" s="226"/>
      <c r="ED149" s="226"/>
      <c r="EE149" s="226"/>
      <c r="EF149" s="226"/>
      <c r="EG149" s="226"/>
      <c r="EH149" s="226"/>
      <c r="EI149" s="226"/>
      <c r="EJ149" s="226"/>
      <c r="EK149" s="226"/>
      <c r="EL149" s="226"/>
      <c r="EM149" s="226"/>
      <c r="EN149" s="226"/>
      <c r="EO149" s="226"/>
      <c r="EP149" s="226"/>
    </row>
    <row r="150" spans="45:146">
      <c r="AS150" s="226"/>
      <c r="AT150" s="226"/>
      <c r="AU150" s="226"/>
      <c r="AV150" s="226"/>
      <c r="AW150" s="226"/>
      <c r="AX150" s="226"/>
      <c r="AY150" s="226"/>
      <c r="AZ150" s="226"/>
      <c r="BA150" s="226"/>
      <c r="BB150" s="226"/>
      <c r="BC150" s="226"/>
      <c r="BD150" s="226"/>
      <c r="BE150" s="226"/>
      <c r="BF150" s="226"/>
      <c r="BG150" s="226"/>
      <c r="BH150" s="226"/>
      <c r="BI150" s="226"/>
      <c r="BJ150" s="226"/>
      <c r="BK150" s="226"/>
      <c r="BL150" s="226"/>
      <c r="BM150" s="226"/>
      <c r="BN150" s="226"/>
      <c r="BO150" s="226"/>
      <c r="BP150" s="226"/>
      <c r="BQ150" s="226"/>
      <c r="BR150" s="226"/>
      <c r="BS150" s="226"/>
      <c r="BT150" s="226"/>
      <c r="BU150" s="226"/>
      <c r="BV150" s="226"/>
      <c r="BW150" s="226"/>
      <c r="BX150" s="226"/>
      <c r="BY150" s="226"/>
      <c r="BZ150" s="226"/>
      <c r="CA150" s="226"/>
      <c r="CB150" s="226"/>
      <c r="CC150" s="226"/>
      <c r="CD150" s="226"/>
      <c r="CE150" s="226"/>
      <c r="CF150" s="226"/>
      <c r="CG150" s="226"/>
      <c r="CH150" s="226"/>
      <c r="CI150" s="226"/>
      <c r="CJ150" s="226"/>
      <c r="CK150" s="226"/>
      <c r="CL150" s="226"/>
      <c r="CM150" s="226"/>
      <c r="CN150" s="226"/>
      <c r="CO150" s="226"/>
      <c r="CP150" s="226"/>
      <c r="CQ150" s="226"/>
      <c r="CR150" s="226"/>
      <c r="CS150" s="226"/>
      <c r="CT150" s="226"/>
      <c r="CU150" s="226"/>
      <c r="CV150" s="226"/>
      <c r="CW150" s="226"/>
      <c r="CX150" s="226"/>
      <c r="CY150" s="226"/>
      <c r="CZ150" s="226"/>
      <c r="DA150" s="226"/>
      <c r="DB150" s="226"/>
      <c r="DC150" s="226"/>
      <c r="DD150" s="226"/>
      <c r="DE150" s="226"/>
      <c r="DF150" s="226"/>
      <c r="DG150" s="226"/>
      <c r="DH150" s="226"/>
      <c r="DI150" s="226"/>
      <c r="DJ150" s="226"/>
      <c r="DK150" s="226"/>
      <c r="DL150" s="226"/>
      <c r="DM150" s="226"/>
      <c r="DN150" s="226"/>
      <c r="DO150" s="226"/>
      <c r="DP150" s="226"/>
      <c r="DQ150" s="226"/>
      <c r="DR150" s="226"/>
      <c r="DS150" s="226"/>
      <c r="DT150" s="226"/>
      <c r="DU150" s="226"/>
      <c r="DV150" s="226"/>
      <c r="DW150" s="226"/>
      <c r="DX150" s="226"/>
      <c r="DY150" s="226"/>
      <c r="DZ150" s="226"/>
      <c r="EA150" s="226"/>
      <c r="EB150" s="226"/>
      <c r="EC150" s="226"/>
      <c r="ED150" s="226"/>
      <c r="EE150" s="226"/>
      <c r="EF150" s="226"/>
      <c r="EG150" s="226"/>
      <c r="EH150" s="226"/>
      <c r="EI150" s="226"/>
      <c r="EJ150" s="226"/>
      <c r="EK150" s="226"/>
      <c r="EL150" s="226"/>
      <c r="EM150" s="226"/>
      <c r="EN150" s="226"/>
      <c r="EO150" s="226"/>
      <c r="EP150" s="226"/>
    </row>
    <row r="151" spans="45:14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T151" s="226"/>
      <c r="BU151" s="226"/>
      <c r="BV151" s="226"/>
      <c r="BW151" s="226"/>
      <c r="BX151" s="226"/>
      <c r="BY151" s="226"/>
      <c r="BZ151" s="226"/>
      <c r="CA151" s="226"/>
      <c r="CB151" s="226"/>
      <c r="CC151" s="226"/>
      <c r="CD151" s="226"/>
      <c r="CE151" s="226"/>
      <c r="CF151" s="226"/>
      <c r="CG151" s="226"/>
      <c r="CH151" s="226"/>
      <c r="CI151" s="226"/>
      <c r="CJ151" s="226"/>
      <c r="CK151" s="226"/>
      <c r="CL151" s="226"/>
      <c r="CM151" s="226"/>
      <c r="CN151" s="226"/>
      <c r="CO151" s="226"/>
      <c r="CP151" s="226"/>
      <c r="CQ151" s="226"/>
      <c r="CR151" s="226"/>
      <c r="CS151" s="226"/>
      <c r="CT151" s="226"/>
      <c r="CU151" s="226"/>
      <c r="CV151" s="226"/>
      <c r="CW151" s="226"/>
      <c r="CX151" s="226"/>
      <c r="CY151" s="226"/>
      <c r="CZ151" s="226"/>
      <c r="DA151" s="226"/>
      <c r="DB151" s="226"/>
      <c r="DC151" s="226"/>
      <c r="DD151" s="226"/>
      <c r="DE151" s="226"/>
      <c r="DF151" s="226"/>
      <c r="DG151" s="226"/>
      <c r="DH151" s="226"/>
      <c r="DI151" s="226"/>
      <c r="DJ151" s="226"/>
      <c r="DK151" s="226"/>
      <c r="DL151" s="226"/>
      <c r="DM151" s="226"/>
      <c r="DN151" s="226"/>
      <c r="DO151" s="226"/>
      <c r="DP151" s="226"/>
      <c r="DQ151" s="226"/>
      <c r="DR151" s="226"/>
      <c r="DS151" s="226"/>
      <c r="DT151" s="226"/>
      <c r="DU151" s="226"/>
      <c r="DV151" s="226"/>
      <c r="DW151" s="226"/>
      <c r="DX151" s="226"/>
      <c r="DY151" s="226"/>
      <c r="DZ151" s="226"/>
      <c r="EA151" s="226"/>
      <c r="EB151" s="226"/>
      <c r="EC151" s="226"/>
      <c r="ED151" s="226"/>
      <c r="EE151" s="226"/>
      <c r="EF151" s="226"/>
      <c r="EG151" s="226"/>
      <c r="EH151" s="226"/>
      <c r="EI151" s="226"/>
      <c r="EJ151" s="226"/>
      <c r="EK151" s="226"/>
      <c r="EL151" s="226"/>
      <c r="EM151" s="226"/>
      <c r="EN151" s="226"/>
      <c r="EO151" s="226"/>
      <c r="EP151" s="226"/>
    </row>
    <row r="152" spans="45:14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T152" s="226"/>
      <c r="BU152" s="226"/>
      <c r="BV152" s="226"/>
      <c r="BW152" s="226"/>
      <c r="BX152" s="226"/>
      <c r="BY152" s="226"/>
      <c r="BZ152" s="226"/>
      <c r="CA152" s="226"/>
      <c r="CB152" s="226"/>
      <c r="CC152" s="226"/>
      <c r="CD152" s="226"/>
      <c r="CE152" s="226"/>
      <c r="CF152" s="226"/>
      <c r="CG152" s="226"/>
      <c r="CH152" s="226"/>
      <c r="CI152" s="226"/>
      <c r="CJ152" s="226"/>
      <c r="CK152" s="226"/>
      <c r="CL152" s="226"/>
      <c r="CM152" s="226"/>
      <c r="CN152" s="226"/>
      <c r="CO152" s="226"/>
      <c r="CP152" s="226"/>
      <c r="CQ152" s="226"/>
      <c r="CR152" s="226"/>
      <c r="CS152" s="226"/>
      <c r="CT152" s="226"/>
      <c r="CU152" s="226"/>
      <c r="CV152" s="226"/>
      <c r="CW152" s="226"/>
      <c r="CX152" s="226"/>
      <c r="CY152" s="226"/>
      <c r="CZ152" s="226"/>
      <c r="DA152" s="226"/>
      <c r="DB152" s="226"/>
      <c r="DC152" s="226"/>
      <c r="DD152" s="226"/>
      <c r="DE152" s="226"/>
      <c r="DF152" s="226"/>
      <c r="DG152" s="226"/>
      <c r="DH152" s="226"/>
      <c r="DI152" s="226"/>
      <c r="DJ152" s="226"/>
      <c r="DK152" s="226"/>
      <c r="DL152" s="226"/>
      <c r="DM152" s="226"/>
      <c r="DN152" s="226"/>
      <c r="DO152" s="226"/>
      <c r="DP152" s="226"/>
      <c r="DQ152" s="226"/>
      <c r="DR152" s="226"/>
      <c r="DS152" s="226"/>
      <c r="DT152" s="226"/>
      <c r="DU152" s="226"/>
      <c r="DV152" s="226"/>
      <c r="DW152" s="226"/>
      <c r="DX152" s="226"/>
      <c r="DY152" s="226"/>
      <c r="DZ152" s="226"/>
      <c r="EA152" s="226"/>
      <c r="EB152" s="226"/>
      <c r="EC152" s="226"/>
      <c r="ED152" s="226"/>
      <c r="EE152" s="226"/>
      <c r="EF152" s="226"/>
      <c r="EG152" s="226"/>
      <c r="EH152" s="226"/>
      <c r="EI152" s="226"/>
      <c r="EJ152" s="226"/>
      <c r="EK152" s="226"/>
      <c r="EL152" s="226"/>
      <c r="EM152" s="226"/>
      <c r="EN152" s="226"/>
      <c r="EO152" s="226"/>
      <c r="EP152" s="226"/>
    </row>
    <row r="153" spans="45:14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T153" s="226"/>
      <c r="BU153" s="226"/>
      <c r="BV153" s="226"/>
      <c r="BW153" s="226"/>
      <c r="BX153" s="226"/>
      <c r="BY153" s="226"/>
      <c r="BZ153" s="226"/>
      <c r="CA153" s="226"/>
      <c r="CB153" s="226"/>
      <c r="CC153" s="226"/>
      <c r="CD153" s="226"/>
      <c r="CE153" s="226"/>
      <c r="CF153" s="226"/>
      <c r="CG153" s="226"/>
      <c r="CH153" s="226"/>
      <c r="CI153" s="226"/>
      <c r="CJ153" s="226"/>
      <c r="CK153" s="226"/>
      <c r="CL153" s="226"/>
      <c r="CM153" s="226"/>
      <c r="CN153" s="226"/>
      <c r="CO153" s="226"/>
      <c r="CP153" s="226"/>
      <c r="CQ153" s="226"/>
      <c r="CR153" s="226"/>
      <c r="CS153" s="226"/>
      <c r="CT153" s="226"/>
      <c r="CU153" s="226"/>
      <c r="CV153" s="226"/>
      <c r="CW153" s="226"/>
      <c r="CX153" s="226"/>
      <c r="CY153" s="226"/>
      <c r="CZ153" s="226"/>
      <c r="DA153" s="226"/>
      <c r="DB153" s="226"/>
      <c r="DC153" s="226"/>
      <c r="DD153" s="226"/>
      <c r="DE153" s="226"/>
      <c r="DF153" s="226"/>
      <c r="DG153" s="226"/>
      <c r="DH153" s="226"/>
      <c r="DI153" s="226"/>
      <c r="DJ153" s="226"/>
      <c r="DK153" s="226"/>
      <c r="DL153" s="226"/>
      <c r="DM153" s="226"/>
      <c r="DN153" s="226"/>
      <c r="DO153" s="226"/>
      <c r="DP153" s="226"/>
      <c r="DQ153" s="226"/>
      <c r="DR153" s="226"/>
      <c r="DS153" s="226"/>
      <c r="DT153" s="226"/>
      <c r="DU153" s="226"/>
      <c r="DV153" s="226"/>
      <c r="DW153" s="226"/>
      <c r="DX153" s="226"/>
      <c r="DY153" s="226"/>
      <c r="DZ153" s="226"/>
      <c r="EA153" s="226"/>
      <c r="EB153" s="226"/>
      <c r="EC153" s="226"/>
      <c r="ED153" s="226"/>
      <c r="EE153" s="226"/>
      <c r="EF153" s="226"/>
      <c r="EG153" s="226"/>
      <c r="EH153" s="226"/>
      <c r="EI153" s="226"/>
      <c r="EJ153" s="226"/>
      <c r="EK153" s="226"/>
      <c r="EL153" s="226"/>
      <c r="EM153" s="226"/>
      <c r="EN153" s="226"/>
      <c r="EO153" s="226"/>
      <c r="EP153" s="226"/>
    </row>
    <row r="154" spans="45:146">
      <c r="AS154" s="226"/>
      <c r="AT154" s="226"/>
      <c r="AU154" s="226"/>
      <c r="AV154" s="226"/>
      <c r="AW154" s="226"/>
      <c r="AX154" s="226"/>
      <c r="AY154" s="226"/>
      <c r="AZ154" s="226"/>
      <c r="BA154" s="226"/>
      <c r="BB154" s="226"/>
      <c r="BC154" s="226"/>
      <c r="BD154" s="226"/>
      <c r="BE154" s="226"/>
      <c r="BF154" s="226"/>
      <c r="BG154" s="226"/>
      <c r="BH154" s="226"/>
      <c r="BI154" s="226"/>
      <c r="BJ154" s="226"/>
      <c r="BK154" s="226"/>
      <c r="BL154" s="226"/>
      <c r="BM154" s="226"/>
      <c r="BN154" s="226"/>
      <c r="BO154" s="226"/>
      <c r="BP154" s="226"/>
      <c r="BQ154" s="226"/>
      <c r="BR154" s="226"/>
      <c r="BS154" s="226"/>
      <c r="BT154" s="226"/>
      <c r="BU154" s="226"/>
      <c r="BV154" s="226"/>
      <c r="BW154" s="226"/>
      <c r="BX154" s="226"/>
      <c r="BY154" s="226"/>
      <c r="BZ154" s="226"/>
      <c r="CA154" s="226"/>
      <c r="CB154" s="226"/>
      <c r="CC154" s="226"/>
      <c r="CD154" s="226"/>
      <c r="CE154" s="226"/>
      <c r="CF154" s="226"/>
      <c r="CG154" s="226"/>
      <c r="CH154" s="226"/>
      <c r="CI154" s="226"/>
      <c r="CJ154" s="226"/>
      <c r="CK154" s="226"/>
      <c r="CL154" s="226"/>
      <c r="CM154" s="226"/>
      <c r="CN154" s="226"/>
      <c r="CO154" s="226"/>
      <c r="CP154" s="226"/>
      <c r="CQ154" s="226"/>
      <c r="CR154" s="226"/>
      <c r="CS154" s="226"/>
      <c r="CT154" s="226"/>
      <c r="CU154" s="226"/>
      <c r="CV154" s="226"/>
      <c r="CW154" s="226"/>
      <c r="CX154" s="226"/>
      <c r="CY154" s="226"/>
      <c r="CZ154" s="226"/>
      <c r="DA154" s="226"/>
      <c r="DB154" s="226"/>
      <c r="DC154" s="226"/>
      <c r="DD154" s="226"/>
      <c r="DE154" s="226"/>
      <c r="DF154" s="226"/>
      <c r="DG154" s="226"/>
      <c r="DH154" s="226"/>
      <c r="DI154" s="226"/>
      <c r="DJ154" s="226"/>
      <c r="DK154" s="226"/>
      <c r="DL154" s="226"/>
      <c r="DM154" s="226"/>
      <c r="DN154" s="226"/>
      <c r="DO154" s="226"/>
      <c r="DP154" s="226"/>
      <c r="DQ154" s="226"/>
      <c r="DR154" s="226"/>
      <c r="DS154" s="226"/>
      <c r="DT154" s="226"/>
      <c r="DU154" s="226"/>
      <c r="DV154" s="226"/>
      <c r="DW154" s="226"/>
      <c r="DX154" s="226"/>
      <c r="DY154" s="226"/>
      <c r="DZ154" s="226"/>
      <c r="EA154" s="226"/>
      <c r="EB154" s="226"/>
      <c r="EC154" s="226"/>
      <c r="ED154" s="226"/>
      <c r="EE154" s="226"/>
      <c r="EF154" s="226"/>
      <c r="EG154" s="226"/>
      <c r="EH154" s="226"/>
      <c r="EI154" s="226"/>
      <c r="EJ154" s="226"/>
      <c r="EK154" s="226"/>
      <c r="EL154" s="226"/>
      <c r="EM154" s="226"/>
      <c r="EN154" s="226"/>
      <c r="EO154" s="226"/>
      <c r="EP154" s="226"/>
    </row>
    <row r="155" spans="45:146">
      <c r="AS155" s="226"/>
      <c r="AT155" s="226"/>
      <c r="AU155" s="226"/>
      <c r="AV155" s="226"/>
      <c r="AW155" s="226"/>
      <c r="AX155" s="226"/>
      <c r="AY155" s="226"/>
      <c r="AZ155" s="226"/>
      <c r="BA155" s="226"/>
      <c r="BB155" s="226"/>
      <c r="BC155" s="226"/>
      <c r="BD155" s="226"/>
      <c r="BE155" s="226"/>
      <c r="BF155" s="226"/>
      <c r="BG155" s="226"/>
      <c r="BH155" s="226"/>
      <c r="BI155" s="226"/>
      <c r="BJ155" s="226"/>
      <c r="BK155" s="226"/>
      <c r="BL155" s="226"/>
      <c r="BM155" s="226"/>
      <c r="BN155" s="226"/>
      <c r="BO155" s="226"/>
      <c r="BP155" s="226"/>
      <c r="BQ155" s="226"/>
      <c r="BR155" s="226"/>
      <c r="BS155" s="226"/>
      <c r="BT155" s="226"/>
      <c r="BU155" s="226"/>
      <c r="BV155" s="226"/>
      <c r="BW155" s="226"/>
      <c r="BX155" s="226"/>
      <c r="BY155" s="226"/>
      <c r="BZ155" s="226"/>
      <c r="CA155" s="226"/>
      <c r="CB155" s="226"/>
      <c r="CC155" s="226"/>
      <c r="CD155" s="226"/>
      <c r="CE155" s="226"/>
      <c r="CF155" s="226"/>
      <c r="CG155" s="226"/>
      <c r="CH155" s="226"/>
      <c r="CI155" s="226"/>
      <c r="CJ155" s="226"/>
      <c r="CK155" s="226"/>
      <c r="CL155" s="226"/>
      <c r="CM155" s="226"/>
      <c r="CN155" s="226"/>
      <c r="CO155" s="226"/>
      <c r="CP155" s="226"/>
      <c r="CQ155" s="226"/>
      <c r="CR155" s="226"/>
      <c r="CS155" s="226"/>
      <c r="CT155" s="226"/>
      <c r="CU155" s="226"/>
      <c r="CV155" s="226"/>
      <c r="CW155" s="226"/>
      <c r="CX155" s="226"/>
      <c r="CY155" s="226"/>
      <c r="CZ155" s="226"/>
      <c r="DA155" s="226"/>
      <c r="DB155" s="226"/>
      <c r="DC155" s="226"/>
      <c r="DD155" s="226"/>
      <c r="DE155" s="226"/>
      <c r="DF155" s="226"/>
      <c r="DG155" s="226"/>
      <c r="DH155" s="226"/>
      <c r="DI155" s="226"/>
      <c r="DJ155" s="226"/>
      <c r="DK155" s="226"/>
      <c r="DL155" s="226"/>
      <c r="DM155" s="226"/>
      <c r="DN155" s="226"/>
      <c r="DO155" s="226"/>
      <c r="DP155" s="226"/>
      <c r="DQ155" s="226"/>
      <c r="DR155" s="226"/>
      <c r="DS155" s="226"/>
      <c r="DT155" s="226"/>
      <c r="DU155" s="226"/>
      <c r="DV155" s="226"/>
      <c r="DW155" s="226"/>
      <c r="DX155" s="226"/>
      <c r="DY155" s="226"/>
      <c r="DZ155" s="226"/>
      <c r="EA155" s="226"/>
      <c r="EB155" s="226"/>
      <c r="EC155" s="226"/>
      <c r="ED155" s="226"/>
      <c r="EE155" s="226"/>
      <c r="EF155" s="226"/>
      <c r="EG155" s="226"/>
      <c r="EH155" s="226"/>
      <c r="EI155" s="226"/>
      <c r="EJ155" s="226"/>
      <c r="EK155" s="226"/>
      <c r="EL155" s="226"/>
      <c r="EM155" s="226"/>
      <c r="EN155" s="226"/>
      <c r="EO155" s="226"/>
      <c r="EP155" s="226"/>
    </row>
    <row r="156" spans="45:146">
      <c r="AS156" s="226"/>
      <c r="AT156" s="226"/>
      <c r="AU156" s="226"/>
      <c r="AV156" s="226"/>
      <c r="AW156" s="226"/>
      <c r="AX156" s="226"/>
      <c r="AY156" s="226"/>
      <c r="AZ156" s="226"/>
      <c r="BA156" s="226"/>
      <c r="BB156" s="226"/>
      <c r="BC156" s="226"/>
      <c r="BD156" s="226"/>
      <c r="BE156" s="226"/>
      <c r="BF156" s="226"/>
      <c r="BG156" s="226"/>
      <c r="BH156" s="226"/>
      <c r="BI156" s="226"/>
      <c r="BJ156" s="226"/>
      <c r="BK156" s="226"/>
      <c r="BL156" s="226"/>
      <c r="BM156" s="226"/>
      <c r="BN156" s="226"/>
      <c r="BO156" s="226"/>
      <c r="BP156" s="226"/>
      <c r="BQ156" s="226"/>
      <c r="BR156" s="226"/>
      <c r="BS156" s="226"/>
      <c r="BT156" s="226"/>
      <c r="BU156" s="226"/>
      <c r="BV156" s="226"/>
      <c r="BW156" s="226"/>
      <c r="BX156" s="226"/>
      <c r="BY156" s="226"/>
      <c r="BZ156" s="226"/>
      <c r="CA156" s="226"/>
      <c r="CB156" s="226"/>
      <c r="CC156" s="226"/>
      <c r="CD156" s="226"/>
      <c r="CE156" s="226"/>
      <c r="CF156" s="226"/>
      <c r="CG156" s="226"/>
      <c r="CH156" s="226"/>
      <c r="CI156" s="226"/>
      <c r="CJ156" s="226"/>
      <c r="CK156" s="226"/>
      <c r="CL156" s="226"/>
      <c r="CM156" s="226"/>
      <c r="CN156" s="226"/>
      <c r="CO156" s="226"/>
      <c r="CP156" s="226"/>
      <c r="CQ156" s="226"/>
      <c r="CR156" s="226"/>
      <c r="CS156" s="226"/>
      <c r="CT156" s="226"/>
      <c r="CU156" s="226"/>
      <c r="CV156" s="226"/>
      <c r="CW156" s="226"/>
      <c r="CX156" s="226"/>
      <c r="CY156" s="226"/>
      <c r="CZ156" s="226"/>
      <c r="DA156" s="226"/>
      <c r="DB156" s="226"/>
      <c r="DC156" s="226"/>
      <c r="DD156" s="226"/>
      <c r="DE156" s="226"/>
      <c r="DF156" s="226"/>
      <c r="DG156" s="226"/>
      <c r="DH156" s="226"/>
      <c r="DI156" s="226"/>
      <c r="DJ156" s="226"/>
      <c r="DK156" s="226"/>
      <c r="DL156" s="226"/>
      <c r="DM156" s="226"/>
      <c r="DN156" s="226"/>
      <c r="DO156" s="226"/>
      <c r="DP156" s="226"/>
      <c r="DQ156" s="226"/>
      <c r="DR156" s="226"/>
      <c r="DS156" s="226"/>
      <c r="DT156" s="226"/>
      <c r="DU156" s="226"/>
      <c r="DV156" s="226"/>
      <c r="DW156" s="226"/>
      <c r="DX156" s="226"/>
      <c r="DY156" s="226"/>
      <c r="DZ156" s="226"/>
      <c r="EA156" s="226"/>
      <c r="EB156" s="226"/>
      <c r="EC156" s="226"/>
      <c r="ED156" s="226"/>
      <c r="EE156" s="226"/>
      <c r="EF156" s="226"/>
      <c r="EG156" s="226"/>
      <c r="EH156" s="226"/>
      <c r="EI156" s="226"/>
      <c r="EJ156" s="226"/>
      <c r="EK156" s="226"/>
      <c r="EL156" s="226"/>
      <c r="EM156" s="226"/>
      <c r="EN156" s="226"/>
      <c r="EO156" s="226"/>
      <c r="EP156" s="226"/>
    </row>
    <row r="157" spans="45:146">
      <c r="AS157" s="226"/>
      <c r="AT157" s="226"/>
      <c r="AU157" s="226"/>
      <c r="AV157" s="226"/>
      <c r="AW157" s="226"/>
      <c r="AX157" s="226"/>
      <c r="AY157" s="226"/>
      <c r="AZ157" s="226"/>
      <c r="BA157" s="226"/>
      <c r="BB157" s="226"/>
      <c r="BC157" s="226"/>
      <c r="BD157" s="226"/>
      <c r="BE157" s="226"/>
      <c r="BF157" s="226"/>
      <c r="BG157" s="226"/>
      <c r="BH157" s="226"/>
      <c r="BI157" s="226"/>
      <c r="BJ157" s="226"/>
      <c r="BK157" s="226"/>
      <c r="BL157" s="226"/>
      <c r="BM157" s="226"/>
      <c r="BN157" s="226"/>
      <c r="BO157" s="226"/>
      <c r="BP157" s="226"/>
      <c r="BQ157" s="226"/>
      <c r="BR157" s="226"/>
      <c r="BS157" s="226"/>
      <c r="BT157" s="226"/>
      <c r="BU157" s="226"/>
      <c r="BV157" s="226"/>
      <c r="BW157" s="226"/>
      <c r="BX157" s="226"/>
      <c r="BY157" s="226"/>
      <c r="BZ157" s="226"/>
      <c r="CA157" s="226"/>
      <c r="CB157" s="226"/>
      <c r="CC157" s="226"/>
      <c r="CD157" s="226"/>
      <c r="CE157" s="226"/>
      <c r="CF157" s="226"/>
      <c r="CG157" s="226"/>
      <c r="CH157" s="226"/>
      <c r="CI157" s="226"/>
      <c r="CJ157" s="226"/>
      <c r="CK157" s="226"/>
      <c r="CL157" s="226"/>
      <c r="CM157" s="226"/>
      <c r="CN157" s="226"/>
      <c r="CO157" s="226"/>
      <c r="CP157" s="226"/>
      <c r="CQ157" s="226"/>
      <c r="CR157" s="226"/>
      <c r="CS157" s="226"/>
      <c r="CT157" s="226"/>
      <c r="CU157" s="226"/>
      <c r="CV157" s="226"/>
      <c r="CW157" s="226"/>
      <c r="CX157" s="226"/>
      <c r="CY157" s="226"/>
      <c r="CZ157" s="226"/>
      <c r="DA157" s="226"/>
      <c r="DB157" s="226"/>
      <c r="DC157" s="226"/>
      <c r="DD157" s="226"/>
      <c r="DE157" s="226"/>
      <c r="DF157" s="226"/>
      <c r="DG157" s="226"/>
      <c r="DH157" s="226"/>
      <c r="DI157" s="226"/>
      <c r="DJ157" s="226"/>
      <c r="DK157" s="226"/>
      <c r="DL157" s="226"/>
      <c r="DM157" s="226"/>
      <c r="DN157" s="226"/>
      <c r="DO157" s="226"/>
      <c r="DP157" s="226"/>
      <c r="DQ157" s="226"/>
      <c r="DR157" s="226"/>
      <c r="DS157" s="226"/>
      <c r="DT157" s="226"/>
      <c r="DU157" s="226"/>
      <c r="DV157" s="226"/>
      <c r="DW157" s="226"/>
      <c r="DX157" s="226"/>
      <c r="DY157" s="226"/>
      <c r="DZ157" s="226"/>
      <c r="EA157" s="226"/>
      <c r="EB157" s="226"/>
      <c r="EC157" s="226"/>
      <c r="ED157" s="226"/>
      <c r="EE157" s="226"/>
      <c r="EF157" s="226"/>
      <c r="EG157" s="226"/>
      <c r="EH157" s="226"/>
      <c r="EI157" s="226"/>
      <c r="EJ157" s="226"/>
      <c r="EK157" s="226"/>
      <c r="EL157" s="226"/>
      <c r="EM157" s="226"/>
      <c r="EN157" s="226"/>
      <c r="EO157" s="226"/>
      <c r="EP157" s="226"/>
    </row>
    <row r="158" spans="45:146">
      <c r="AS158" s="226"/>
      <c r="AT158" s="226"/>
      <c r="AU158" s="226"/>
      <c r="AV158" s="226"/>
      <c r="AW158" s="226"/>
      <c r="AX158" s="226"/>
      <c r="AY158" s="226"/>
      <c r="AZ158" s="226"/>
      <c r="BA158" s="226"/>
      <c r="BB158" s="226"/>
      <c r="BC158" s="226"/>
      <c r="BD158" s="226"/>
      <c r="BE158" s="226"/>
      <c r="BF158" s="226"/>
      <c r="BG158" s="226"/>
      <c r="BH158" s="226"/>
      <c r="BI158" s="226"/>
      <c r="BJ158" s="226"/>
      <c r="BK158" s="226"/>
      <c r="BL158" s="226"/>
      <c r="BM158" s="226"/>
      <c r="BN158" s="226"/>
      <c r="BO158" s="226"/>
      <c r="BP158" s="226"/>
      <c r="BQ158" s="226"/>
      <c r="BR158" s="226"/>
      <c r="BS158" s="226"/>
      <c r="BT158" s="226"/>
      <c r="BU158" s="226"/>
      <c r="BV158" s="226"/>
      <c r="BW158" s="226"/>
      <c r="BX158" s="226"/>
      <c r="BY158" s="226"/>
      <c r="BZ158" s="226"/>
      <c r="CA158" s="226"/>
      <c r="CB158" s="226"/>
      <c r="CC158" s="226"/>
      <c r="CD158" s="226"/>
      <c r="CE158" s="226"/>
      <c r="CF158" s="226"/>
      <c r="CG158" s="226"/>
      <c r="CH158" s="226"/>
      <c r="CI158" s="226"/>
      <c r="CJ158" s="226"/>
      <c r="CK158" s="226"/>
      <c r="CL158" s="226"/>
      <c r="CM158" s="226"/>
      <c r="CN158" s="226"/>
      <c r="CO158" s="226"/>
      <c r="CP158" s="226"/>
      <c r="CQ158" s="226"/>
      <c r="CR158" s="226"/>
      <c r="CS158" s="226"/>
      <c r="CT158" s="226"/>
      <c r="CU158" s="226"/>
      <c r="CV158" s="226"/>
      <c r="CW158" s="226"/>
      <c r="CX158" s="226"/>
      <c r="CY158" s="226"/>
      <c r="CZ158" s="226"/>
      <c r="DA158" s="226"/>
      <c r="DB158" s="226"/>
      <c r="DC158" s="226"/>
      <c r="DD158" s="226"/>
      <c r="DE158" s="226"/>
      <c r="DF158" s="226"/>
      <c r="DG158" s="226"/>
      <c r="DH158" s="226"/>
      <c r="DI158" s="226"/>
      <c r="DJ158" s="226"/>
      <c r="DK158" s="226"/>
      <c r="DL158" s="226"/>
      <c r="DM158" s="226"/>
      <c r="DN158" s="226"/>
      <c r="DO158" s="226"/>
      <c r="DP158" s="226"/>
      <c r="DQ158" s="226"/>
      <c r="DR158" s="226"/>
      <c r="DS158" s="226"/>
      <c r="DT158" s="226"/>
      <c r="DU158" s="226"/>
      <c r="DV158" s="226"/>
      <c r="DW158" s="226"/>
      <c r="DX158" s="226"/>
      <c r="DY158" s="226"/>
      <c r="DZ158" s="226"/>
      <c r="EA158" s="226"/>
      <c r="EB158" s="226"/>
      <c r="EC158" s="226"/>
      <c r="ED158" s="226"/>
      <c r="EE158" s="226"/>
      <c r="EF158" s="226"/>
      <c r="EG158" s="226"/>
      <c r="EH158" s="226"/>
      <c r="EI158" s="226"/>
      <c r="EJ158" s="226"/>
      <c r="EK158" s="226"/>
      <c r="EL158" s="226"/>
      <c r="EM158" s="226"/>
      <c r="EN158" s="226"/>
      <c r="EO158" s="226"/>
      <c r="EP158" s="226"/>
    </row>
    <row r="159" spans="45:146">
      <c r="AS159" s="226"/>
      <c r="AT159" s="226"/>
      <c r="AU159" s="226"/>
      <c r="AV159" s="226"/>
      <c r="AW159" s="226"/>
      <c r="AX159" s="226"/>
      <c r="AY159" s="226"/>
      <c r="AZ159" s="226"/>
      <c r="BA159" s="226"/>
      <c r="BB159" s="226"/>
      <c r="BC159" s="226"/>
      <c r="BD159" s="226"/>
      <c r="BE159" s="226"/>
      <c r="BF159" s="226"/>
      <c r="BG159" s="226"/>
      <c r="BH159" s="226"/>
      <c r="BI159" s="226"/>
      <c r="BJ159" s="226"/>
      <c r="BK159" s="226"/>
      <c r="BL159" s="226"/>
      <c r="BM159" s="226"/>
      <c r="BN159" s="226"/>
      <c r="BO159" s="226"/>
      <c r="BP159" s="226"/>
      <c r="BQ159" s="226"/>
      <c r="BR159" s="226"/>
      <c r="BS159" s="226"/>
      <c r="BT159" s="226"/>
      <c r="BU159" s="226"/>
      <c r="BV159" s="226"/>
      <c r="BW159" s="226"/>
      <c r="BX159" s="226"/>
      <c r="BY159" s="226"/>
      <c r="BZ159" s="226"/>
      <c r="CA159" s="226"/>
      <c r="CB159" s="226"/>
      <c r="CC159" s="226"/>
      <c r="CD159" s="226"/>
      <c r="CE159" s="226"/>
      <c r="CF159" s="226"/>
      <c r="CG159" s="226"/>
      <c r="CH159" s="226"/>
      <c r="CI159" s="226"/>
      <c r="CJ159" s="226"/>
      <c r="CK159" s="226"/>
      <c r="CL159" s="226"/>
      <c r="CM159" s="226"/>
      <c r="CN159" s="226"/>
      <c r="CO159" s="226"/>
      <c r="CP159" s="226"/>
      <c r="CQ159" s="226"/>
      <c r="CR159" s="226"/>
      <c r="CS159" s="226"/>
      <c r="CT159" s="226"/>
      <c r="CU159" s="226"/>
      <c r="CV159" s="226"/>
      <c r="CW159" s="226"/>
      <c r="CX159" s="226"/>
      <c r="CY159" s="226"/>
      <c r="CZ159" s="226"/>
      <c r="DA159" s="226"/>
      <c r="DB159" s="226"/>
      <c r="DC159" s="226"/>
      <c r="DD159" s="226"/>
      <c r="DE159" s="226"/>
      <c r="DF159" s="226"/>
      <c r="DG159" s="226"/>
      <c r="DH159" s="226"/>
      <c r="DI159" s="226"/>
      <c r="DJ159" s="226"/>
      <c r="DK159" s="226"/>
      <c r="DL159" s="226"/>
      <c r="DM159" s="226"/>
      <c r="DN159" s="226"/>
      <c r="DO159" s="226"/>
      <c r="DP159" s="226"/>
      <c r="DQ159" s="226"/>
      <c r="DR159" s="226"/>
      <c r="DS159" s="226"/>
      <c r="DT159" s="226"/>
      <c r="DU159" s="226"/>
      <c r="DV159" s="226"/>
      <c r="DW159" s="226"/>
      <c r="DX159" s="226"/>
      <c r="DY159" s="226"/>
      <c r="DZ159" s="226"/>
      <c r="EA159" s="226"/>
      <c r="EB159" s="226"/>
      <c r="EC159" s="226"/>
      <c r="ED159" s="226"/>
      <c r="EE159" s="226"/>
      <c r="EF159" s="226"/>
      <c r="EG159" s="226"/>
      <c r="EH159" s="226"/>
      <c r="EI159" s="226"/>
      <c r="EJ159" s="226"/>
      <c r="EK159" s="226"/>
      <c r="EL159" s="226"/>
      <c r="EM159" s="226"/>
      <c r="EN159" s="226"/>
      <c r="EO159" s="226"/>
      <c r="EP159" s="226"/>
    </row>
    <row r="160" spans="45:146">
      <c r="AS160" s="226"/>
      <c r="AT160" s="226"/>
      <c r="AU160" s="226"/>
      <c r="AV160" s="226"/>
      <c r="AW160" s="226"/>
      <c r="AX160" s="226"/>
      <c r="AY160" s="226"/>
      <c r="AZ160" s="226"/>
      <c r="BA160" s="226"/>
      <c r="BB160" s="226"/>
      <c r="BC160" s="226"/>
      <c r="BD160" s="226"/>
      <c r="BE160" s="226"/>
      <c r="BF160" s="226"/>
      <c r="BG160" s="226"/>
      <c r="BH160" s="226"/>
      <c r="BI160" s="226"/>
      <c r="BJ160" s="226"/>
      <c r="BK160" s="226"/>
      <c r="BL160" s="226"/>
      <c r="BM160" s="226"/>
      <c r="BN160" s="226"/>
      <c r="BO160" s="226"/>
      <c r="BP160" s="226"/>
      <c r="BQ160" s="226"/>
      <c r="BR160" s="226"/>
      <c r="BS160" s="226"/>
      <c r="BT160" s="226"/>
      <c r="BU160" s="226"/>
      <c r="BV160" s="226"/>
      <c r="BW160" s="226"/>
      <c r="BX160" s="226"/>
      <c r="BY160" s="226"/>
      <c r="BZ160" s="226"/>
      <c r="CA160" s="226"/>
      <c r="CB160" s="226"/>
      <c r="CC160" s="226"/>
      <c r="CD160" s="226"/>
      <c r="CE160" s="226"/>
      <c r="CF160" s="226"/>
      <c r="CG160" s="226"/>
      <c r="CH160" s="226"/>
      <c r="CI160" s="226"/>
      <c r="CJ160" s="226"/>
      <c r="CK160" s="226"/>
      <c r="CL160" s="226"/>
      <c r="CM160" s="226"/>
      <c r="CN160" s="226"/>
      <c r="CO160" s="226"/>
      <c r="CP160" s="226"/>
      <c r="CQ160" s="226"/>
      <c r="CR160" s="226"/>
      <c r="CS160" s="226"/>
      <c r="CT160" s="226"/>
      <c r="CU160" s="226"/>
      <c r="CV160" s="226"/>
      <c r="CW160" s="226"/>
      <c r="CX160" s="226"/>
      <c r="CY160" s="226"/>
      <c r="CZ160" s="226"/>
      <c r="DA160" s="226"/>
      <c r="DB160" s="226"/>
      <c r="DC160" s="226"/>
      <c r="DD160" s="226"/>
      <c r="DE160" s="226"/>
      <c r="DF160" s="226"/>
      <c r="DG160" s="226"/>
      <c r="DH160" s="226"/>
      <c r="DI160" s="226"/>
      <c r="DJ160" s="226"/>
      <c r="DK160" s="226"/>
      <c r="DL160" s="226"/>
      <c r="DM160" s="226"/>
      <c r="DN160" s="226"/>
      <c r="DO160" s="226"/>
      <c r="DP160" s="226"/>
      <c r="DQ160" s="226"/>
      <c r="DR160" s="226"/>
      <c r="DS160" s="226"/>
      <c r="DT160" s="226"/>
      <c r="DU160" s="226"/>
      <c r="DV160" s="226"/>
      <c r="DW160" s="226"/>
      <c r="DX160" s="226"/>
      <c r="DY160" s="226"/>
      <c r="DZ160" s="226"/>
      <c r="EA160" s="226"/>
      <c r="EB160" s="226"/>
      <c r="EC160" s="226"/>
      <c r="ED160" s="226"/>
      <c r="EE160" s="226"/>
      <c r="EF160" s="226"/>
      <c r="EG160" s="226"/>
      <c r="EH160" s="226"/>
      <c r="EI160" s="226"/>
      <c r="EJ160" s="226"/>
      <c r="EK160" s="226"/>
      <c r="EL160" s="226"/>
      <c r="EM160" s="226"/>
      <c r="EN160" s="226"/>
      <c r="EO160" s="226"/>
      <c r="EP160" s="226"/>
    </row>
    <row r="161" spans="45:14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T161" s="226"/>
      <c r="BU161" s="226"/>
      <c r="BV161" s="226"/>
      <c r="BW161" s="226"/>
      <c r="BX161" s="226"/>
      <c r="BY161" s="226"/>
      <c r="BZ161" s="226"/>
      <c r="CA161" s="226"/>
      <c r="CB161" s="226"/>
      <c r="CC161" s="226"/>
      <c r="CD161" s="226"/>
      <c r="CE161" s="226"/>
      <c r="CF161" s="226"/>
      <c r="CG161" s="226"/>
      <c r="CH161" s="226"/>
      <c r="CI161" s="226"/>
      <c r="CJ161" s="226"/>
      <c r="CK161" s="226"/>
      <c r="CL161" s="226"/>
      <c r="CM161" s="226"/>
      <c r="CN161" s="226"/>
      <c r="CO161" s="226"/>
      <c r="CP161" s="226"/>
      <c r="CQ161" s="226"/>
      <c r="CR161" s="226"/>
      <c r="CS161" s="226"/>
      <c r="CT161" s="226"/>
      <c r="CU161" s="226"/>
      <c r="CV161" s="226"/>
      <c r="CW161" s="226"/>
      <c r="CX161" s="226"/>
      <c r="CY161" s="226"/>
      <c r="CZ161" s="226"/>
      <c r="DA161" s="226"/>
      <c r="DB161" s="226"/>
      <c r="DC161" s="226"/>
      <c r="DD161" s="226"/>
      <c r="DE161" s="226"/>
      <c r="DF161" s="226"/>
      <c r="DG161" s="226"/>
      <c r="DH161" s="226"/>
      <c r="DI161" s="226"/>
      <c r="DJ161" s="226"/>
      <c r="DK161" s="226"/>
      <c r="DL161" s="226"/>
      <c r="DM161" s="226"/>
      <c r="DN161" s="226"/>
      <c r="DO161" s="226"/>
      <c r="DP161" s="226"/>
      <c r="DQ161" s="226"/>
      <c r="DR161" s="226"/>
      <c r="DS161" s="226"/>
      <c r="DT161" s="226"/>
      <c r="DU161" s="226"/>
      <c r="DV161" s="226"/>
      <c r="DW161" s="226"/>
      <c r="DX161" s="226"/>
      <c r="DY161" s="226"/>
      <c r="DZ161" s="226"/>
      <c r="EA161" s="226"/>
      <c r="EB161" s="226"/>
      <c r="EC161" s="226"/>
      <c r="ED161" s="226"/>
      <c r="EE161" s="226"/>
      <c r="EF161" s="226"/>
      <c r="EG161" s="226"/>
      <c r="EH161" s="226"/>
      <c r="EI161" s="226"/>
      <c r="EJ161" s="226"/>
      <c r="EK161" s="226"/>
      <c r="EL161" s="226"/>
      <c r="EM161" s="226"/>
      <c r="EN161" s="226"/>
      <c r="EO161" s="226"/>
      <c r="EP161" s="226"/>
    </row>
    <row r="162" spans="45:14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T162" s="226"/>
      <c r="BU162" s="226"/>
      <c r="BV162" s="226"/>
      <c r="BW162" s="226"/>
      <c r="BX162" s="226"/>
      <c r="BY162" s="226"/>
      <c r="BZ162" s="226"/>
      <c r="CA162" s="226"/>
      <c r="CB162" s="226"/>
      <c r="CC162" s="226"/>
      <c r="CD162" s="226"/>
      <c r="CE162" s="226"/>
      <c r="CF162" s="226"/>
      <c r="CG162" s="226"/>
      <c r="CH162" s="226"/>
      <c r="CI162" s="226"/>
      <c r="CJ162" s="226"/>
      <c r="CK162" s="226"/>
      <c r="CL162" s="226"/>
      <c r="CM162" s="226"/>
      <c r="CN162" s="226"/>
      <c r="CO162" s="226"/>
      <c r="CP162" s="226"/>
      <c r="CQ162" s="226"/>
      <c r="CR162" s="226"/>
      <c r="CS162" s="226"/>
      <c r="CT162" s="226"/>
      <c r="CU162" s="226"/>
      <c r="CV162" s="226"/>
      <c r="CW162" s="226"/>
      <c r="CX162" s="226"/>
      <c r="CY162" s="226"/>
      <c r="CZ162" s="226"/>
      <c r="DA162" s="226"/>
      <c r="DB162" s="226"/>
      <c r="DC162" s="226"/>
      <c r="DD162" s="226"/>
      <c r="DE162" s="226"/>
      <c r="DF162" s="226"/>
      <c r="DG162" s="226"/>
      <c r="DH162" s="226"/>
      <c r="DI162" s="226"/>
      <c r="DJ162" s="226"/>
      <c r="DK162" s="226"/>
      <c r="DL162" s="226"/>
      <c r="DM162" s="226"/>
      <c r="DN162" s="226"/>
      <c r="DO162" s="226"/>
      <c r="DP162" s="226"/>
      <c r="DQ162" s="226"/>
      <c r="DR162" s="226"/>
      <c r="DS162" s="226"/>
      <c r="DT162" s="226"/>
      <c r="DU162" s="226"/>
      <c r="DV162" s="226"/>
      <c r="DW162" s="226"/>
      <c r="DX162" s="226"/>
      <c r="DY162" s="226"/>
      <c r="DZ162" s="226"/>
      <c r="EA162" s="226"/>
      <c r="EB162" s="226"/>
      <c r="EC162" s="226"/>
      <c r="ED162" s="226"/>
      <c r="EE162" s="226"/>
      <c r="EF162" s="226"/>
      <c r="EG162" s="226"/>
      <c r="EH162" s="226"/>
      <c r="EI162" s="226"/>
      <c r="EJ162" s="226"/>
      <c r="EK162" s="226"/>
      <c r="EL162" s="226"/>
      <c r="EM162" s="226"/>
      <c r="EN162" s="226"/>
      <c r="EO162" s="226"/>
      <c r="EP162" s="226"/>
    </row>
    <row r="163" spans="45:146">
      <c r="AS163" s="226"/>
      <c r="AT163" s="226"/>
      <c r="AU163" s="226"/>
      <c r="AV163" s="226"/>
      <c r="AW163" s="226"/>
      <c r="AX163" s="226"/>
      <c r="AY163" s="226"/>
      <c r="AZ163" s="226"/>
      <c r="BA163" s="226"/>
      <c r="BB163" s="226"/>
      <c r="BC163" s="226"/>
      <c r="BD163" s="226"/>
      <c r="BE163" s="226"/>
      <c r="BF163" s="226"/>
      <c r="BG163" s="226"/>
      <c r="BH163" s="226"/>
      <c r="BI163" s="226"/>
      <c r="BJ163" s="226"/>
      <c r="BK163" s="226"/>
      <c r="BL163" s="226"/>
      <c r="BM163" s="226"/>
      <c r="BN163" s="226"/>
      <c r="BO163" s="226"/>
      <c r="BP163" s="226"/>
      <c r="BQ163" s="226"/>
      <c r="BR163" s="226"/>
      <c r="BS163" s="226"/>
      <c r="BT163" s="226"/>
      <c r="BU163" s="226"/>
      <c r="BV163" s="226"/>
      <c r="BW163" s="226"/>
      <c r="BX163" s="226"/>
      <c r="BY163" s="226"/>
      <c r="BZ163" s="226"/>
      <c r="CA163" s="226"/>
      <c r="CB163" s="226"/>
      <c r="CC163" s="226"/>
      <c r="CD163" s="226"/>
      <c r="CE163" s="226"/>
      <c r="CF163" s="226"/>
      <c r="CG163" s="226"/>
      <c r="CH163" s="226"/>
      <c r="CI163" s="226"/>
      <c r="CJ163" s="226"/>
      <c r="CK163" s="226"/>
      <c r="CL163" s="226"/>
      <c r="CM163" s="226"/>
      <c r="CN163" s="226"/>
      <c r="CO163" s="226"/>
      <c r="CP163" s="226"/>
      <c r="CQ163" s="226"/>
      <c r="CR163" s="226"/>
      <c r="CS163" s="226"/>
      <c r="CT163" s="226"/>
      <c r="CU163" s="226"/>
      <c r="CV163" s="226"/>
      <c r="CW163" s="226"/>
      <c r="CX163" s="226"/>
      <c r="CY163" s="226"/>
      <c r="CZ163" s="226"/>
      <c r="DA163" s="226"/>
      <c r="DB163" s="226"/>
      <c r="DC163" s="226"/>
      <c r="DD163" s="226"/>
      <c r="DE163" s="226"/>
      <c r="DF163" s="226"/>
      <c r="DG163" s="226"/>
      <c r="DH163" s="226"/>
      <c r="DI163" s="226"/>
      <c r="DJ163" s="226"/>
      <c r="DK163" s="226"/>
      <c r="DL163" s="226"/>
      <c r="DM163" s="226"/>
      <c r="DN163" s="226"/>
      <c r="DO163" s="226"/>
      <c r="DP163" s="226"/>
      <c r="DQ163" s="226"/>
      <c r="DR163" s="226"/>
      <c r="DS163" s="226"/>
      <c r="DT163" s="226"/>
      <c r="DU163" s="226"/>
      <c r="DV163" s="226"/>
      <c r="DW163" s="226"/>
      <c r="DX163" s="226"/>
      <c r="DY163" s="226"/>
      <c r="DZ163" s="226"/>
      <c r="EA163" s="226"/>
      <c r="EB163" s="226"/>
      <c r="EC163" s="226"/>
      <c r="ED163" s="226"/>
      <c r="EE163" s="226"/>
      <c r="EF163" s="226"/>
      <c r="EG163" s="226"/>
      <c r="EH163" s="226"/>
      <c r="EI163" s="226"/>
      <c r="EJ163" s="226"/>
      <c r="EK163" s="226"/>
      <c r="EL163" s="226"/>
      <c r="EM163" s="226"/>
      <c r="EN163" s="226"/>
      <c r="EO163" s="226"/>
      <c r="EP163" s="226"/>
    </row>
    <row r="164" spans="45:146">
      <c r="AS164" s="226"/>
      <c r="AT164" s="226"/>
      <c r="AU164" s="226"/>
      <c r="AV164" s="226"/>
      <c r="AW164" s="226"/>
      <c r="AX164" s="226"/>
      <c r="AY164" s="226"/>
      <c r="AZ164" s="226"/>
      <c r="BA164" s="226"/>
      <c r="BB164" s="226"/>
      <c r="BC164" s="226"/>
      <c r="BD164" s="226"/>
      <c r="BE164" s="226"/>
      <c r="BF164" s="226"/>
      <c r="BG164" s="226"/>
      <c r="BH164" s="226"/>
      <c r="BI164" s="226"/>
      <c r="BJ164" s="226"/>
      <c r="BK164" s="226"/>
      <c r="BL164" s="226"/>
      <c r="BM164" s="226"/>
      <c r="BN164" s="226"/>
      <c r="BO164" s="226"/>
      <c r="BP164" s="226"/>
      <c r="BQ164" s="226"/>
      <c r="BR164" s="226"/>
      <c r="BS164" s="226"/>
      <c r="BT164" s="226"/>
      <c r="BU164" s="226"/>
      <c r="BV164" s="226"/>
      <c r="BW164" s="226"/>
      <c r="BX164" s="226"/>
      <c r="BY164" s="226"/>
      <c r="BZ164" s="226"/>
      <c r="CA164" s="226"/>
      <c r="CB164" s="226"/>
      <c r="CC164" s="226"/>
      <c r="CD164" s="226"/>
      <c r="CE164" s="226"/>
      <c r="CF164" s="226"/>
      <c r="CG164" s="226"/>
      <c r="CH164" s="226"/>
      <c r="CI164" s="226"/>
      <c r="CJ164" s="226"/>
      <c r="CK164" s="226"/>
      <c r="CL164" s="226"/>
      <c r="CM164" s="226"/>
      <c r="CN164" s="226"/>
      <c r="CO164" s="226"/>
      <c r="CP164" s="226"/>
      <c r="CQ164" s="226"/>
      <c r="CR164" s="226"/>
      <c r="CS164" s="226"/>
      <c r="CT164" s="226"/>
      <c r="CU164" s="226"/>
      <c r="CV164" s="226"/>
      <c r="CW164" s="226"/>
      <c r="CX164" s="226"/>
      <c r="CY164" s="226"/>
      <c r="CZ164" s="226"/>
      <c r="DA164" s="226"/>
      <c r="DB164" s="226"/>
      <c r="DC164" s="226"/>
      <c r="DD164" s="226"/>
      <c r="DE164" s="226"/>
      <c r="DF164" s="226"/>
      <c r="DG164" s="226"/>
      <c r="DH164" s="226"/>
      <c r="DI164" s="226"/>
      <c r="DJ164" s="226"/>
      <c r="DK164" s="226"/>
      <c r="DL164" s="226"/>
      <c r="DM164" s="226"/>
      <c r="DN164" s="226"/>
      <c r="DO164" s="226"/>
      <c r="DP164" s="226"/>
      <c r="DQ164" s="226"/>
      <c r="DR164" s="226"/>
      <c r="DS164" s="226"/>
      <c r="DT164" s="226"/>
      <c r="DU164" s="226"/>
      <c r="DV164" s="226"/>
      <c r="DW164" s="226"/>
      <c r="DX164" s="226"/>
      <c r="DY164" s="226"/>
      <c r="DZ164" s="226"/>
      <c r="EA164" s="226"/>
      <c r="EB164" s="226"/>
      <c r="EC164" s="226"/>
      <c r="ED164" s="226"/>
      <c r="EE164" s="226"/>
      <c r="EF164" s="226"/>
      <c r="EG164" s="226"/>
      <c r="EH164" s="226"/>
      <c r="EI164" s="226"/>
      <c r="EJ164" s="226"/>
      <c r="EK164" s="226"/>
      <c r="EL164" s="226"/>
      <c r="EM164" s="226"/>
      <c r="EN164" s="226"/>
      <c r="EO164" s="226"/>
      <c r="EP164" s="226"/>
    </row>
    <row r="165" spans="45:146">
      <c r="AS165" s="226"/>
      <c r="AT165" s="226"/>
      <c r="AU165" s="226"/>
      <c r="AV165" s="226"/>
      <c r="AW165" s="226"/>
      <c r="AX165" s="226"/>
      <c r="AY165" s="226"/>
      <c r="AZ165" s="226"/>
      <c r="BA165" s="226"/>
      <c r="BB165" s="226"/>
      <c r="BC165" s="226"/>
      <c r="BD165" s="226"/>
      <c r="BE165" s="226"/>
      <c r="BF165" s="226"/>
      <c r="BG165" s="226"/>
      <c r="BH165" s="226"/>
      <c r="BI165" s="226"/>
      <c r="BJ165" s="226"/>
      <c r="BK165" s="226"/>
      <c r="BL165" s="226"/>
      <c r="BM165" s="226"/>
      <c r="BN165" s="226"/>
      <c r="BO165" s="226"/>
      <c r="BP165" s="226"/>
      <c r="BQ165" s="226"/>
      <c r="BR165" s="226"/>
      <c r="BS165" s="226"/>
      <c r="BT165" s="226"/>
      <c r="BU165" s="226"/>
      <c r="BV165" s="226"/>
      <c r="BW165" s="226"/>
      <c r="BX165" s="226"/>
      <c r="BY165" s="226"/>
      <c r="BZ165" s="226"/>
      <c r="CA165" s="226"/>
      <c r="CB165" s="226"/>
      <c r="CC165" s="226"/>
      <c r="CD165" s="226"/>
      <c r="CE165" s="226"/>
      <c r="CF165" s="226"/>
      <c r="CG165" s="226"/>
      <c r="CH165" s="226"/>
      <c r="CI165" s="226"/>
      <c r="CJ165" s="226"/>
      <c r="CK165" s="226"/>
      <c r="CL165" s="226"/>
      <c r="CM165" s="226"/>
      <c r="CN165" s="226"/>
      <c r="CO165" s="226"/>
      <c r="CP165" s="226"/>
      <c r="CQ165" s="226"/>
      <c r="CR165" s="226"/>
      <c r="CS165" s="226"/>
      <c r="CT165" s="226"/>
      <c r="CU165" s="226"/>
      <c r="CV165" s="226"/>
      <c r="CW165" s="226"/>
      <c r="CX165" s="226"/>
      <c r="CY165" s="226"/>
      <c r="CZ165" s="226"/>
      <c r="DA165" s="226"/>
      <c r="DB165" s="226"/>
      <c r="DC165" s="226"/>
      <c r="DD165" s="226"/>
      <c r="DE165" s="226"/>
      <c r="DF165" s="226"/>
      <c r="DG165" s="226"/>
      <c r="DH165" s="226"/>
      <c r="DI165" s="226"/>
      <c r="DJ165" s="226"/>
      <c r="DK165" s="226"/>
      <c r="DL165" s="226"/>
      <c r="DM165" s="226"/>
      <c r="DN165" s="226"/>
      <c r="DO165" s="226"/>
      <c r="DP165" s="226"/>
      <c r="DQ165" s="226"/>
      <c r="DR165" s="226"/>
      <c r="DS165" s="226"/>
      <c r="DT165" s="226"/>
      <c r="DU165" s="226"/>
      <c r="DV165" s="226"/>
      <c r="DW165" s="226"/>
      <c r="DX165" s="226"/>
      <c r="DY165" s="226"/>
      <c r="DZ165" s="226"/>
      <c r="EA165" s="226"/>
      <c r="EB165" s="226"/>
      <c r="EC165" s="226"/>
      <c r="ED165" s="226"/>
      <c r="EE165" s="226"/>
      <c r="EF165" s="226"/>
      <c r="EG165" s="226"/>
      <c r="EH165" s="226"/>
      <c r="EI165" s="226"/>
      <c r="EJ165" s="226"/>
      <c r="EK165" s="226"/>
      <c r="EL165" s="226"/>
      <c r="EM165" s="226"/>
      <c r="EN165" s="226"/>
      <c r="EO165" s="226"/>
      <c r="EP165" s="226"/>
    </row>
    <row r="166" spans="45:146">
      <c r="AS166" s="226"/>
      <c r="AT166" s="226"/>
      <c r="AU166" s="226"/>
      <c r="AV166" s="226"/>
      <c r="AW166" s="226"/>
      <c r="AX166" s="226"/>
      <c r="AY166" s="226"/>
      <c r="AZ166" s="226"/>
      <c r="BA166" s="226"/>
      <c r="BB166" s="226"/>
      <c r="BC166" s="226"/>
      <c r="BD166" s="226"/>
      <c r="BE166" s="226"/>
      <c r="BF166" s="226"/>
      <c r="BG166" s="226"/>
      <c r="BH166" s="226"/>
      <c r="BI166" s="226"/>
      <c r="BJ166" s="226"/>
      <c r="BK166" s="226"/>
      <c r="BL166" s="226"/>
      <c r="BM166" s="226"/>
      <c r="BN166" s="226"/>
      <c r="BO166" s="226"/>
      <c r="BP166" s="226"/>
      <c r="BQ166" s="226"/>
      <c r="BR166" s="226"/>
      <c r="BS166" s="226"/>
      <c r="BT166" s="226"/>
      <c r="BU166" s="226"/>
      <c r="BV166" s="226"/>
      <c r="BW166" s="226"/>
      <c r="BX166" s="226"/>
      <c r="BY166" s="226"/>
      <c r="BZ166" s="226"/>
      <c r="CA166" s="226"/>
      <c r="CB166" s="226"/>
      <c r="CC166" s="226"/>
      <c r="CD166" s="226"/>
      <c r="CE166" s="226"/>
      <c r="CF166" s="226"/>
      <c r="CG166" s="226"/>
      <c r="CH166" s="226"/>
      <c r="CI166" s="226"/>
      <c r="CJ166" s="226"/>
      <c r="CK166" s="226"/>
      <c r="CL166" s="226"/>
      <c r="CM166" s="226"/>
      <c r="CN166" s="226"/>
      <c r="CO166" s="226"/>
      <c r="CP166" s="226"/>
      <c r="CQ166" s="226"/>
      <c r="CR166" s="226"/>
      <c r="CS166" s="226"/>
      <c r="CT166" s="226"/>
      <c r="CU166" s="226"/>
      <c r="CV166" s="226"/>
      <c r="CW166" s="226"/>
      <c r="CX166" s="226"/>
      <c r="CY166" s="226"/>
      <c r="CZ166" s="226"/>
      <c r="DA166" s="226"/>
      <c r="DB166" s="226"/>
      <c r="DC166" s="226"/>
      <c r="DD166" s="226"/>
      <c r="DE166" s="226"/>
      <c r="DF166" s="226"/>
      <c r="DG166" s="226"/>
      <c r="DH166" s="226"/>
      <c r="DI166" s="226"/>
      <c r="DJ166" s="226"/>
      <c r="DK166" s="226"/>
      <c r="DL166" s="226"/>
      <c r="DM166" s="226"/>
      <c r="DN166" s="226"/>
      <c r="DO166" s="226"/>
      <c r="DP166" s="226"/>
      <c r="DQ166" s="226"/>
      <c r="DR166" s="226"/>
      <c r="DS166" s="226"/>
      <c r="DT166" s="226"/>
      <c r="DU166" s="226"/>
      <c r="DV166" s="226"/>
      <c r="DW166" s="226"/>
      <c r="DX166" s="226"/>
      <c r="DY166" s="226"/>
      <c r="DZ166" s="226"/>
      <c r="EA166" s="226"/>
      <c r="EB166" s="226"/>
      <c r="EC166" s="226"/>
      <c r="ED166" s="226"/>
      <c r="EE166" s="226"/>
      <c r="EF166" s="226"/>
      <c r="EG166" s="226"/>
      <c r="EH166" s="226"/>
      <c r="EI166" s="226"/>
      <c r="EJ166" s="226"/>
      <c r="EK166" s="226"/>
      <c r="EL166" s="226"/>
      <c r="EM166" s="226"/>
      <c r="EN166" s="226"/>
      <c r="EO166" s="226"/>
      <c r="EP166" s="226"/>
    </row>
    <row r="167" spans="45:146">
      <c r="AS167" s="226"/>
      <c r="AT167" s="226"/>
      <c r="AU167" s="226"/>
      <c r="AV167" s="226"/>
      <c r="AW167" s="226"/>
      <c r="AX167" s="226"/>
      <c r="AY167" s="226"/>
      <c r="AZ167" s="226"/>
      <c r="BA167" s="226"/>
      <c r="BB167" s="226"/>
      <c r="BC167" s="226"/>
      <c r="BD167" s="226"/>
      <c r="BE167" s="226"/>
      <c r="BF167" s="226"/>
      <c r="BG167" s="226"/>
      <c r="BH167" s="226"/>
      <c r="BI167" s="226"/>
      <c r="BJ167" s="226"/>
      <c r="BK167" s="226"/>
      <c r="BL167" s="226"/>
      <c r="BM167" s="226"/>
      <c r="BN167" s="226"/>
      <c r="BO167" s="226"/>
      <c r="BP167" s="226"/>
      <c r="BQ167" s="226"/>
      <c r="BR167" s="226"/>
      <c r="BS167" s="226"/>
      <c r="BT167" s="226"/>
      <c r="BU167" s="226"/>
      <c r="BV167" s="226"/>
      <c r="BW167" s="226"/>
      <c r="BX167" s="226"/>
      <c r="BY167" s="226"/>
      <c r="BZ167" s="226"/>
      <c r="CA167" s="226"/>
      <c r="CB167" s="226"/>
      <c r="CC167" s="226"/>
      <c r="CD167" s="226"/>
      <c r="CE167" s="226"/>
      <c r="CF167" s="226"/>
      <c r="CG167" s="226"/>
      <c r="CH167" s="226"/>
      <c r="CI167" s="226"/>
      <c r="CJ167" s="226"/>
      <c r="CK167" s="226"/>
      <c r="CL167" s="226"/>
      <c r="CM167" s="226"/>
      <c r="CN167" s="226"/>
      <c r="CO167" s="226"/>
      <c r="CP167" s="226"/>
      <c r="CQ167" s="226"/>
      <c r="CR167" s="226"/>
      <c r="CS167" s="226"/>
      <c r="CT167" s="226"/>
      <c r="CU167" s="226"/>
      <c r="CV167" s="226"/>
      <c r="CW167" s="226"/>
      <c r="CX167" s="226"/>
      <c r="CY167" s="226"/>
      <c r="CZ167" s="226"/>
      <c r="DA167" s="226"/>
      <c r="DB167" s="226"/>
      <c r="DC167" s="226"/>
      <c r="DD167" s="226"/>
      <c r="DE167" s="226"/>
      <c r="DF167" s="226"/>
      <c r="DG167" s="226"/>
      <c r="DH167" s="226"/>
      <c r="DI167" s="226"/>
      <c r="DJ167" s="226"/>
      <c r="DK167" s="226"/>
      <c r="DL167" s="226"/>
      <c r="DM167" s="226"/>
      <c r="DN167" s="226"/>
      <c r="DO167" s="226"/>
      <c r="DP167" s="226"/>
      <c r="DQ167" s="226"/>
      <c r="DR167" s="226"/>
      <c r="DS167" s="226"/>
      <c r="DT167" s="226"/>
      <c r="DU167" s="226"/>
      <c r="DV167" s="226"/>
      <c r="DW167" s="226"/>
      <c r="DX167" s="226"/>
      <c r="DY167" s="226"/>
      <c r="DZ167" s="226"/>
      <c r="EA167" s="226"/>
      <c r="EB167" s="226"/>
      <c r="EC167" s="226"/>
      <c r="ED167" s="226"/>
      <c r="EE167" s="226"/>
      <c r="EF167" s="226"/>
      <c r="EG167" s="226"/>
      <c r="EH167" s="226"/>
      <c r="EI167" s="226"/>
      <c r="EJ167" s="226"/>
      <c r="EK167" s="226"/>
      <c r="EL167" s="226"/>
      <c r="EM167" s="226"/>
      <c r="EN167" s="226"/>
      <c r="EO167" s="226"/>
      <c r="EP167" s="226"/>
    </row>
    <row r="168" spans="45:146">
      <c r="AS168" s="226"/>
      <c r="AT168" s="226"/>
      <c r="AU168" s="226"/>
      <c r="AV168" s="226"/>
      <c r="AW168" s="226"/>
      <c r="AX168" s="226"/>
      <c r="AY168" s="226"/>
      <c r="AZ168" s="226"/>
      <c r="BA168" s="226"/>
      <c r="BB168" s="226"/>
      <c r="BC168" s="226"/>
      <c r="BD168" s="226"/>
      <c r="BE168" s="226"/>
      <c r="BF168" s="226"/>
      <c r="BG168" s="226"/>
      <c r="BH168" s="226"/>
      <c r="BI168" s="226"/>
      <c r="BJ168" s="226"/>
      <c r="BK168" s="226"/>
      <c r="BL168" s="226"/>
      <c r="BM168" s="226"/>
      <c r="BN168" s="226"/>
      <c r="BO168" s="226"/>
      <c r="BP168" s="226"/>
      <c r="BQ168" s="226"/>
      <c r="BR168" s="226"/>
      <c r="BS168" s="226"/>
      <c r="BT168" s="226"/>
      <c r="BU168" s="226"/>
      <c r="BV168" s="226"/>
      <c r="BW168" s="226"/>
      <c r="BX168" s="226"/>
      <c r="BY168" s="226"/>
      <c r="BZ168" s="226"/>
      <c r="CA168" s="226"/>
      <c r="CB168" s="226"/>
      <c r="CC168" s="226"/>
      <c r="CD168" s="226"/>
      <c r="CE168" s="226"/>
      <c r="CF168" s="226"/>
      <c r="CG168" s="226"/>
      <c r="CH168" s="226"/>
      <c r="CI168" s="226"/>
      <c r="CJ168" s="226"/>
      <c r="CK168" s="226"/>
      <c r="CL168" s="226"/>
      <c r="CM168" s="226"/>
      <c r="CN168" s="226"/>
      <c r="CO168" s="226"/>
      <c r="CP168" s="226"/>
      <c r="CQ168" s="226"/>
      <c r="CR168" s="226"/>
      <c r="CS168" s="226"/>
      <c r="CT168" s="226"/>
      <c r="CU168" s="226"/>
      <c r="CV168" s="226"/>
      <c r="CW168" s="226"/>
      <c r="CX168" s="226"/>
      <c r="CY168" s="226"/>
      <c r="CZ168" s="226"/>
      <c r="DA168" s="226"/>
      <c r="DB168" s="226"/>
      <c r="DC168" s="226"/>
      <c r="DD168" s="226"/>
      <c r="DE168" s="226"/>
      <c r="DF168" s="226"/>
      <c r="DG168" s="226"/>
      <c r="DH168" s="226"/>
      <c r="DI168" s="226"/>
      <c r="DJ168" s="226"/>
      <c r="DK168" s="226"/>
      <c r="DL168" s="226"/>
      <c r="DM168" s="226"/>
      <c r="DN168" s="226"/>
      <c r="DO168" s="226"/>
      <c r="DP168" s="226"/>
      <c r="DQ168" s="226"/>
      <c r="DR168" s="226"/>
      <c r="DS168" s="226"/>
      <c r="DT168" s="226"/>
      <c r="DU168" s="226"/>
      <c r="DV168" s="226"/>
      <c r="DW168" s="226"/>
      <c r="DX168" s="226"/>
      <c r="DY168" s="226"/>
      <c r="DZ168" s="226"/>
      <c r="EA168" s="226"/>
      <c r="EB168" s="226"/>
      <c r="EC168" s="226"/>
      <c r="ED168" s="226"/>
      <c r="EE168" s="226"/>
      <c r="EF168" s="226"/>
      <c r="EG168" s="226"/>
      <c r="EH168" s="226"/>
      <c r="EI168" s="226"/>
      <c r="EJ168" s="226"/>
      <c r="EK168" s="226"/>
      <c r="EL168" s="226"/>
      <c r="EM168" s="226"/>
      <c r="EN168" s="226"/>
      <c r="EO168" s="226"/>
      <c r="EP168" s="226"/>
    </row>
    <row r="169" spans="45:146">
      <c r="AS169" s="226"/>
      <c r="AT169" s="226"/>
      <c r="AU169" s="226"/>
      <c r="AV169" s="226"/>
      <c r="AW169" s="226"/>
      <c r="AX169" s="226"/>
      <c r="AY169" s="226"/>
      <c r="AZ169" s="226"/>
      <c r="BA169" s="226"/>
      <c r="BB169" s="226"/>
      <c r="BC169" s="226"/>
      <c r="BD169" s="226"/>
      <c r="BE169" s="226"/>
      <c r="BF169" s="226"/>
      <c r="BG169" s="226"/>
      <c r="BH169" s="226"/>
      <c r="BI169" s="226"/>
      <c r="BJ169" s="226"/>
      <c r="BK169" s="226"/>
      <c r="BL169" s="226"/>
      <c r="BM169" s="226"/>
      <c r="BN169" s="226"/>
      <c r="BO169" s="226"/>
      <c r="BP169" s="226"/>
      <c r="BQ169" s="226"/>
      <c r="BR169" s="226"/>
      <c r="BS169" s="226"/>
      <c r="BT169" s="226"/>
      <c r="BU169" s="226"/>
      <c r="BV169" s="226"/>
      <c r="BW169" s="226"/>
      <c r="BX169" s="226"/>
      <c r="BY169" s="226"/>
      <c r="BZ169" s="226"/>
      <c r="CA169" s="226"/>
      <c r="CB169" s="226"/>
      <c r="CC169" s="226"/>
      <c r="CD169" s="226"/>
      <c r="CE169" s="226"/>
      <c r="CF169" s="226"/>
      <c r="CG169" s="226"/>
      <c r="CH169" s="226"/>
      <c r="CI169" s="226"/>
      <c r="CJ169" s="226"/>
      <c r="CK169" s="226"/>
      <c r="CL169" s="226"/>
      <c r="CM169" s="226"/>
      <c r="CN169" s="226"/>
      <c r="CO169" s="226"/>
      <c r="CP169" s="226"/>
      <c r="CQ169" s="226"/>
      <c r="CR169" s="226"/>
      <c r="CS169" s="226"/>
      <c r="CT169" s="226"/>
      <c r="CU169" s="226"/>
      <c r="CV169" s="226"/>
      <c r="CW169" s="226"/>
      <c r="CX169" s="226"/>
      <c r="CY169" s="226"/>
      <c r="CZ169" s="226"/>
      <c r="DA169" s="226"/>
      <c r="DB169" s="226"/>
      <c r="DC169" s="226"/>
      <c r="DD169" s="226"/>
      <c r="DE169" s="226"/>
      <c r="DF169" s="226"/>
      <c r="DG169" s="226"/>
      <c r="DH169" s="226"/>
      <c r="DI169" s="226"/>
      <c r="DJ169" s="226"/>
      <c r="DK169" s="226"/>
      <c r="DL169" s="226"/>
      <c r="DM169" s="226"/>
      <c r="DN169" s="226"/>
      <c r="DO169" s="226"/>
      <c r="DP169" s="226"/>
      <c r="DQ169" s="226"/>
      <c r="DR169" s="226"/>
      <c r="DS169" s="226"/>
      <c r="DT169" s="226"/>
      <c r="DU169" s="226"/>
      <c r="DV169" s="226"/>
      <c r="DW169" s="226"/>
      <c r="DX169" s="226"/>
      <c r="DY169" s="226"/>
      <c r="DZ169" s="226"/>
      <c r="EA169" s="226"/>
      <c r="EB169" s="226"/>
      <c r="EC169" s="226"/>
      <c r="ED169" s="226"/>
      <c r="EE169" s="226"/>
      <c r="EF169" s="226"/>
      <c r="EG169" s="226"/>
      <c r="EH169" s="226"/>
      <c r="EI169" s="226"/>
      <c r="EJ169" s="226"/>
      <c r="EK169" s="226"/>
      <c r="EL169" s="226"/>
      <c r="EM169" s="226"/>
      <c r="EN169" s="226"/>
      <c r="EO169" s="226"/>
      <c r="EP169" s="226"/>
    </row>
    <row r="170" spans="45:146">
      <c r="AS170" s="226"/>
      <c r="AT170" s="226"/>
      <c r="AU170" s="226"/>
      <c r="AV170" s="226"/>
      <c r="AW170" s="226"/>
      <c r="AX170" s="226"/>
      <c r="AY170" s="226"/>
      <c r="AZ170" s="226"/>
      <c r="BA170" s="226"/>
      <c r="BB170" s="226"/>
      <c r="BC170" s="226"/>
      <c r="BD170" s="226"/>
      <c r="BE170" s="226"/>
      <c r="BF170" s="226"/>
      <c r="BG170" s="226"/>
      <c r="BH170" s="226"/>
      <c r="BI170" s="226"/>
      <c r="BJ170" s="226"/>
      <c r="BK170" s="226"/>
      <c r="BL170" s="226"/>
      <c r="BM170" s="226"/>
      <c r="BN170" s="226"/>
      <c r="BO170" s="226"/>
      <c r="BP170" s="226"/>
      <c r="BQ170" s="226"/>
      <c r="BR170" s="226"/>
      <c r="BS170" s="226"/>
      <c r="BT170" s="226"/>
      <c r="BU170" s="226"/>
      <c r="BV170" s="226"/>
      <c r="BW170" s="226"/>
      <c r="BX170" s="226"/>
      <c r="BY170" s="226"/>
      <c r="BZ170" s="226"/>
      <c r="CA170" s="226"/>
      <c r="CB170" s="226"/>
      <c r="CC170" s="226"/>
      <c r="CD170" s="226"/>
      <c r="CE170" s="226"/>
      <c r="CF170" s="226"/>
      <c r="CG170" s="226"/>
      <c r="CH170" s="226"/>
      <c r="CI170" s="226"/>
      <c r="CJ170" s="226"/>
      <c r="CK170" s="226"/>
      <c r="CL170" s="226"/>
      <c r="CM170" s="226"/>
      <c r="CN170" s="226"/>
      <c r="CO170" s="226"/>
      <c r="CP170" s="226"/>
      <c r="CQ170" s="226"/>
      <c r="CR170" s="226"/>
      <c r="CS170" s="226"/>
      <c r="CT170" s="226"/>
      <c r="CU170" s="226"/>
      <c r="CV170" s="226"/>
      <c r="CW170" s="226"/>
      <c r="CX170" s="226"/>
      <c r="CY170" s="226"/>
      <c r="CZ170" s="226"/>
      <c r="DA170" s="226"/>
      <c r="DB170" s="226"/>
      <c r="DC170" s="226"/>
      <c r="DD170" s="226"/>
      <c r="DE170" s="226"/>
      <c r="DF170" s="226"/>
      <c r="DG170" s="226"/>
      <c r="DH170" s="226"/>
      <c r="DI170" s="226"/>
      <c r="DJ170" s="226"/>
      <c r="DK170" s="226"/>
      <c r="DL170" s="226"/>
      <c r="DM170" s="226"/>
      <c r="DN170" s="226"/>
      <c r="DO170" s="226"/>
      <c r="DP170" s="226"/>
      <c r="DQ170" s="226"/>
      <c r="DR170" s="226"/>
      <c r="DS170" s="226"/>
      <c r="DT170" s="226"/>
      <c r="DU170" s="226"/>
      <c r="DV170" s="226"/>
      <c r="DW170" s="226"/>
      <c r="DX170" s="226"/>
      <c r="DY170" s="226"/>
      <c r="DZ170" s="226"/>
      <c r="EA170" s="226"/>
      <c r="EB170" s="226"/>
      <c r="EC170" s="226"/>
      <c r="ED170" s="226"/>
      <c r="EE170" s="226"/>
      <c r="EF170" s="226"/>
      <c r="EG170" s="226"/>
      <c r="EH170" s="226"/>
      <c r="EI170" s="226"/>
      <c r="EJ170" s="226"/>
      <c r="EK170" s="226"/>
      <c r="EL170" s="226"/>
      <c r="EM170" s="226"/>
      <c r="EN170" s="226"/>
      <c r="EO170" s="226"/>
      <c r="EP170" s="226"/>
    </row>
    <row r="171" spans="45:146">
      <c r="AS171" s="226"/>
      <c r="AT171" s="226"/>
      <c r="AU171" s="226"/>
      <c r="AV171" s="226"/>
      <c r="AW171" s="226"/>
      <c r="AX171" s="226"/>
      <c r="AY171" s="226"/>
      <c r="AZ171" s="226"/>
      <c r="BA171" s="226"/>
      <c r="BB171" s="226"/>
      <c r="BC171" s="226"/>
      <c r="BD171" s="226"/>
      <c r="BE171" s="226"/>
      <c r="BF171" s="226"/>
      <c r="BG171" s="226"/>
      <c r="BH171" s="226"/>
      <c r="BI171" s="226"/>
      <c r="BJ171" s="226"/>
      <c r="BK171" s="226"/>
      <c r="BL171" s="226"/>
      <c r="BM171" s="226"/>
      <c r="BN171" s="226"/>
      <c r="BO171" s="226"/>
      <c r="BP171" s="226"/>
      <c r="BQ171" s="226"/>
      <c r="BR171" s="226"/>
      <c r="BS171" s="226"/>
      <c r="BT171" s="226"/>
      <c r="BU171" s="226"/>
      <c r="BV171" s="226"/>
      <c r="BW171" s="226"/>
      <c r="BX171" s="226"/>
      <c r="BY171" s="226"/>
      <c r="BZ171" s="226"/>
      <c r="CA171" s="226"/>
      <c r="CB171" s="226"/>
      <c r="CC171" s="226"/>
      <c r="CD171" s="226"/>
      <c r="CE171" s="226"/>
      <c r="CF171" s="226"/>
      <c r="CG171" s="226"/>
      <c r="CH171" s="226"/>
      <c r="CI171" s="226"/>
      <c r="CJ171" s="226"/>
      <c r="CK171" s="226"/>
      <c r="CL171" s="226"/>
      <c r="CM171" s="226"/>
      <c r="CN171" s="226"/>
      <c r="CO171" s="226"/>
      <c r="CP171" s="226"/>
      <c r="CQ171" s="226"/>
      <c r="CR171" s="226"/>
      <c r="CS171" s="226"/>
      <c r="CT171" s="226"/>
      <c r="CU171" s="226"/>
      <c r="CV171" s="226"/>
      <c r="CW171" s="226"/>
      <c r="CX171" s="226"/>
      <c r="CY171" s="226"/>
      <c r="CZ171" s="226"/>
      <c r="DA171" s="226"/>
      <c r="DB171" s="226"/>
      <c r="DC171" s="226"/>
      <c r="DD171" s="226"/>
      <c r="DE171" s="226"/>
      <c r="DF171" s="226"/>
      <c r="DG171" s="226"/>
      <c r="DH171" s="226"/>
      <c r="DI171" s="226"/>
      <c r="DJ171" s="226"/>
      <c r="DK171" s="226"/>
      <c r="DL171" s="226"/>
      <c r="DM171" s="226"/>
      <c r="DN171" s="226"/>
      <c r="DO171" s="226"/>
      <c r="DP171" s="226"/>
      <c r="DQ171" s="226"/>
      <c r="DR171" s="226"/>
      <c r="DS171" s="226"/>
      <c r="DT171" s="226"/>
      <c r="DU171" s="226"/>
      <c r="DV171" s="226"/>
      <c r="DW171" s="226"/>
      <c r="DX171" s="226"/>
      <c r="DY171" s="226"/>
      <c r="DZ171" s="226"/>
      <c r="EA171" s="226"/>
      <c r="EB171" s="226"/>
      <c r="EC171" s="226"/>
      <c r="ED171" s="226"/>
      <c r="EE171" s="226"/>
      <c r="EF171" s="226"/>
      <c r="EG171" s="226"/>
      <c r="EH171" s="226"/>
      <c r="EI171" s="226"/>
      <c r="EJ171" s="226"/>
      <c r="EK171" s="226"/>
      <c r="EL171" s="226"/>
      <c r="EM171" s="226"/>
      <c r="EN171" s="226"/>
      <c r="EO171" s="226"/>
      <c r="EP171" s="226"/>
    </row>
    <row r="172" spans="45:14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T172" s="226"/>
      <c r="BU172" s="226"/>
      <c r="BV172" s="226"/>
      <c r="BW172" s="226"/>
      <c r="BX172" s="226"/>
      <c r="BY172" s="226"/>
      <c r="BZ172" s="226"/>
      <c r="CA172" s="226"/>
      <c r="CB172" s="226"/>
      <c r="CC172" s="226"/>
      <c r="CD172" s="226"/>
      <c r="CE172" s="226"/>
      <c r="CF172" s="226"/>
      <c r="CG172" s="226"/>
      <c r="CH172" s="226"/>
      <c r="CI172" s="226"/>
      <c r="CJ172" s="226"/>
      <c r="CK172" s="226"/>
      <c r="CL172" s="226"/>
      <c r="CM172" s="226"/>
      <c r="CN172" s="226"/>
      <c r="CO172" s="226"/>
      <c r="CP172" s="226"/>
      <c r="CQ172" s="226"/>
      <c r="CR172" s="226"/>
      <c r="CS172" s="226"/>
      <c r="CT172" s="226"/>
      <c r="CU172" s="226"/>
      <c r="CV172" s="226"/>
      <c r="CW172" s="226"/>
      <c r="CX172" s="226"/>
      <c r="CY172" s="226"/>
      <c r="CZ172" s="226"/>
      <c r="DA172" s="226"/>
      <c r="DB172" s="226"/>
      <c r="DC172" s="226"/>
      <c r="DD172" s="226"/>
      <c r="DE172" s="226"/>
      <c r="DF172" s="226"/>
      <c r="DG172" s="226"/>
      <c r="DH172" s="226"/>
      <c r="DI172" s="226"/>
      <c r="DJ172" s="226"/>
      <c r="DK172" s="226"/>
      <c r="DL172" s="226"/>
      <c r="DM172" s="226"/>
      <c r="DN172" s="226"/>
      <c r="DO172" s="226"/>
      <c r="DP172" s="226"/>
      <c r="DQ172" s="226"/>
      <c r="DR172" s="226"/>
      <c r="DS172" s="226"/>
      <c r="DT172" s="226"/>
      <c r="DU172" s="226"/>
      <c r="DV172" s="226"/>
      <c r="DW172" s="226"/>
      <c r="DX172" s="226"/>
      <c r="DY172" s="226"/>
      <c r="DZ172" s="226"/>
      <c r="EA172" s="226"/>
      <c r="EB172" s="226"/>
      <c r="EC172" s="226"/>
      <c r="ED172" s="226"/>
      <c r="EE172" s="226"/>
      <c r="EF172" s="226"/>
      <c r="EG172" s="226"/>
      <c r="EH172" s="226"/>
      <c r="EI172" s="226"/>
      <c r="EJ172" s="226"/>
      <c r="EK172" s="226"/>
      <c r="EL172" s="226"/>
      <c r="EM172" s="226"/>
      <c r="EN172" s="226"/>
      <c r="EO172" s="226"/>
      <c r="EP172" s="226"/>
    </row>
    <row r="173" spans="45:14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T173" s="226"/>
      <c r="BU173" s="226"/>
      <c r="BV173" s="226"/>
      <c r="BW173" s="226"/>
      <c r="BX173" s="226"/>
      <c r="BY173" s="226"/>
      <c r="BZ173" s="226"/>
      <c r="CA173" s="226"/>
      <c r="CB173" s="226"/>
      <c r="CC173" s="226"/>
      <c r="CD173" s="226"/>
      <c r="CE173" s="226"/>
      <c r="CF173" s="226"/>
      <c r="CG173" s="226"/>
      <c r="CH173" s="226"/>
      <c r="CI173" s="226"/>
      <c r="CJ173" s="226"/>
      <c r="CK173" s="226"/>
      <c r="CL173" s="226"/>
      <c r="CM173" s="226"/>
      <c r="CN173" s="226"/>
      <c r="CO173" s="226"/>
      <c r="CP173" s="226"/>
      <c r="CQ173" s="226"/>
      <c r="CR173" s="226"/>
      <c r="CS173" s="226"/>
      <c r="CT173" s="226"/>
      <c r="CU173" s="226"/>
      <c r="CV173" s="226"/>
      <c r="CW173" s="226"/>
      <c r="CX173" s="226"/>
      <c r="CY173" s="226"/>
      <c r="CZ173" s="226"/>
      <c r="DA173" s="226"/>
      <c r="DB173" s="226"/>
      <c r="DC173" s="226"/>
      <c r="DD173" s="226"/>
      <c r="DE173" s="226"/>
      <c r="DF173" s="226"/>
      <c r="DG173" s="226"/>
      <c r="DH173" s="226"/>
      <c r="DI173" s="226"/>
      <c r="DJ173" s="226"/>
      <c r="DK173" s="226"/>
      <c r="DL173" s="226"/>
      <c r="DM173" s="226"/>
      <c r="DN173" s="226"/>
      <c r="DO173" s="226"/>
      <c r="DP173" s="226"/>
      <c r="DQ173" s="226"/>
      <c r="DR173" s="226"/>
      <c r="DS173" s="226"/>
      <c r="DT173" s="226"/>
      <c r="DU173" s="226"/>
      <c r="DV173" s="226"/>
      <c r="DW173" s="226"/>
      <c r="DX173" s="226"/>
      <c r="DY173" s="226"/>
      <c r="DZ173" s="226"/>
      <c r="EA173" s="226"/>
      <c r="EB173" s="226"/>
      <c r="EC173" s="226"/>
      <c r="ED173" s="226"/>
      <c r="EE173" s="226"/>
      <c r="EF173" s="226"/>
      <c r="EG173" s="226"/>
      <c r="EH173" s="226"/>
      <c r="EI173" s="226"/>
      <c r="EJ173" s="226"/>
      <c r="EK173" s="226"/>
      <c r="EL173" s="226"/>
      <c r="EM173" s="226"/>
      <c r="EN173" s="226"/>
      <c r="EO173" s="226"/>
      <c r="EP173" s="226"/>
    </row>
    <row r="174" spans="45:14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T174" s="226"/>
      <c r="BU174" s="226"/>
      <c r="BV174" s="226"/>
      <c r="BW174" s="226"/>
      <c r="BX174" s="226"/>
      <c r="BY174" s="226"/>
      <c r="BZ174" s="226"/>
      <c r="CA174" s="226"/>
      <c r="CB174" s="226"/>
      <c r="CC174" s="226"/>
      <c r="CD174" s="226"/>
      <c r="CE174" s="226"/>
      <c r="CF174" s="226"/>
      <c r="CG174" s="226"/>
      <c r="CH174" s="226"/>
      <c r="CI174" s="226"/>
      <c r="CJ174" s="226"/>
      <c r="CK174" s="226"/>
      <c r="CL174" s="226"/>
      <c r="CM174" s="226"/>
      <c r="CN174" s="226"/>
      <c r="CO174" s="226"/>
      <c r="CP174" s="226"/>
      <c r="CQ174" s="226"/>
      <c r="CR174" s="226"/>
      <c r="CS174" s="226"/>
      <c r="CT174" s="226"/>
      <c r="CU174" s="226"/>
      <c r="CV174" s="226"/>
      <c r="CW174" s="226"/>
      <c r="CX174" s="226"/>
      <c r="CY174" s="226"/>
      <c r="CZ174" s="226"/>
      <c r="DA174" s="226"/>
      <c r="DB174" s="226"/>
      <c r="DC174" s="226"/>
      <c r="DD174" s="226"/>
      <c r="DE174" s="226"/>
      <c r="DF174" s="226"/>
      <c r="DG174" s="226"/>
      <c r="DH174" s="226"/>
      <c r="DI174" s="226"/>
      <c r="DJ174" s="226"/>
      <c r="DK174" s="226"/>
      <c r="DL174" s="226"/>
      <c r="DM174" s="226"/>
      <c r="DN174" s="226"/>
      <c r="DO174" s="226"/>
      <c r="DP174" s="226"/>
      <c r="DQ174" s="226"/>
      <c r="DR174" s="226"/>
      <c r="DS174" s="226"/>
      <c r="DT174" s="226"/>
      <c r="DU174" s="226"/>
      <c r="DV174" s="226"/>
      <c r="DW174" s="226"/>
      <c r="DX174" s="226"/>
      <c r="DY174" s="226"/>
      <c r="DZ174" s="226"/>
      <c r="EA174" s="226"/>
      <c r="EB174" s="226"/>
      <c r="EC174" s="226"/>
      <c r="ED174" s="226"/>
      <c r="EE174" s="226"/>
      <c r="EF174" s="226"/>
      <c r="EG174" s="226"/>
      <c r="EH174" s="226"/>
      <c r="EI174" s="226"/>
      <c r="EJ174" s="226"/>
      <c r="EK174" s="226"/>
      <c r="EL174" s="226"/>
      <c r="EM174" s="226"/>
      <c r="EN174" s="226"/>
      <c r="EO174" s="226"/>
      <c r="EP174" s="226"/>
    </row>
    <row r="175" spans="45:146">
      <c r="AS175" s="226"/>
      <c r="AT175" s="226"/>
      <c r="AU175" s="226"/>
      <c r="AV175" s="226"/>
      <c r="AW175" s="226"/>
      <c r="AX175" s="226"/>
      <c r="AY175" s="226"/>
      <c r="AZ175" s="226"/>
      <c r="BA175" s="226"/>
      <c r="BB175" s="226"/>
      <c r="BC175" s="226"/>
      <c r="BD175" s="226"/>
      <c r="BE175" s="226"/>
      <c r="BF175" s="226"/>
      <c r="BG175" s="226"/>
      <c r="BH175" s="226"/>
      <c r="BI175" s="226"/>
      <c r="BJ175" s="226"/>
      <c r="BK175" s="226"/>
      <c r="BL175" s="226"/>
      <c r="BM175" s="226"/>
      <c r="BN175" s="226"/>
      <c r="BO175" s="226"/>
      <c r="BP175" s="226"/>
      <c r="BQ175" s="226"/>
      <c r="BR175" s="226"/>
      <c r="BS175" s="226"/>
      <c r="BT175" s="226"/>
      <c r="BU175" s="226"/>
      <c r="BV175" s="226"/>
      <c r="BW175" s="226"/>
      <c r="BX175" s="226"/>
      <c r="BY175" s="226"/>
      <c r="BZ175" s="226"/>
      <c r="CA175" s="226"/>
      <c r="CB175" s="226"/>
      <c r="CC175" s="226"/>
      <c r="CD175" s="226"/>
      <c r="CE175" s="226"/>
      <c r="CF175" s="226"/>
      <c r="CG175" s="226"/>
      <c r="CH175" s="226"/>
      <c r="CI175" s="226"/>
      <c r="CJ175" s="226"/>
      <c r="CK175" s="226"/>
      <c r="CL175" s="226"/>
      <c r="CM175" s="226"/>
      <c r="CN175" s="226"/>
      <c r="CO175" s="226"/>
      <c r="CP175" s="226"/>
      <c r="CQ175" s="226"/>
      <c r="CR175" s="226"/>
      <c r="CS175" s="226"/>
      <c r="CT175" s="226"/>
      <c r="CU175" s="226"/>
      <c r="CV175" s="226"/>
      <c r="CW175" s="226"/>
      <c r="CX175" s="226"/>
      <c r="CY175" s="226"/>
      <c r="CZ175" s="226"/>
      <c r="DA175" s="226"/>
      <c r="DB175" s="226"/>
      <c r="DC175" s="226"/>
      <c r="DD175" s="226"/>
      <c r="DE175" s="226"/>
      <c r="DF175" s="226"/>
      <c r="DG175" s="226"/>
      <c r="DH175" s="226"/>
      <c r="DI175" s="226"/>
      <c r="DJ175" s="226"/>
      <c r="DK175" s="226"/>
      <c r="DL175" s="226"/>
      <c r="DM175" s="226"/>
      <c r="DN175" s="226"/>
      <c r="DO175" s="226"/>
      <c r="DP175" s="226"/>
      <c r="DQ175" s="226"/>
      <c r="DR175" s="226"/>
      <c r="DS175" s="226"/>
      <c r="DT175" s="226"/>
      <c r="DU175" s="226"/>
      <c r="DV175" s="226"/>
      <c r="DW175" s="226"/>
      <c r="DX175" s="226"/>
      <c r="DY175" s="226"/>
      <c r="DZ175" s="226"/>
      <c r="EA175" s="226"/>
      <c r="EB175" s="226"/>
      <c r="EC175" s="226"/>
      <c r="ED175" s="226"/>
      <c r="EE175" s="226"/>
      <c r="EF175" s="226"/>
      <c r="EG175" s="226"/>
      <c r="EH175" s="226"/>
      <c r="EI175" s="226"/>
      <c r="EJ175" s="226"/>
      <c r="EK175" s="226"/>
      <c r="EL175" s="226"/>
      <c r="EM175" s="226"/>
      <c r="EN175" s="226"/>
      <c r="EO175" s="226"/>
      <c r="EP175" s="226"/>
    </row>
    <row r="176" spans="45:146">
      <c r="AS176" s="226"/>
      <c r="AT176" s="226"/>
      <c r="AU176" s="226"/>
      <c r="AV176" s="226"/>
      <c r="AW176" s="226"/>
      <c r="AX176" s="226"/>
      <c r="AY176" s="226"/>
      <c r="AZ176" s="226"/>
      <c r="BA176" s="226"/>
      <c r="BB176" s="226"/>
      <c r="BC176" s="226"/>
      <c r="BD176" s="226"/>
      <c r="BE176" s="226"/>
      <c r="BF176" s="226"/>
      <c r="BG176" s="226"/>
      <c r="BH176" s="226"/>
      <c r="BI176" s="226"/>
      <c r="BJ176" s="226"/>
      <c r="BK176" s="226"/>
      <c r="BL176" s="226"/>
      <c r="BM176" s="226"/>
      <c r="BN176" s="226"/>
      <c r="BO176" s="226"/>
      <c r="BP176" s="226"/>
      <c r="BQ176" s="226"/>
      <c r="BR176" s="226"/>
      <c r="BS176" s="226"/>
      <c r="BT176" s="226"/>
      <c r="BU176" s="226"/>
      <c r="BV176" s="226"/>
      <c r="BW176" s="226"/>
      <c r="BX176" s="226"/>
      <c r="BY176" s="226"/>
      <c r="BZ176" s="226"/>
      <c r="CA176" s="226"/>
      <c r="CB176" s="226"/>
      <c r="CC176" s="226"/>
      <c r="CD176" s="226"/>
      <c r="CE176" s="226"/>
      <c r="CF176" s="226"/>
      <c r="CG176" s="226"/>
      <c r="CH176" s="226"/>
      <c r="CI176" s="226"/>
      <c r="CJ176" s="226"/>
      <c r="CK176" s="226"/>
      <c r="CL176" s="226"/>
      <c r="CM176" s="226"/>
      <c r="CN176" s="226"/>
      <c r="CO176" s="226"/>
      <c r="CP176" s="226"/>
      <c r="CQ176" s="226"/>
      <c r="CR176" s="226"/>
      <c r="CS176" s="226"/>
      <c r="CT176" s="226"/>
      <c r="CU176" s="226"/>
      <c r="CV176" s="226"/>
      <c r="CW176" s="226"/>
      <c r="CX176" s="226"/>
      <c r="CY176" s="226"/>
      <c r="CZ176" s="226"/>
      <c r="DA176" s="226"/>
      <c r="DB176" s="226"/>
      <c r="DC176" s="226"/>
      <c r="DD176" s="226"/>
      <c r="DE176" s="226"/>
      <c r="DF176" s="226"/>
      <c r="DG176" s="226"/>
      <c r="DH176" s="226"/>
      <c r="DI176" s="226"/>
      <c r="DJ176" s="226"/>
      <c r="DK176" s="226"/>
      <c r="DL176" s="226"/>
      <c r="DM176" s="226"/>
      <c r="DN176" s="226"/>
      <c r="DO176" s="226"/>
      <c r="DP176" s="226"/>
      <c r="DQ176" s="226"/>
      <c r="DR176" s="226"/>
      <c r="DS176" s="226"/>
      <c r="DT176" s="226"/>
      <c r="DU176" s="226"/>
      <c r="DV176" s="226"/>
      <c r="DW176" s="226"/>
      <c r="DX176" s="226"/>
      <c r="DY176" s="226"/>
      <c r="DZ176" s="226"/>
      <c r="EA176" s="226"/>
      <c r="EB176" s="226"/>
      <c r="EC176" s="226"/>
      <c r="ED176" s="226"/>
      <c r="EE176" s="226"/>
      <c r="EF176" s="226"/>
      <c r="EG176" s="226"/>
      <c r="EH176" s="226"/>
      <c r="EI176" s="226"/>
      <c r="EJ176" s="226"/>
      <c r="EK176" s="226"/>
      <c r="EL176" s="226"/>
      <c r="EM176" s="226"/>
      <c r="EN176" s="226"/>
      <c r="EO176" s="226"/>
      <c r="EP176" s="226"/>
    </row>
    <row r="177" spans="45:146">
      <c r="AS177" s="226"/>
      <c r="AT177" s="226"/>
      <c r="AU177" s="226"/>
      <c r="AV177" s="226"/>
      <c r="AW177" s="226"/>
      <c r="AX177" s="226"/>
      <c r="AY177" s="226"/>
      <c r="AZ177" s="226"/>
      <c r="BA177" s="226"/>
      <c r="BB177" s="226"/>
      <c r="BC177" s="226"/>
      <c r="BD177" s="226"/>
      <c r="BE177" s="226"/>
      <c r="BF177" s="226"/>
      <c r="BG177" s="226"/>
      <c r="BH177" s="226"/>
      <c r="BI177" s="226"/>
      <c r="BJ177" s="226"/>
      <c r="BK177" s="226"/>
      <c r="BL177" s="226"/>
      <c r="BM177" s="226"/>
      <c r="BN177" s="226"/>
      <c r="BO177" s="226"/>
      <c r="BP177" s="226"/>
      <c r="BQ177" s="226"/>
      <c r="BR177" s="226"/>
      <c r="BS177" s="226"/>
      <c r="BT177" s="226"/>
      <c r="BU177" s="226"/>
      <c r="BV177" s="226"/>
      <c r="BW177" s="226"/>
      <c r="BX177" s="226"/>
      <c r="BY177" s="226"/>
      <c r="BZ177" s="226"/>
      <c r="CA177" s="226"/>
      <c r="CB177" s="226"/>
      <c r="CC177" s="226"/>
      <c r="CD177" s="226"/>
      <c r="CE177" s="226"/>
      <c r="CF177" s="226"/>
      <c r="CG177" s="226"/>
      <c r="CH177" s="226"/>
      <c r="CI177" s="226"/>
      <c r="CJ177" s="226"/>
      <c r="CK177" s="226"/>
      <c r="CL177" s="226"/>
      <c r="CM177" s="226"/>
      <c r="CN177" s="226"/>
      <c r="CO177" s="226"/>
      <c r="CP177" s="226"/>
      <c r="CQ177" s="226"/>
      <c r="CR177" s="226"/>
      <c r="CS177" s="226"/>
      <c r="CT177" s="226"/>
      <c r="CU177" s="226"/>
      <c r="CV177" s="226"/>
      <c r="CW177" s="226"/>
      <c r="CX177" s="226"/>
      <c r="CY177" s="226"/>
      <c r="CZ177" s="226"/>
      <c r="DA177" s="226"/>
      <c r="DB177" s="226"/>
      <c r="DC177" s="226"/>
      <c r="DD177" s="226"/>
      <c r="DE177" s="226"/>
      <c r="DF177" s="226"/>
      <c r="DG177" s="226"/>
      <c r="DH177" s="226"/>
      <c r="DI177" s="226"/>
      <c r="DJ177" s="226"/>
      <c r="DK177" s="226"/>
      <c r="DL177" s="226"/>
      <c r="DM177" s="226"/>
      <c r="DN177" s="226"/>
      <c r="DO177" s="226"/>
      <c r="DP177" s="226"/>
      <c r="DQ177" s="226"/>
      <c r="DR177" s="226"/>
      <c r="DS177" s="226"/>
      <c r="DT177" s="226"/>
      <c r="DU177" s="226"/>
      <c r="DV177" s="226"/>
      <c r="DW177" s="226"/>
      <c r="DX177" s="226"/>
      <c r="DY177" s="226"/>
      <c r="DZ177" s="226"/>
      <c r="EA177" s="226"/>
      <c r="EB177" s="226"/>
      <c r="EC177" s="226"/>
      <c r="ED177" s="226"/>
      <c r="EE177" s="226"/>
      <c r="EF177" s="226"/>
      <c r="EG177" s="226"/>
      <c r="EH177" s="226"/>
      <c r="EI177" s="226"/>
      <c r="EJ177" s="226"/>
      <c r="EK177" s="226"/>
      <c r="EL177" s="226"/>
      <c r="EM177" s="226"/>
      <c r="EN177" s="226"/>
      <c r="EO177" s="226"/>
      <c r="EP177" s="226"/>
    </row>
    <row r="178" spans="45:146">
      <c r="AS178" s="226"/>
      <c r="AT178" s="226"/>
      <c r="AU178" s="226"/>
      <c r="AV178" s="226"/>
      <c r="AW178" s="226"/>
      <c r="AX178" s="226"/>
      <c r="AY178" s="226"/>
      <c r="AZ178" s="226"/>
      <c r="BA178" s="226"/>
      <c r="BB178" s="226"/>
      <c r="BC178" s="226"/>
      <c r="BD178" s="226"/>
      <c r="BE178" s="226"/>
      <c r="BF178" s="226"/>
      <c r="BG178" s="226"/>
      <c r="BH178" s="226"/>
      <c r="BI178" s="226"/>
      <c r="BJ178" s="226"/>
      <c r="BK178" s="226"/>
      <c r="BL178" s="226"/>
      <c r="BM178" s="226"/>
      <c r="BN178" s="226"/>
      <c r="BO178" s="226"/>
      <c r="BP178" s="226"/>
      <c r="BQ178" s="226"/>
      <c r="BR178" s="226"/>
      <c r="BS178" s="226"/>
      <c r="BT178" s="226"/>
      <c r="BU178" s="226"/>
      <c r="BV178" s="226"/>
      <c r="BW178" s="226"/>
      <c r="BX178" s="226"/>
      <c r="BY178" s="226"/>
      <c r="BZ178" s="226"/>
      <c r="CA178" s="226"/>
      <c r="CB178" s="226"/>
      <c r="CC178" s="226"/>
      <c r="CD178" s="226"/>
      <c r="CE178" s="226"/>
      <c r="CF178" s="226"/>
      <c r="CG178" s="226"/>
      <c r="CH178" s="226"/>
      <c r="CI178" s="226"/>
      <c r="CJ178" s="226"/>
      <c r="CK178" s="226"/>
      <c r="CL178" s="226"/>
      <c r="CM178" s="226"/>
      <c r="CN178" s="226"/>
      <c r="CO178" s="226"/>
      <c r="CP178" s="226"/>
      <c r="CQ178" s="226"/>
      <c r="CR178" s="226"/>
      <c r="CS178" s="226"/>
      <c r="CT178" s="226"/>
      <c r="CU178" s="226"/>
      <c r="CV178" s="226"/>
      <c r="CW178" s="226"/>
      <c r="CX178" s="226"/>
      <c r="CY178" s="226"/>
      <c r="CZ178" s="226"/>
      <c r="DA178" s="226"/>
      <c r="DB178" s="226"/>
      <c r="DC178" s="226"/>
      <c r="DD178" s="226"/>
      <c r="DE178" s="226"/>
      <c r="DF178" s="226"/>
      <c r="DG178" s="226"/>
      <c r="DH178" s="226"/>
      <c r="DI178" s="226"/>
      <c r="DJ178" s="226"/>
      <c r="DK178" s="226"/>
      <c r="DL178" s="226"/>
      <c r="DM178" s="226"/>
      <c r="DN178" s="226"/>
      <c r="DO178" s="226"/>
      <c r="DP178" s="226"/>
      <c r="DQ178" s="226"/>
      <c r="DR178" s="226"/>
      <c r="DS178" s="226"/>
      <c r="DT178" s="226"/>
      <c r="DU178" s="226"/>
      <c r="DV178" s="226"/>
      <c r="DW178" s="226"/>
      <c r="DX178" s="226"/>
      <c r="DY178" s="226"/>
      <c r="DZ178" s="226"/>
      <c r="EA178" s="226"/>
      <c r="EB178" s="226"/>
      <c r="EC178" s="226"/>
      <c r="ED178" s="226"/>
      <c r="EE178" s="226"/>
      <c r="EF178" s="226"/>
      <c r="EG178" s="226"/>
      <c r="EH178" s="226"/>
      <c r="EI178" s="226"/>
      <c r="EJ178" s="226"/>
      <c r="EK178" s="226"/>
      <c r="EL178" s="226"/>
      <c r="EM178" s="226"/>
      <c r="EN178" s="226"/>
      <c r="EO178" s="226"/>
      <c r="EP178" s="226"/>
    </row>
    <row r="179" spans="45:146">
      <c r="AS179" s="226"/>
      <c r="AT179" s="226"/>
      <c r="AU179" s="226"/>
      <c r="AV179" s="226"/>
      <c r="AW179" s="226"/>
      <c r="AX179" s="226"/>
      <c r="AY179" s="226"/>
      <c r="AZ179" s="226"/>
      <c r="BA179" s="226"/>
      <c r="BB179" s="226"/>
      <c r="BC179" s="226"/>
      <c r="BD179" s="226"/>
      <c r="BE179" s="226"/>
      <c r="BF179" s="226"/>
      <c r="BG179" s="226"/>
      <c r="BH179" s="226"/>
      <c r="BI179" s="226"/>
      <c r="BJ179" s="226"/>
      <c r="BK179" s="226"/>
      <c r="BL179" s="226"/>
      <c r="BM179" s="226"/>
      <c r="BN179" s="226"/>
      <c r="BO179" s="226"/>
      <c r="BP179" s="226"/>
      <c r="BQ179" s="226"/>
      <c r="BR179" s="226"/>
      <c r="BS179" s="226"/>
      <c r="BT179" s="226"/>
      <c r="BU179" s="226"/>
      <c r="BV179" s="226"/>
      <c r="BW179" s="226"/>
      <c r="BX179" s="226"/>
      <c r="BY179" s="226"/>
      <c r="BZ179" s="226"/>
      <c r="CA179" s="226"/>
      <c r="CB179" s="226"/>
      <c r="CC179" s="226"/>
      <c r="CD179" s="226"/>
      <c r="CE179" s="226"/>
      <c r="CF179" s="226"/>
      <c r="CG179" s="226"/>
      <c r="CH179" s="226"/>
      <c r="CI179" s="226"/>
      <c r="CJ179" s="226"/>
      <c r="CK179" s="226"/>
      <c r="CL179" s="226"/>
      <c r="CM179" s="226"/>
      <c r="CN179" s="226"/>
      <c r="CO179" s="226"/>
      <c r="CP179" s="226"/>
      <c r="CQ179" s="226"/>
      <c r="CR179" s="226"/>
      <c r="CS179" s="226"/>
      <c r="CT179" s="226"/>
      <c r="CU179" s="226"/>
      <c r="CV179" s="226"/>
      <c r="CW179" s="226"/>
      <c r="CX179" s="226"/>
      <c r="CY179" s="226"/>
      <c r="CZ179" s="226"/>
      <c r="DA179" s="226"/>
      <c r="DB179" s="226"/>
      <c r="DC179" s="226"/>
      <c r="DD179" s="226"/>
      <c r="DE179" s="226"/>
      <c r="DF179" s="226"/>
      <c r="DG179" s="226"/>
      <c r="DH179" s="226"/>
      <c r="DI179" s="226"/>
      <c r="DJ179" s="226"/>
      <c r="DK179" s="226"/>
      <c r="DL179" s="226"/>
      <c r="DM179" s="226"/>
      <c r="DN179" s="226"/>
      <c r="DO179" s="226"/>
      <c r="DP179" s="226"/>
      <c r="DQ179" s="226"/>
      <c r="DR179" s="226"/>
      <c r="DS179" s="226"/>
      <c r="DT179" s="226"/>
      <c r="DU179" s="226"/>
      <c r="DV179" s="226"/>
      <c r="DW179" s="226"/>
      <c r="DX179" s="226"/>
      <c r="DY179" s="226"/>
      <c r="DZ179" s="226"/>
      <c r="EA179" s="226"/>
      <c r="EB179" s="226"/>
      <c r="EC179" s="226"/>
      <c r="ED179" s="226"/>
      <c r="EE179" s="226"/>
      <c r="EF179" s="226"/>
      <c r="EG179" s="226"/>
      <c r="EH179" s="226"/>
      <c r="EI179" s="226"/>
      <c r="EJ179" s="226"/>
      <c r="EK179" s="226"/>
      <c r="EL179" s="226"/>
      <c r="EM179" s="226"/>
      <c r="EN179" s="226"/>
      <c r="EO179" s="226"/>
      <c r="EP179" s="226"/>
    </row>
    <row r="180" spans="45:146">
      <c r="AS180" s="226"/>
      <c r="AT180" s="226"/>
      <c r="AU180" s="226"/>
      <c r="AV180" s="226"/>
      <c r="AW180" s="226"/>
      <c r="AX180" s="226"/>
      <c r="AY180" s="226"/>
      <c r="AZ180" s="226"/>
      <c r="BA180" s="226"/>
      <c r="BB180" s="226"/>
      <c r="BC180" s="226"/>
      <c r="BD180" s="226"/>
      <c r="BE180" s="226"/>
      <c r="BF180" s="226"/>
      <c r="BG180" s="226"/>
      <c r="BH180" s="226"/>
      <c r="BI180" s="226"/>
      <c r="BJ180" s="226"/>
      <c r="BK180" s="226"/>
      <c r="BL180" s="226"/>
      <c r="BM180" s="226"/>
      <c r="BN180" s="226"/>
      <c r="BO180" s="226"/>
      <c r="BP180" s="226"/>
      <c r="BQ180" s="226"/>
      <c r="BR180" s="226"/>
      <c r="BS180" s="226"/>
      <c r="BT180" s="226"/>
      <c r="BU180" s="226"/>
      <c r="BV180" s="226"/>
      <c r="BW180" s="226"/>
      <c r="BX180" s="226"/>
      <c r="BY180" s="226"/>
      <c r="BZ180" s="226"/>
      <c r="CA180" s="226"/>
      <c r="CB180" s="226"/>
      <c r="CC180" s="226"/>
      <c r="CD180" s="226"/>
      <c r="CE180" s="226"/>
      <c r="CF180" s="226"/>
      <c r="CG180" s="226"/>
      <c r="CH180" s="226"/>
      <c r="CI180" s="226"/>
      <c r="CJ180" s="226"/>
      <c r="CK180" s="226"/>
      <c r="CL180" s="226"/>
      <c r="CM180" s="226"/>
      <c r="CN180" s="226"/>
      <c r="CO180" s="226"/>
      <c r="CP180" s="226"/>
      <c r="CQ180" s="226"/>
      <c r="CR180" s="226"/>
      <c r="CS180" s="226"/>
      <c r="CT180" s="226"/>
      <c r="CU180" s="226"/>
      <c r="CV180" s="226"/>
      <c r="CW180" s="226"/>
      <c r="CX180" s="226"/>
      <c r="CY180" s="226"/>
      <c r="CZ180" s="226"/>
      <c r="DA180" s="226"/>
      <c r="DB180" s="226"/>
      <c r="DC180" s="226"/>
      <c r="DD180" s="226"/>
      <c r="DE180" s="226"/>
      <c r="DF180" s="226"/>
      <c r="DG180" s="226"/>
      <c r="DH180" s="226"/>
      <c r="DI180" s="226"/>
      <c r="DJ180" s="226"/>
      <c r="DK180" s="226"/>
      <c r="DL180" s="226"/>
      <c r="DM180" s="226"/>
      <c r="DN180" s="226"/>
      <c r="DO180" s="226"/>
      <c r="DP180" s="226"/>
      <c r="DQ180" s="226"/>
      <c r="DR180" s="226"/>
      <c r="DS180" s="226"/>
      <c r="DT180" s="226"/>
      <c r="DU180" s="226"/>
      <c r="DV180" s="226"/>
      <c r="DW180" s="226"/>
      <c r="DX180" s="226"/>
      <c r="DY180" s="226"/>
      <c r="DZ180" s="226"/>
      <c r="EA180" s="226"/>
      <c r="EB180" s="226"/>
      <c r="EC180" s="226"/>
      <c r="ED180" s="226"/>
      <c r="EE180" s="226"/>
      <c r="EF180" s="226"/>
      <c r="EG180" s="226"/>
      <c r="EH180" s="226"/>
      <c r="EI180" s="226"/>
      <c r="EJ180" s="226"/>
      <c r="EK180" s="226"/>
      <c r="EL180" s="226"/>
      <c r="EM180" s="226"/>
      <c r="EN180" s="226"/>
      <c r="EO180" s="226"/>
      <c r="EP180" s="226"/>
    </row>
    <row r="181" spans="45:146">
      <c r="AS181" s="226"/>
      <c r="AT181" s="226"/>
      <c r="AU181" s="226"/>
      <c r="AV181" s="226"/>
      <c r="AW181" s="226"/>
      <c r="AX181" s="226"/>
      <c r="AY181" s="226"/>
      <c r="AZ181" s="226"/>
      <c r="BA181" s="226"/>
      <c r="BB181" s="226"/>
      <c r="BC181" s="226"/>
      <c r="BD181" s="226"/>
      <c r="BE181" s="226"/>
      <c r="BF181" s="226"/>
      <c r="BG181" s="226"/>
      <c r="BH181" s="226"/>
      <c r="BI181" s="226"/>
      <c r="BJ181" s="226"/>
      <c r="BK181" s="226"/>
      <c r="BL181" s="226"/>
      <c r="BM181" s="226"/>
      <c r="BN181" s="226"/>
      <c r="BO181" s="226"/>
      <c r="BP181" s="226"/>
      <c r="BQ181" s="226"/>
      <c r="BR181" s="226"/>
      <c r="BS181" s="226"/>
      <c r="BT181" s="226"/>
      <c r="BU181" s="226"/>
      <c r="BV181" s="226"/>
      <c r="BW181" s="226"/>
      <c r="BX181" s="226"/>
      <c r="BY181" s="226"/>
      <c r="BZ181" s="226"/>
      <c r="CA181" s="226"/>
      <c r="CB181" s="226"/>
      <c r="CC181" s="226"/>
      <c r="CD181" s="226"/>
      <c r="CE181" s="226"/>
      <c r="CF181" s="226"/>
      <c r="CG181" s="226"/>
      <c r="CH181" s="226"/>
      <c r="CI181" s="226"/>
      <c r="CJ181" s="226"/>
      <c r="CK181" s="226"/>
      <c r="CL181" s="226"/>
      <c r="CM181" s="226"/>
      <c r="CN181" s="226"/>
      <c r="CO181" s="226"/>
      <c r="CP181" s="226"/>
      <c r="CQ181" s="226"/>
      <c r="CR181" s="226"/>
      <c r="CS181" s="226"/>
      <c r="CT181" s="226"/>
      <c r="CU181" s="226"/>
      <c r="CV181" s="226"/>
      <c r="CW181" s="226"/>
      <c r="CX181" s="226"/>
      <c r="CY181" s="226"/>
      <c r="CZ181" s="226"/>
      <c r="DA181" s="226"/>
      <c r="DB181" s="226"/>
      <c r="DC181" s="226"/>
      <c r="DD181" s="226"/>
      <c r="DE181" s="226"/>
      <c r="DF181" s="226"/>
      <c r="DG181" s="226"/>
      <c r="DH181" s="226"/>
      <c r="DI181" s="226"/>
      <c r="DJ181" s="226"/>
      <c r="DK181" s="226"/>
      <c r="DL181" s="226"/>
      <c r="DM181" s="226"/>
      <c r="DN181" s="226"/>
      <c r="DO181" s="226"/>
      <c r="DP181" s="226"/>
      <c r="DQ181" s="226"/>
      <c r="DR181" s="226"/>
      <c r="DS181" s="226"/>
      <c r="DT181" s="226"/>
      <c r="DU181" s="226"/>
      <c r="DV181" s="226"/>
      <c r="DW181" s="226"/>
      <c r="DX181" s="226"/>
      <c r="DY181" s="226"/>
      <c r="DZ181" s="226"/>
      <c r="EA181" s="226"/>
      <c r="EB181" s="226"/>
      <c r="EC181" s="226"/>
      <c r="ED181" s="226"/>
      <c r="EE181" s="226"/>
      <c r="EF181" s="226"/>
      <c r="EG181" s="226"/>
      <c r="EH181" s="226"/>
      <c r="EI181" s="226"/>
      <c r="EJ181" s="226"/>
      <c r="EK181" s="226"/>
      <c r="EL181" s="226"/>
      <c r="EM181" s="226"/>
      <c r="EN181" s="226"/>
      <c r="EO181" s="226"/>
      <c r="EP181" s="226"/>
    </row>
    <row r="182" spans="45:146">
      <c r="AS182" s="226"/>
      <c r="AT182" s="226"/>
      <c r="AU182" s="226"/>
      <c r="AV182" s="226"/>
      <c r="AW182" s="226"/>
      <c r="AX182" s="226"/>
      <c r="AY182" s="226"/>
      <c r="AZ182" s="226"/>
      <c r="BA182" s="226"/>
      <c r="BB182" s="226"/>
      <c r="BC182" s="226"/>
      <c r="BD182" s="226"/>
      <c r="BE182" s="226"/>
      <c r="BF182" s="226"/>
      <c r="BG182" s="226"/>
      <c r="BH182" s="226"/>
      <c r="BI182" s="226"/>
      <c r="BJ182" s="226"/>
      <c r="BK182" s="226"/>
      <c r="BL182" s="226"/>
      <c r="BM182" s="226"/>
      <c r="BN182" s="226"/>
      <c r="BO182" s="226"/>
      <c r="BP182" s="226"/>
      <c r="BQ182" s="226"/>
      <c r="BR182" s="226"/>
      <c r="BS182" s="226"/>
      <c r="BT182" s="226"/>
      <c r="BU182" s="226"/>
      <c r="BV182" s="226"/>
      <c r="BW182" s="226"/>
      <c r="BX182" s="226"/>
      <c r="BY182" s="226"/>
      <c r="BZ182" s="226"/>
      <c r="CA182" s="226"/>
      <c r="CB182" s="226"/>
      <c r="CC182" s="226"/>
      <c r="CD182" s="226"/>
      <c r="CE182" s="226"/>
      <c r="CF182" s="226"/>
      <c r="CG182" s="226"/>
      <c r="CH182" s="226"/>
      <c r="CI182" s="226"/>
      <c r="CJ182" s="226"/>
      <c r="CK182" s="226"/>
      <c r="CL182" s="226"/>
      <c r="CM182" s="226"/>
      <c r="CN182" s="226"/>
      <c r="CO182" s="226"/>
      <c r="CP182" s="226"/>
      <c r="CQ182" s="226"/>
      <c r="CR182" s="226"/>
      <c r="CS182" s="226"/>
      <c r="CT182" s="226"/>
      <c r="CU182" s="226"/>
      <c r="CV182" s="226"/>
      <c r="CW182" s="226"/>
      <c r="CX182" s="226"/>
      <c r="CY182" s="226"/>
      <c r="CZ182" s="226"/>
      <c r="DA182" s="226"/>
      <c r="DB182" s="226"/>
      <c r="DC182" s="226"/>
      <c r="DD182" s="226"/>
      <c r="DE182" s="226"/>
      <c r="DF182" s="226"/>
      <c r="DG182" s="226"/>
      <c r="DH182" s="226"/>
      <c r="DI182" s="226"/>
      <c r="DJ182" s="226"/>
      <c r="DK182" s="226"/>
      <c r="DL182" s="226"/>
      <c r="DM182" s="226"/>
      <c r="DN182" s="226"/>
      <c r="DO182" s="226"/>
      <c r="DP182" s="226"/>
      <c r="DQ182" s="226"/>
      <c r="DR182" s="226"/>
      <c r="DS182" s="226"/>
      <c r="DT182" s="226"/>
      <c r="DU182" s="226"/>
      <c r="DV182" s="226"/>
      <c r="DW182" s="226"/>
      <c r="DX182" s="226"/>
      <c r="DY182" s="226"/>
      <c r="DZ182" s="226"/>
      <c r="EA182" s="226"/>
      <c r="EB182" s="226"/>
      <c r="EC182" s="226"/>
      <c r="ED182" s="226"/>
      <c r="EE182" s="226"/>
      <c r="EF182" s="226"/>
      <c r="EG182" s="226"/>
      <c r="EH182" s="226"/>
      <c r="EI182" s="226"/>
      <c r="EJ182" s="226"/>
      <c r="EK182" s="226"/>
      <c r="EL182" s="226"/>
      <c r="EM182" s="226"/>
      <c r="EN182" s="226"/>
      <c r="EO182" s="226"/>
      <c r="EP182" s="226"/>
    </row>
    <row r="183" spans="45:146">
      <c r="AS183" s="226"/>
      <c r="AT183" s="226"/>
      <c r="AU183" s="226"/>
      <c r="AV183" s="226"/>
      <c r="AW183" s="226"/>
      <c r="AX183" s="226"/>
      <c r="AY183" s="226"/>
      <c r="AZ183" s="226"/>
      <c r="BA183" s="226"/>
      <c r="BB183" s="226"/>
      <c r="BC183" s="226"/>
      <c r="BD183" s="226"/>
      <c r="BE183" s="226"/>
      <c r="BF183" s="226"/>
      <c r="BG183" s="226"/>
      <c r="BH183" s="226"/>
      <c r="BI183" s="226"/>
      <c r="BJ183" s="226"/>
      <c r="BK183" s="226"/>
      <c r="BL183" s="226"/>
      <c r="BM183" s="226"/>
      <c r="BN183" s="226"/>
      <c r="BO183" s="226"/>
      <c r="BP183" s="226"/>
      <c r="BQ183" s="226"/>
      <c r="BR183" s="226"/>
      <c r="BS183" s="226"/>
      <c r="BT183" s="226"/>
      <c r="BU183" s="226"/>
      <c r="BV183" s="226"/>
      <c r="BW183" s="226"/>
      <c r="BX183" s="226"/>
      <c r="BY183" s="226"/>
      <c r="BZ183" s="226"/>
      <c r="CA183" s="226"/>
      <c r="CB183" s="226"/>
      <c r="CC183" s="226"/>
      <c r="CD183" s="226"/>
      <c r="CE183" s="226"/>
      <c r="CF183" s="226"/>
      <c r="CG183" s="226"/>
      <c r="CH183" s="226"/>
      <c r="CI183" s="226"/>
      <c r="CJ183" s="226"/>
      <c r="CK183" s="226"/>
      <c r="CL183" s="226"/>
      <c r="CM183" s="226"/>
      <c r="CN183" s="226"/>
      <c r="CO183" s="226"/>
      <c r="CP183" s="226"/>
      <c r="CQ183" s="226"/>
      <c r="CR183" s="226"/>
      <c r="CS183" s="226"/>
      <c r="CT183" s="226"/>
      <c r="CU183" s="226"/>
      <c r="CV183" s="226"/>
      <c r="CW183" s="226"/>
      <c r="CX183" s="226"/>
      <c r="CY183" s="226"/>
      <c r="CZ183" s="226"/>
      <c r="DA183" s="226"/>
      <c r="DB183" s="226"/>
      <c r="DC183" s="226"/>
      <c r="DD183" s="226"/>
      <c r="DE183" s="226"/>
      <c r="DF183" s="226"/>
      <c r="DG183" s="226"/>
      <c r="DH183" s="226"/>
      <c r="DI183" s="226"/>
      <c r="DJ183" s="226"/>
      <c r="DK183" s="226"/>
      <c r="DL183" s="226"/>
      <c r="DM183" s="226"/>
      <c r="DN183" s="226"/>
      <c r="DO183" s="226"/>
      <c r="DP183" s="226"/>
      <c r="DQ183" s="226"/>
      <c r="DR183" s="226"/>
      <c r="DS183" s="226"/>
      <c r="DT183" s="226"/>
      <c r="DU183" s="226"/>
      <c r="DV183" s="226"/>
      <c r="DW183" s="226"/>
      <c r="DX183" s="226"/>
      <c r="DY183" s="226"/>
      <c r="DZ183" s="226"/>
      <c r="EA183" s="226"/>
      <c r="EB183" s="226"/>
      <c r="EC183" s="226"/>
      <c r="ED183" s="226"/>
      <c r="EE183" s="226"/>
      <c r="EF183" s="226"/>
      <c r="EG183" s="226"/>
      <c r="EH183" s="226"/>
      <c r="EI183" s="226"/>
      <c r="EJ183" s="226"/>
      <c r="EK183" s="226"/>
      <c r="EL183" s="226"/>
      <c r="EM183" s="226"/>
      <c r="EN183" s="226"/>
      <c r="EO183" s="226"/>
      <c r="EP183" s="226"/>
    </row>
    <row r="184" spans="45:146">
      <c r="AS184" s="226"/>
      <c r="AT184" s="226"/>
      <c r="AU184" s="226"/>
      <c r="AV184" s="226"/>
      <c r="AW184" s="226"/>
      <c r="AX184" s="226"/>
      <c r="AY184" s="226"/>
      <c r="AZ184" s="226"/>
      <c r="BA184" s="226"/>
      <c r="BB184" s="226"/>
      <c r="BC184" s="226"/>
      <c r="BD184" s="226"/>
      <c r="BE184" s="226"/>
      <c r="BF184" s="226"/>
      <c r="BG184" s="226"/>
      <c r="BH184" s="226"/>
      <c r="BI184" s="226"/>
      <c r="BJ184" s="226"/>
      <c r="BK184" s="226"/>
      <c r="BL184" s="226"/>
      <c r="BM184" s="226"/>
      <c r="BN184" s="226"/>
      <c r="BO184" s="226"/>
      <c r="BP184" s="226"/>
      <c r="BQ184" s="226"/>
      <c r="BR184" s="226"/>
      <c r="BS184" s="226"/>
      <c r="BT184" s="226"/>
      <c r="BU184" s="226"/>
      <c r="BV184" s="226"/>
      <c r="BW184" s="226"/>
      <c r="BX184" s="226"/>
      <c r="BY184" s="226"/>
      <c r="BZ184" s="226"/>
      <c r="CA184" s="226"/>
      <c r="CB184" s="226"/>
      <c r="CC184" s="226"/>
      <c r="CD184" s="226"/>
      <c r="CE184" s="226"/>
      <c r="CF184" s="226"/>
      <c r="CG184" s="226"/>
      <c r="CH184" s="226"/>
      <c r="CI184" s="226"/>
      <c r="CJ184" s="226"/>
      <c r="CK184" s="226"/>
      <c r="CL184" s="226"/>
      <c r="CM184" s="226"/>
      <c r="CN184" s="226"/>
      <c r="CO184" s="226"/>
      <c r="CP184" s="226"/>
      <c r="CQ184" s="226"/>
      <c r="CR184" s="226"/>
      <c r="CS184" s="226"/>
      <c r="CT184" s="226"/>
      <c r="CU184" s="226"/>
      <c r="CV184" s="226"/>
      <c r="CW184" s="226"/>
      <c r="CX184" s="226"/>
      <c r="CY184" s="226"/>
      <c r="CZ184" s="226"/>
      <c r="DA184" s="226"/>
      <c r="DB184" s="226"/>
      <c r="DC184" s="226"/>
      <c r="DD184" s="226"/>
      <c r="DE184" s="226"/>
      <c r="DF184" s="226"/>
      <c r="DG184" s="226"/>
      <c r="DH184" s="226"/>
      <c r="DI184" s="226"/>
      <c r="DJ184" s="226"/>
      <c r="DK184" s="226"/>
      <c r="DL184" s="226"/>
      <c r="DM184" s="226"/>
      <c r="DN184" s="226"/>
      <c r="DO184" s="226"/>
      <c r="DP184" s="226"/>
      <c r="DQ184" s="226"/>
      <c r="DR184" s="226"/>
      <c r="DS184" s="226"/>
      <c r="DT184" s="226"/>
      <c r="DU184" s="226"/>
      <c r="DV184" s="226"/>
      <c r="DW184" s="226"/>
      <c r="DX184" s="226"/>
      <c r="DY184" s="226"/>
      <c r="DZ184" s="226"/>
      <c r="EA184" s="226"/>
      <c r="EB184" s="226"/>
      <c r="EC184" s="226"/>
      <c r="ED184" s="226"/>
      <c r="EE184" s="226"/>
      <c r="EF184" s="226"/>
      <c r="EG184" s="226"/>
      <c r="EH184" s="226"/>
      <c r="EI184" s="226"/>
      <c r="EJ184" s="226"/>
      <c r="EK184" s="226"/>
      <c r="EL184" s="226"/>
      <c r="EM184" s="226"/>
      <c r="EN184" s="226"/>
      <c r="EO184" s="226"/>
      <c r="EP184" s="226"/>
    </row>
    <row r="185" spans="45:146">
      <c r="AS185" s="226"/>
      <c r="AT185" s="226"/>
      <c r="AU185" s="226"/>
      <c r="AV185" s="226"/>
      <c r="AW185" s="226"/>
      <c r="AX185" s="226"/>
      <c r="AY185" s="226"/>
      <c r="AZ185" s="226"/>
      <c r="BA185" s="226"/>
      <c r="BB185" s="226"/>
      <c r="BC185" s="226"/>
      <c r="BD185" s="226"/>
      <c r="BE185" s="226"/>
      <c r="BF185" s="226"/>
      <c r="BG185" s="226"/>
      <c r="BH185" s="226"/>
      <c r="BI185" s="226"/>
      <c r="BJ185" s="226"/>
      <c r="BK185" s="226"/>
      <c r="BL185" s="226"/>
      <c r="BM185" s="226"/>
      <c r="BN185" s="226"/>
      <c r="BO185" s="226"/>
      <c r="BP185" s="226"/>
      <c r="BQ185" s="226"/>
      <c r="BR185" s="226"/>
      <c r="BS185" s="226"/>
      <c r="BT185" s="226"/>
      <c r="BU185" s="226"/>
      <c r="BV185" s="226"/>
      <c r="BW185" s="226"/>
      <c r="BX185" s="226"/>
      <c r="BY185" s="226"/>
      <c r="BZ185" s="226"/>
      <c r="CA185" s="226"/>
      <c r="CB185" s="226"/>
      <c r="CC185" s="226"/>
      <c r="CD185" s="226"/>
      <c r="CE185" s="226"/>
      <c r="CF185" s="226"/>
      <c r="CG185" s="226"/>
      <c r="CH185" s="226"/>
      <c r="CI185" s="226"/>
      <c r="CJ185" s="226"/>
      <c r="CK185" s="226"/>
      <c r="CL185" s="226"/>
      <c r="CM185" s="226"/>
      <c r="CN185" s="226"/>
      <c r="CO185" s="226"/>
      <c r="CP185" s="226"/>
      <c r="CQ185" s="226"/>
      <c r="CR185" s="226"/>
      <c r="CS185" s="226"/>
      <c r="CT185" s="226"/>
      <c r="CU185" s="226"/>
      <c r="CV185" s="226"/>
      <c r="CW185" s="226"/>
      <c r="CX185" s="226"/>
      <c r="CY185" s="226"/>
      <c r="CZ185" s="226"/>
      <c r="DA185" s="226"/>
      <c r="DB185" s="226"/>
      <c r="DC185" s="226"/>
      <c r="DD185" s="226"/>
      <c r="DE185" s="226"/>
      <c r="DF185" s="226"/>
      <c r="DG185" s="226"/>
      <c r="DH185" s="226"/>
      <c r="DI185" s="226"/>
      <c r="DJ185" s="226"/>
      <c r="DK185" s="226"/>
      <c r="DL185" s="226"/>
      <c r="DM185" s="226"/>
      <c r="DN185" s="226"/>
      <c r="DO185" s="226"/>
      <c r="DP185" s="226"/>
      <c r="DQ185" s="226"/>
      <c r="DR185" s="226"/>
      <c r="DS185" s="226"/>
      <c r="DT185" s="226"/>
      <c r="DU185" s="226"/>
      <c r="DV185" s="226"/>
      <c r="DW185" s="226"/>
      <c r="DX185" s="226"/>
      <c r="DY185" s="226"/>
      <c r="DZ185" s="226"/>
      <c r="EA185" s="226"/>
      <c r="EB185" s="226"/>
      <c r="EC185" s="226"/>
      <c r="ED185" s="226"/>
      <c r="EE185" s="226"/>
      <c r="EF185" s="226"/>
      <c r="EG185" s="226"/>
      <c r="EH185" s="226"/>
      <c r="EI185" s="226"/>
      <c r="EJ185" s="226"/>
      <c r="EK185" s="226"/>
      <c r="EL185" s="226"/>
      <c r="EM185" s="226"/>
      <c r="EN185" s="226"/>
      <c r="EO185" s="226"/>
      <c r="EP185" s="226"/>
    </row>
    <row r="186" spans="45:14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T186" s="226"/>
      <c r="BU186" s="226"/>
      <c r="BV186" s="226"/>
      <c r="BW186" s="226"/>
      <c r="BX186" s="226"/>
      <c r="BY186" s="226"/>
      <c r="BZ186" s="226"/>
      <c r="CA186" s="226"/>
      <c r="CB186" s="226"/>
      <c r="CC186" s="226"/>
      <c r="CD186" s="226"/>
      <c r="CE186" s="226"/>
      <c r="CF186" s="226"/>
      <c r="CG186" s="226"/>
      <c r="CH186" s="226"/>
      <c r="CI186" s="226"/>
      <c r="CJ186" s="226"/>
      <c r="CK186" s="226"/>
      <c r="CL186" s="226"/>
      <c r="CM186" s="226"/>
      <c r="CN186" s="226"/>
      <c r="CO186" s="226"/>
      <c r="CP186" s="226"/>
      <c r="CQ186" s="226"/>
      <c r="CR186" s="226"/>
      <c r="CS186" s="226"/>
      <c r="CT186" s="226"/>
      <c r="CU186" s="226"/>
      <c r="CV186" s="226"/>
      <c r="CW186" s="226"/>
      <c r="CX186" s="226"/>
      <c r="CY186" s="226"/>
      <c r="CZ186" s="226"/>
      <c r="DA186" s="226"/>
      <c r="DB186" s="226"/>
      <c r="DC186" s="226"/>
      <c r="DD186" s="226"/>
      <c r="DE186" s="226"/>
      <c r="DF186" s="226"/>
      <c r="DG186" s="226"/>
      <c r="DH186" s="226"/>
      <c r="DI186" s="226"/>
      <c r="DJ186" s="226"/>
      <c r="DK186" s="226"/>
      <c r="DL186" s="226"/>
      <c r="DM186" s="226"/>
      <c r="DN186" s="226"/>
      <c r="DO186" s="226"/>
      <c r="DP186" s="226"/>
      <c r="DQ186" s="226"/>
      <c r="DR186" s="226"/>
      <c r="DS186" s="226"/>
      <c r="DT186" s="226"/>
      <c r="DU186" s="226"/>
      <c r="DV186" s="226"/>
      <c r="DW186" s="226"/>
      <c r="DX186" s="226"/>
      <c r="DY186" s="226"/>
      <c r="DZ186" s="226"/>
      <c r="EA186" s="226"/>
      <c r="EB186" s="226"/>
      <c r="EC186" s="226"/>
      <c r="ED186" s="226"/>
      <c r="EE186" s="226"/>
      <c r="EF186" s="226"/>
      <c r="EG186" s="226"/>
      <c r="EH186" s="226"/>
      <c r="EI186" s="226"/>
      <c r="EJ186" s="226"/>
      <c r="EK186" s="226"/>
      <c r="EL186" s="226"/>
      <c r="EM186" s="226"/>
      <c r="EN186" s="226"/>
      <c r="EO186" s="226"/>
      <c r="EP186" s="226"/>
    </row>
    <row r="187" spans="45:14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T187" s="226"/>
      <c r="BU187" s="226"/>
      <c r="BV187" s="226"/>
      <c r="BW187" s="226"/>
      <c r="BX187" s="226"/>
      <c r="BY187" s="226"/>
      <c r="BZ187" s="226"/>
      <c r="CA187" s="226"/>
      <c r="CB187" s="226"/>
      <c r="CC187" s="226"/>
      <c r="CD187" s="226"/>
      <c r="CE187" s="226"/>
      <c r="CF187" s="226"/>
      <c r="CG187" s="226"/>
      <c r="CH187" s="226"/>
      <c r="CI187" s="226"/>
      <c r="CJ187" s="226"/>
      <c r="CK187" s="226"/>
      <c r="CL187" s="226"/>
      <c r="CM187" s="226"/>
      <c r="CN187" s="226"/>
      <c r="CO187" s="226"/>
      <c r="CP187" s="226"/>
      <c r="CQ187" s="226"/>
      <c r="CR187" s="226"/>
      <c r="CS187" s="226"/>
      <c r="CT187" s="226"/>
      <c r="CU187" s="226"/>
      <c r="CV187" s="226"/>
      <c r="CW187" s="226"/>
      <c r="CX187" s="226"/>
      <c r="CY187" s="226"/>
      <c r="CZ187" s="226"/>
      <c r="DA187" s="226"/>
      <c r="DB187" s="226"/>
      <c r="DC187" s="226"/>
      <c r="DD187" s="226"/>
      <c r="DE187" s="226"/>
      <c r="DF187" s="226"/>
      <c r="DG187" s="226"/>
      <c r="DH187" s="226"/>
      <c r="DI187" s="226"/>
      <c r="DJ187" s="226"/>
      <c r="DK187" s="226"/>
      <c r="DL187" s="226"/>
      <c r="DM187" s="226"/>
      <c r="DN187" s="226"/>
      <c r="DO187" s="226"/>
      <c r="DP187" s="226"/>
      <c r="DQ187" s="226"/>
      <c r="DR187" s="226"/>
      <c r="DS187" s="226"/>
      <c r="DT187" s="226"/>
      <c r="DU187" s="226"/>
      <c r="DV187" s="226"/>
      <c r="DW187" s="226"/>
      <c r="DX187" s="226"/>
      <c r="DY187" s="226"/>
      <c r="DZ187" s="226"/>
      <c r="EA187" s="226"/>
      <c r="EB187" s="226"/>
      <c r="EC187" s="226"/>
      <c r="ED187" s="226"/>
      <c r="EE187" s="226"/>
      <c r="EF187" s="226"/>
      <c r="EG187" s="226"/>
      <c r="EH187" s="226"/>
      <c r="EI187" s="226"/>
      <c r="EJ187" s="226"/>
      <c r="EK187" s="226"/>
      <c r="EL187" s="226"/>
      <c r="EM187" s="226"/>
      <c r="EN187" s="226"/>
      <c r="EO187" s="226"/>
      <c r="EP187" s="226"/>
    </row>
    <row r="188" spans="45:14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T188" s="226"/>
      <c r="BU188" s="226"/>
      <c r="BV188" s="226"/>
      <c r="BW188" s="226"/>
      <c r="BX188" s="226"/>
      <c r="BY188" s="226"/>
      <c r="BZ188" s="226"/>
      <c r="CA188" s="226"/>
      <c r="CB188" s="226"/>
      <c r="CC188" s="226"/>
      <c r="CD188" s="226"/>
      <c r="CE188" s="226"/>
      <c r="CF188" s="226"/>
      <c r="CG188" s="226"/>
      <c r="CH188" s="226"/>
      <c r="CI188" s="226"/>
      <c r="CJ188" s="226"/>
      <c r="CK188" s="226"/>
      <c r="CL188" s="226"/>
      <c r="CM188" s="226"/>
      <c r="CN188" s="226"/>
      <c r="CO188" s="226"/>
      <c r="CP188" s="226"/>
      <c r="CQ188" s="226"/>
      <c r="CR188" s="226"/>
      <c r="CS188" s="226"/>
      <c r="CT188" s="226"/>
      <c r="CU188" s="226"/>
      <c r="CV188" s="226"/>
      <c r="CW188" s="226"/>
      <c r="CX188" s="226"/>
      <c r="CY188" s="226"/>
      <c r="CZ188" s="226"/>
      <c r="DA188" s="226"/>
      <c r="DB188" s="226"/>
      <c r="DC188" s="226"/>
      <c r="DD188" s="226"/>
      <c r="DE188" s="226"/>
      <c r="DF188" s="226"/>
      <c r="DG188" s="226"/>
      <c r="DH188" s="226"/>
      <c r="DI188" s="226"/>
      <c r="DJ188" s="226"/>
      <c r="DK188" s="226"/>
      <c r="DL188" s="226"/>
      <c r="DM188" s="226"/>
      <c r="DN188" s="226"/>
      <c r="DO188" s="226"/>
      <c r="DP188" s="226"/>
      <c r="DQ188" s="226"/>
      <c r="DR188" s="226"/>
      <c r="DS188" s="226"/>
      <c r="DT188" s="226"/>
      <c r="DU188" s="226"/>
      <c r="DV188" s="226"/>
      <c r="DW188" s="226"/>
      <c r="DX188" s="226"/>
      <c r="DY188" s="226"/>
      <c r="DZ188" s="226"/>
      <c r="EA188" s="226"/>
      <c r="EB188" s="226"/>
      <c r="EC188" s="226"/>
      <c r="ED188" s="226"/>
      <c r="EE188" s="226"/>
      <c r="EF188" s="226"/>
      <c r="EG188" s="226"/>
      <c r="EH188" s="226"/>
      <c r="EI188" s="226"/>
      <c r="EJ188" s="226"/>
      <c r="EK188" s="226"/>
      <c r="EL188" s="226"/>
      <c r="EM188" s="226"/>
      <c r="EN188" s="226"/>
      <c r="EO188" s="226"/>
      <c r="EP188" s="226"/>
    </row>
    <row r="189" spans="45:14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T189" s="226"/>
      <c r="BU189" s="226"/>
      <c r="BV189" s="226"/>
      <c r="BW189" s="226"/>
      <c r="BX189" s="226"/>
      <c r="BY189" s="226"/>
      <c r="BZ189" s="226"/>
      <c r="CA189" s="226"/>
      <c r="CB189" s="226"/>
      <c r="CC189" s="226"/>
      <c r="CD189" s="226"/>
      <c r="CE189" s="226"/>
      <c r="CF189" s="226"/>
      <c r="CG189" s="226"/>
      <c r="CH189" s="226"/>
      <c r="CI189" s="226"/>
      <c r="CJ189" s="226"/>
      <c r="CK189" s="226"/>
      <c r="CL189" s="226"/>
      <c r="CM189" s="226"/>
      <c r="CN189" s="226"/>
      <c r="CO189" s="226"/>
      <c r="CP189" s="226"/>
      <c r="CQ189" s="226"/>
      <c r="CR189" s="226"/>
      <c r="CS189" s="226"/>
      <c r="CT189" s="226"/>
      <c r="CU189" s="226"/>
      <c r="CV189" s="226"/>
      <c r="CW189" s="226"/>
      <c r="CX189" s="226"/>
      <c r="CY189" s="226"/>
      <c r="CZ189" s="226"/>
      <c r="DA189" s="226"/>
      <c r="DB189" s="226"/>
      <c r="DC189" s="226"/>
      <c r="DD189" s="226"/>
      <c r="DE189" s="226"/>
      <c r="DF189" s="226"/>
      <c r="DG189" s="226"/>
      <c r="DH189" s="226"/>
      <c r="DI189" s="226"/>
      <c r="DJ189" s="226"/>
      <c r="DK189" s="226"/>
      <c r="DL189" s="226"/>
      <c r="DM189" s="226"/>
      <c r="DN189" s="226"/>
      <c r="DO189" s="226"/>
      <c r="DP189" s="226"/>
      <c r="DQ189" s="226"/>
      <c r="DR189" s="226"/>
      <c r="DS189" s="226"/>
      <c r="DT189" s="226"/>
      <c r="DU189" s="226"/>
      <c r="DV189" s="226"/>
      <c r="DW189" s="226"/>
      <c r="DX189" s="226"/>
      <c r="DY189" s="226"/>
      <c r="DZ189" s="226"/>
      <c r="EA189" s="226"/>
      <c r="EB189" s="226"/>
      <c r="EC189" s="226"/>
      <c r="ED189" s="226"/>
      <c r="EE189" s="226"/>
      <c r="EF189" s="226"/>
      <c r="EG189" s="226"/>
      <c r="EH189" s="226"/>
      <c r="EI189" s="226"/>
      <c r="EJ189" s="226"/>
      <c r="EK189" s="226"/>
      <c r="EL189" s="226"/>
      <c r="EM189" s="226"/>
      <c r="EN189" s="226"/>
      <c r="EO189" s="226"/>
      <c r="EP189" s="226"/>
    </row>
    <row r="190" spans="45:14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T190" s="226"/>
      <c r="BU190" s="226"/>
      <c r="BV190" s="226"/>
      <c r="BW190" s="226"/>
      <c r="BX190" s="226"/>
      <c r="BY190" s="226"/>
      <c r="BZ190" s="226"/>
      <c r="CA190" s="226"/>
      <c r="CB190" s="226"/>
      <c r="CC190" s="226"/>
      <c r="CD190" s="226"/>
      <c r="CE190" s="226"/>
      <c r="CF190" s="226"/>
      <c r="CG190" s="226"/>
      <c r="CH190" s="226"/>
      <c r="CI190" s="226"/>
      <c r="CJ190" s="226"/>
      <c r="CK190" s="226"/>
      <c r="CL190" s="226"/>
      <c r="CM190" s="226"/>
      <c r="CN190" s="226"/>
      <c r="CO190" s="226"/>
      <c r="CP190" s="226"/>
      <c r="CQ190" s="226"/>
      <c r="CR190" s="226"/>
      <c r="CS190" s="226"/>
      <c r="CT190" s="226"/>
      <c r="CU190" s="226"/>
      <c r="CV190" s="226"/>
      <c r="CW190" s="226"/>
      <c r="CX190" s="226"/>
      <c r="CY190" s="226"/>
      <c r="CZ190" s="226"/>
      <c r="DA190" s="226"/>
      <c r="DB190" s="226"/>
      <c r="DC190" s="226"/>
      <c r="DD190" s="226"/>
      <c r="DE190" s="226"/>
      <c r="DF190" s="226"/>
      <c r="DG190" s="226"/>
      <c r="DH190" s="226"/>
      <c r="DI190" s="226"/>
      <c r="DJ190" s="226"/>
      <c r="DK190" s="226"/>
      <c r="DL190" s="226"/>
      <c r="DM190" s="226"/>
      <c r="DN190" s="226"/>
      <c r="DO190" s="226"/>
      <c r="DP190" s="226"/>
      <c r="DQ190" s="226"/>
      <c r="DR190" s="226"/>
      <c r="DS190" s="226"/>
      <c r="DT190" s="226"/>
      <c r="DU190" s="226"/>
      <c r="DV190" s="226"/>
      <c r="DW190" s="226"/>
      <c r="DX190" s="226"/>
      <c r="DY190" s="226"/>
      <c r="DZ190" s="226"/>
      <c r="EA190" s="226"/>
      <c r="EB190" s="226"/>
      <c r="EC190" s="226"/>
      <c r="ED190" s="226"/>
      <c r="EE190" s="226"/>
      <c r="EF190" s="226"/>
      <c r="EG190" s="226"/>
      <c r="EH190" s="226"/>
      <c r="EI190" s="226"/>
      <c r="EJ190" s="226"/>
      <c r="EK190" s="226"/>
      <c r="EL190" s="226"/>
      <c r="EM190" s="226"/>
      <c r="EN190" s="226"/>
      <c r="EO190" s="226"/>
      <c r="EP190" s="226"/>
    </row>
    <row r="191" spans="45:14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T191" s="226"/>
      <c r="BU191" s="226"/>
      <c r="BV191" s="226"/>
      <c r="BW191" s="226"/>
      <c r="BX191" s="226"/>
      <c r="BY191" s="226"/>
      <c r="BZ191" s="226"/>
      <c r="CA191" s="226"/>
      <c r="CB191" s="226"/>
      <c r="CC191" s="226"/>
      <c r="CD191" s="226"/>
      <c r="CE191" s="226"/>
      <c r="CF191" s="226"/>
      <c r="CG191" s="226"/>
      <c r="CH191" s="226"/>
      <c r="CI191" s="226"/>
      <c r="CJ191" s="226"/>
      <c r="CK191" s="226"/>
      <c r="CL191" s="226"/>
      <c r="CM191" s="226"/>
      <c r="CN191" s="226"/>
      <c r="CO191" s="226"/>
      <c r="CP191" s="226"/>
      <c r="CQ191" s="226"/>
      <c r="CR191" s="226"/>
      <c r="CS191" s="226"/>
      <c r="CT191" s="226"/>
      <c r="CU191" s="226"/>
      <c r="CV191" s="226"/>
      <c r="CW191" s="226"/>
      <c r="CX191" s="226"/>
      <c r="CY191" s="226"/>
      <c r="CZ191" s="226"/>
      <c r="DA191" s="226"/>
      <c r="DB191" s="226"/>
      <c r="DC191" s="226"/>
      <c r="DD191" s="226"/>
      <c r="DE191" s="226"/>
      <c r="DF191" s="226"/>
      <c r="DG191" s="226"/>
      <c r="DH191" s="226"/>
      <c r="DI191" s="226"/>
      <c r="DJ191" s="226"/>
      <c r="DK191" s="226"/>
      <c r="DL191" s="226"/>
      <c r="DM191" s="226"/>
      <c r="DN191" s="226"/>
      <c r="DO191" s="226"/>
      <c r="DP191" s="226"/>
      <c r="DQ191" s="226"/>
      <c r="DR191" s="226"/>
      <c r="DS191" s="226"/>
      <c r="DT191" s="226"/>
      <c r="DU191" s="226"/>
      <c r="DV191" s="226"/>
      <c r="DW191" s="226"/>
      <c r="DX191" s="226"/>
      <c r="DY191" s="226"/>
      <c r="DZ191" s="226"/>
      <c r="EA191" s="226"/>
      <c r="EB191" s="226"/>
      <c r="EC191" s="226"/>
      <c r="ED191" s="226"/>
      <c r="EE191" s="226"/>
      <c r="EF191" s="226"/>
      <c r="EG191" s="226"/>
      <c r="EH191" s="226"/>
      <c r="EI191" s="226"/>
      <c r="EJ191" s="226"/>
      <c r="EK191" s="226"/>
      <c r="EL191" s="226"/>
      <c r="EM191" s="226"/>
      <c r="EN191" s="226"/>
      <c r="EO191" s="226"/>
      <c r="EP191" s="226"/>
    </row>
    <row r="192" spans="45:14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T192" s="226"/>
      <c r="BU192" s="226"/>
      <c r="BV192" s="226"/>
      <c r="BW192" s="226"/>
      <c r="BX192" s="226"/>
      <c r="BY192" s="226"/>
      <c r="BZ192" s="226"/>
      <c r="CA192" s="226"/>
      <c r="CB192" s="226"/>
      <c r="CC192" s="226"/>
      <c r="CD192" s="226"/>
      <c r="CE192" s="226"/>
      <c r="CF192" s="226"/>
      <c r="CG192" s="226"/>
      <c r="CH192" s="226"/>
      <c r="CI192" s="226"/>
      <c r="CJ192" s="226"/>
      <c r="CK192" s="226"/>
      <c r="CL192" s="226"/>
      <c r="CM192" s="226"/>
      <c r="CN192" s="226"/>
      <c r="CO192" s="226"/>
      <c r="CP192" s="226"/>
      <c r="CQ192" s="226"/>
      <c r="CR192" s="226"/>
      <c r="CS192" s="226"/>
      <c r="CT192" s="226"/>
      <c r="CU192" s="226"/>
      <c r="CV192" s="226"/>
      <c r="CW192" s="226"/>
      <c r="CX192" s="226"/>
      <c r="CY192" s="226"/>
      <c r="CZ192" s="226"/>
      <c r="DA192" s="226"/>
      <c r="DB192" s="226"/>
      <c r="DC192" s="226"/>
      <c r="DD192" s="226"/>
      <c r="DE192" s="226"/>
      <c r="DF192" s="226"/>
      <c r="DG192" s="226"/>
      <c r="DH192" s="226"/>
      <c r="DI192" s="226"/>
      <c r="DJ192" s="226"/>
      <c r="DK192" s="226"/>
      <c r="DL192" s="226"/>
      <c r="DM192" s="226"/>
      <c r="DN192" s="226"/>
      <c r="DO192" s="226"/>
      <c r="DP192" s="226"/>
      <c r="DQ192" s="226"/>
      <c r="DR192" s="226"/>
      <c r="DS192" s="226"/>
      <c r="DT192" s="226"/>
      <c r="DU192" s="226"/>
      <c r="DV192" s="226"/>
      <c r="DW192" s="226"/>
      <c r="DX192" s="226"/>
      <c r="DY192" s="226"/>
      <c r="DZ192" s="226"/>
      <c r="EA192" s="226"/>
      <c r="EB192" s="226"/>
      <c r="EC192" s="226"/>
      <c r="ED192" s="226"/>
      <c r="EE192" s="226"/>
      <c r="EF192" s="226"/>
      <c r="EG192" s="226"/>
      <c r="EH192" s="226"/>
      <c r="EI192" s="226"/>
      <c r="EJ192" s="226"/>
      <c r="EK192" s="226"/>
      <c r="EL192" s="226"/>
      <c r="EM192" s="226"/>
      <c r="EN192" s="226"/>
      <c r="EO192" s="226"/>
      <c r="EP192" s="226"/>
    </row>
  </sheetData>
  <mergeCells count="64">
    <mergeCell ref="B33:B35"/>
    <mergeCell ref="B36:B38"/>
    <mergeCell ref="C40:D40"/>
    <mergeCell ref="B45:H45"/>
    <mergeCell ref="B42:M42"/>
    <mergeCell ref="E9:G9"/>
    <mergeCell ref="E10:G10"/>
    <mergeCell ref="E11:G11"/>
    <mergeCell ref="E13:G13"/>
    <mergeCell ref="E14:G14"/>
    <mergeCell ref="E15:G15"/>
    <mergeCell ref="E16:G16"/>
    <mergeCell ref="E17:G17"/>
    <mergeCell ref="E18:G18"/>
    <mergeCell ref="B20:D20"/>
    <mergeCell ref="A23:A24"/>
    <mergeCell ref="B23:B24"/>
    <mergeCell ref="C23:C24"/>
    <mergeCell ref="D23:D24"/>
    <mergeCell ref="E23:G23"/>
    <mergeCell ref="M23:M24"/>
    <mergeCell ref="D25:L25"/>
    <mergeCell ref="M25:M40"/>
    <mergeCell ref="C26:D26"/>
    <mergeCell ref="H62:J62"/>
    <mergeCell ref="H63:J63"/>
    <mergeCell ref="H58:J58"/>
    <mergeCell ref="G69:H69"/>
    <mergeCell ref="G52:G55"/>
    <mergeCell ref="B62:B63"/>
    <mergeCell ref="H23:I23"/>
    <mergeCell ref="J23:K23"/>
    <mergeCell ref="L23:L24"/>
    <mergeCell ref="B64:B65"/>
    <mergeCell ref="H65:J65"/>
    <mergeCell ref="B57:B58"/>
    <mergeCell ref="B27:B30"/>
    <mergeCell ref="B47:B51"/>
    <mergeCell ref="B52:B55"/>
    <mergeCell ref="H52:J55"/>
    <mergeCell ref="H56:J56"/>
    <mergeCell ref="H57:J57"/>
    <mergeCell ref="H59:J59"/>
    <mergeCell ref="G47:G51"/>
    <mergeCell ref="B79:C79"/>
    <mergeCell ref="B80:C80"/>
    <mergeCell ref="H46:J46"/>
    <mergeCell ref="H47:J51"/>
    <mergeCell ref="B68:D68"/>
    <mergeCell ref="G68:H68"/>
    <mergeCell ref="H60:J60"/>
    <mergeCell ref="H61:J61"/>
    <mergeCell ref="H64:J64"/>
    <mergeCell ref="B71:F71"/>
    <mergeCell ref="B87:C87"/>
    <mergeCell ref="B88:C88"/>
    <mergeCell ref="B89:C89"/>
    <mergeCell ref="B77:E77"/>
    <mergeCell ref="B81:C81"/>
    <mergeCell ref="B82:C82"/>
    <mergeCell ref="B83:C83"/>
    <mergeCell ref="B84:C84"/>
    <mergeCell ref="B85:C85"/>
    <mergeCell ref="B86:C86"/>
  </mergeCells>
  <printOptions horizontalCentered="1"/>
  <pageMargins left="0.11811023622047245" right="0.11811023622047245" top="0.19685039370078741" bottom="0.15748031496062992" header="0.11811023622047245" footer="0.11811023622047245"/>
  <pageSetup paperSize="9" scale="65" orientation="landscape"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M96"/>
  <sheetViews>
    <sheetView showZeros="0" tabSelected="1" topLeftCell="A38" zoomScale="70" zoomScaleNormal="70" workbookViewId="0">
      <selection activeCell="D51" sqref="D51"/>
    </sheetView>
  </sheetViews>
  <sheetFormatPr defaultColWidth="16.36328125" defaultRowHeight="14.4"/>
  <cols>
    <col min="1" max="1" width="7.1796875" style="1638" customWidth="1"/>
    <col min="2" max="2" width="53.90625" style="1299" customWidth="1"/>
    <col min="3" max="5" width="14.453125" style="1399" customWidth="1"/>
    <col min="6" max="8" width="14.54296875" style="1399" customWidth="1"/>
    <col min="9" max="11" width="14.453125" style="1401" customWidth="1"/>
    <col min="12" max="12" width="13.453125" style="1299" customWidth="1"/>
    <col min="13" max="13" width="13.6328125" style="1299" customWidth="1"/>
    <col min="14" max="14" width="13.08984375" style="1299" customWidth="1"/>
    <col min="15" max="16" width="13.90625" style="1299" customWidth="1"/>
    <col min="17" max="17" width="15.36328125" style="1299" customWidth="1"/>
    <col min="18" max="18" width="15.08984375" style="1299" customWidth="1"/>
    <col min="19" max="21" width="15.08984375" style="1399" customWidth="1"/>
    <col min="22" max="16384" width="16.36328125" style="1299"/>
  </cols>
  <sheetData>
    <row r="1" spans="1:247" ht="21">
      <c r="A1" s="1635"/>
      <c r="B1" s="1298"/>
      <c r="C1" s="1398"/>
      <c r="D1" s="1398"/>
      <c r="H1" s="1400"/>
      <c r="K1" s="1402"/>
      <c r="L1" s="1298"/>
      <c r="M1" s="1298"/>
      <c r="O1" s="1403"/>
      <c r="P1" s="1403"/>
      <c r="Q1" s="1403"/>
      <c r="U1" s="1400" t="s">
        <v>1557</v>
      </c>
      <c r="V1" s="1403"/>
      <c r="W1" s="1403"/>
    </row>
    <row r="2" spans="1:247" ht="21">
      <c r="A2" s="1635"/>
      <c r="B2" s="1298"/>
      <c r="D2" s="1398"/>
      <c r="H2" s="1404"/>
      <c r="K2" s="1405"/>
      <c r="L2" s="1406"/>
      <c r="M2" s="1406"/>
      <c r="O2" s="1403"/>
      <c r="P2" s="1403"/>
      <c r="Q2" s="1403"/>
      <c r="U2" s="1404"/>
      <c r="V2" s="1403"/>
      <c r="W2" s="1403"/>
    </row>
    <row r="3" spans="1:247" ht="20.399999999999999">
      <c r="A3" s="1635"/>
      <c r="B3" s="1298"/>
      <c r="D3" s="1398"/>
      <c r="H3" s="1407"/>
      <c r="K3" s="1408"/>
      <c r="L3" s="1409"/>
      <c r="M3" s="1409"/>
      <c r="O3" s="1403"/>
      <c r="P3" s="1403"/>
      <c r="Q3" s="1303"/>
      <c r="U3" s="1408" t="s">
        <v>1624</v>
      </c>
      <c r="V3" s="1403"/>
      <c r="W3" s="1403"/>
    </row>
    <row r="4" spans="1:247" ht="20.399999999999999">
      <c r="A4" s="1635"/>
      <c r="B4" s="1298"/>
      <c r="D4" s="1398"/>
      <c r="H4" s="1407"/>
      <c r="K4" s="1408"/>
      <c r="L4" s="1409"/>
      <c r="M4" s="1409"/>
      <c r="O4" s="1403"/>
      <c r="P4" s="1403"/>
      <c r="Q4" s="1303"/>
      <c r="U4" s="1407" t="s">
        <v>1623</v>
      </c>
      <c r="V4" s="1403"/>
      <c r="W4" s="1403"/>
    </row>
    <row r="5" spans="1:247" ht="20.399999999999999">
      <c r="A5" s="1635"/>
      <c r="B5" s="1298"/>
      <c r="D5" s="1398"/>
      <c r="H5" s="1407"/>
      <c r="K5" s="1408"/>
      <c r="L5" s="1409"/>
      <c r="M5" s="1409"/>
      <c r="O5" s="1403"/>
      <c r="P5" s="1403"/>
      <c r="Q5" s="1303"/>
      <c r="U5" s="1407"/>
      <c r="V5" s="1403"/>
      <c r="W5" s="1403"/>
    </row>
    <row r="6" spans="1:247" ht="20.399999999999999">
      <c r="A6" s="1635"/>
      <c r="B6" s="1298"/>
      <c r="D6" s="1398"/>
      <c r="H6" s="1407"/>
      <c r="K6" s="1408"/>
      <c r="L6" s="1409"/>
      <c r="M6" s="1409"/>
      <c r="O6" s="1403"/>
      <c r="P6" s="1403"/>
      <c r="Q6" s="1303"/>
      <c r="U6" s="1407"/>
      <c r="V6" s="1403"/>
      <c r="W6" s="1403"/>
    </row>
    <row r="7" spans="1:247" ht="28.5" customHeight="1">
      <c r="A7" s="1864" t="s">
        <v>324</v>
      </c>
      <c r="B7" s="1864"/>
      <c r="C7" s="1864"/>
      <c r="D7" s="1864"/>
      <c r="E7" s="1864"/>
      <c r="F7" s="1864"/>
      <c r="G7" s="1864"/>
      <c r="H7" s="1864"/>
      <c r="I7" s="1864"/>
      <c r="J7" s="1864"/>
      <c r="K7" s="1864"/>
      <c r="L7" s="1864"/>
      <c r="M7" s="1864"/>
      <c r="N7" s="1864"/>
      <c r="O7" s="1864"/>
      <c r="P7" s="1864"/>
      <c r="Q7" s="1864"/>
      <c r="R7" s="1864"/>
      <c r="S7" s="1864"/>
      <c r="T7" s="1864"/>
      <c r="U7" s="1864"/>
      <c r="V7" s="1403"/>
      <c r="W7" s="1403"/>
    </row>
    <row r="8" spans="1:247" ht="28.5" customHeight="1">
      <c r="A8" s="1864" t="s">
        <v>1581</v>
      </c>
      <c r="B8" s="1864"/>
      <c r="C8" s="1864"/>
      <c r="D8" s="1864"/>
      <c r="E8" s="1864"/>
      <c r="F8" s="1864"/>
      <c r="G8" s="1864"/>
      <c r="H8" s="1864"/>
      <c r="I8" s="1864"/>
      <c r="J8" s="1864"/>
      <c r="K8" s="1864"/>
      <c r="L8" s="1864"/>
      <c r="M8" s="1864"/>
      <c r="N8" s="1864"/>
      <c r="O8" s="1864"/>
      <c r="P8" s="1864"/>
      <c r="Q8" s="1864"/>
      <c r="R8" s="1864"/>
      <c r="S8" s="1864"/>
      <c r="T8" s="1864"/>
      <c r="U8" s="1864"/>
      <c r="V8" s="1403"/>
      <c r="W8" s="1403"/>
    </row>
    <row r="9" spans="1:247" ht="28.5" customHeight="1">
      <c r="A9" s="1864" t="s">
        <v>1582</v>
      </c>
      <c r="B9" s="1864"/>
      <c r="C9" s="1864"/>
      <c r="D9" s="1864"/>
      <c r="E9" s="1864"/>
      <c r="F9" s="1864"/>
      <c r="G9" s="1864"/>
      <c r="H9" s="1864"/>
      <c r="I9" s="1864"/>
      <c r="J9" s="1864"/>
      <c r="K9" s="1864"/>
      <c r="L9" s="1864"/>
      <c r="M9" s="1864"/>
      <c r="N9" s="1864"/>
      <c r="O9" s="1864"/>
      <c r="P9" s="1864"/>
      <c r="Q9" s="1864"/>
      <c r="R9" s="1864"/>
      <c r="S9" s="1864"/>
      <c r="T9" s="1864"/>
      <c r="U9" s="1864"/>
      <c r="V9" s="1403"/>
      <c r="W9" s="1403"/>
    </row>
    <row r="10" spans="1:247" ht="28.5" customHeight="1">
      <c r="A10" s="1864" t="s">
        <v>1583</v>
      </c>
      <c r="B10" s="1864"/>
      <c r="C10" s="1864"/>
      <c r="D10" s="1864"/>
      <c r="E10" s="1864"/>
      <c r="F10" s="1864"/>
      <c r="G10" s="1864"/>
      <c r="H10" s="1864"/>
      <c r="I10" s="1864"/>
      <c r="J10" s="1864"/>
      <c r="K10" s="1864"/>
      <c r="L10" s="1864"/>
      <c r="M10" s="1864"/>
      <c r="N10" s="1864"/>
      <c r="O10" s="1864"/>
      <c r="P10" s="1864"/>
      <c r="Q10" s="1864"/>
      <c r="R10" s="1864"/>
      <c r="S10" s="1864"/>
      <c r="T10" s="1864"/>
      <c r="U10" s="1864"/>
      <c r="V10" s="1403"/>
      <c r="W10" s="1403"/>
    </row>
    <row r="11" spans="1:247" ht="28.5" customHeight="1">
      <c r="A11" s="1864" t="s">
        <v>1619</v>
      </c>
      <c r="B11" s="1864"/>
      <c r="C11" s="1864"/>
      <c r="D11" s="1864"/>
      <c r="E11" s="1864"/>
      <c r="F11" s="1864"/>
      <c r="G11" s="1864"/>
      <c r="H11" s="1864"/>
      <c r="I11" s="1864"/>
      <c r="J11" s="1864"/>
      <c r="K11" s="1864"/>
      <c r="L11" s="1864"/>
      <c r="M11" s="1864"/>
      <c r="N11" s="1864"/>
      <c r="O11" s="1864"/>
      <c r="P11" s="1864"/>
      <c r="Q11" s="1864"/>
      <c r="R11" s="1864"/>
      <c r="S11" s="1864"/>
      <c r="T11" s="1864"/>
      <c r="U11" s="1864"/>
      <c r="V11" s="1403"/>
      <c r="W11" s="1403"/>
    </row>
    <row r="12" spans="1:247" ht="28.5" customHeight="1">
      <c r="A12" s="1864" t="s">
        <v>1620</v>
      </c>
      <c r="B12" s="1864"/>
      <c r="C12" s="1864"/>
      <c r="D12" s="1864"/>
      <c r="E12" s="1864"/>
      <c r="F12" s="1864"/>
      <c r="G12" s="1864"/>
      <c r="H12" s="1864"/>
      <c r="I12" s="1864"/>
      <c r="J12" s="1864"/>
      <c r="K12" s="1864"/>
      <c r="L12" s="1864"/>
      <c r="M12" s="1864"/>
      <c r="N12" s="1864"/>
      <c r="O12" s="1864"/>
      <c r="P12" s="1864"/>
      <c r="Q12" s="1864"/>
      <c r="R12" s="1864"/>
      <c r="S12" s="1864"/>
      <c r="T12" s="1864"/>
      <c r="U12" s="1864"/>
      <c r="V12" s="1403"/>
      <c r="W12" s="1403"/>
    </row>
    <row r="13" spans="1:247" ht="18.600000000000001" thickBot="1">
      <c r="A13" s="1636"/>
      <c r="B13" s="1410"/>
      <c r="C13" s="1411"/>
      <c r="D13" s="1412"/>
      <c r="E13" s="1411"/>
      <c r="F13" s="1411"/>
      <c r="G13" s="1411"/>
      <c r="H13" s="1413"/>
      <c r="I13" s="1414"/>
      <c r="J13" s="1414"/>
      <c r="K13" s="1415"/>
      <c r="L13" s="1410"/>
      <c r="M13" s="1410"/>
      <c r="N13" s="1416"/>
      <c r="O13" s="1417"/>
      <c r="P13" s="1417"/>
      <c r="Q13" s="1418"/>
      <c r="R13" s="1416"/>
      <c r="S13" s="1411"/>
      <c r="T13" s="1411"/>
      <c r="U13" s="1419" t="s">
        <v>1558</v>
      </c>
      <c r="V13" s="1403"/>
      <c r="W13" s="1403"/>
    </row>
    <row r="14" spans="1:247" ht="18.600000000000001" thickBot="1">
      <c r="A14" s="1636"/>
      <c r="B14" s="1410"/>
      <c r="C14" s="1420" t="s">
        <v>1584</v>
      </c>
      <c r="D14" s="1421">
        <v>90</v>
      </c>
      <c r="E14" s="1422"/>
      <c r="F14" s="1423"/>
      <c r="G14" s="1424" t="s">
        <v>1600</v>
      </c>
      <c r="H14" s="1425">
        <v>90.74</v>
      </c>
      <c r="I14" s="1426"/>
      <c r="J14" s="1426"/>
      <c r="K14" s="1427"/>
      <c r="L14" s="1428"/>
      <c r="M14" s="1428"/>
      <c r="N14" s="1429"/>
      <c r="O14" s="1428"/>
      <c r="P14" s="1428"/>
      <c r="Q14" s="1428"/>
      <c r="R14" s="1429"/>
      <c r="S14" s="1430"/>
      <c r="T14" s="1430"/>
      <c r="U14" s="1431"/>
      <c r="V14" s="1403"/>
      <c r="W14" s="1403"/>
    </row>
    <row r="15" spans="1:247" ht="26.25" customHeight="1" thickBot="1">
      <c r="A15" s="1858" t="s">
        <v>1617</v>
      </c>
      <c r="B15" s="1861" t="s">
        <v>1559</v>
      </c>
      <c r="C15" s="1865" t="s">
        <v>1585</v>
      </c>
      <c r="D15" s="1866"/>
      <c r="E15" s="1867"/>
      <c r="F15" s="1842" t="s">
        <v>1601</v>
      </c>
      <c r="G15" s="1843"/>
      <c r="H15" s="1843"/>
      <c r="I15" s="1843"/>
      <c r="J15" s="1843"/>
      <c r="K15" s="1843"/>
      <c r="L15" s="1843"/>
      <c r="M15" s="1843"/>
      <c r="N15" s="1843"/>
      <c r="O15" s="1843"/>
      <c r="P15" s="1843"/>
      <c r="Q15" s="1843"/>
      <c r="R15" s="1843"/>
      <c r="S15" s="1843"/>
      <c r="T15" s="1843"/>
      <c r="U15" s="1844"/>
      <c r="V15" s="1432"/>
      <c r="W15" s="1403"/>
    </row>
    <row r="16" spans="1:247" ht="24.75" customHeight="1" thickBot="1">
      <c r="A16" s="1859"/>
      <c r="B16" s="1862"/>
      <c r="C16" s="1868"/>
      <c r="D16" s="1869"/>
      <c r="E16" s="1870"/>
      <c r="F16" s="1836" t="s">
        <v>1618</v>
      </c>
      <c r="G16" s="1837"/>
      <c r="H16" s="1838"/>
      <c r="I16" s="1852" t="s">
        <v>1621</v>
      </c>
      <c r="J16" s="1853"/>
      <c r="K16" s="1854"/>
      <c r="L16" s="1842" t="s">
        <v>1622</v>
      </c>
      <c r="M16" s="1843"/>
      <c r="N16" s="1843"/>
      <c r="O16" s="1843"/>
      <c r="P16" s="1843"/>
      <c r="Q16" s="1843"/>
      <c r="R16" s="1843"/>
      <c r="S16" s="1836" t="s">
        <v>1605</v>
      </c>
      <c r="T16" s="1837"/>
      <c r="U16" s="1838"/>
      <c r="V16" s="1398"/>
      <c r="W16" s="1398"/>
      <c r="X16" s="1399"/>
      <c r="Y16" s="1399"/>
      <c r="Z16" s="1399"/>
      <c r="AA16" s="1399"/>
      <c r="AB16" s="1399"/>
      <c r="AC16" s="1399"/>
      <c r="AD16" s="1399"/>
      <c r="AE16" s="1399"/>
      <c r="AF16" s="1399"/>
      <c r="AG16" s="1399"/>
      <c r="AH16" s="1399"/>
      <c r="AI16" s="1399"/>
      <c r="AJ16" s="1399"/>
      <c r="AK16" s="1399"/>
      <c r="AL16" s="1399"/>
      <c r="AM16" s="1399"/>
      <c r="AN16" s="1399"/>
      <c r="AO16" s="1399"/>
      <c r="AP16" s="1399"/>
      <c r="AQ16" s="1399"/>
      <c r="AR16" s="1399"/>
      <c r="AS16" s="1399"/>
      <c r="AT16" s="1399"/>
      <c r="AU16" s="1399"/>
      <c r="AV16" s="1399"/>
      <c r="AW16" s="1399"/>
      <c r="AX16" s="1399"/>
      <c r="AY16" s="1399"/>
      <c r="AZ16" s="1399"/>
      <c r="BA16" s="1399"/>
      <c r="BB16" s="1399"/>
      <c r="BC16" s="1399"/>
      <c r="BD16" s="1399"/>
      <c r="BE16" s="1399"/>
      <c r="BF16" s="1399"/>
      <c r="BG16" s="1399"/>
      <c r="BH16" s="1399"/>
      <c r="BI16" s="1399"/>
      <c r="BJ16" s="1399"/>
      <c r="BK16" s="1399"/>
      <c r="BL16" s="1399"/>
      <c r="BM16" s="1399"/>
      <c r="BN16" s="1399"/>
      <c r="BO16" s="1399"/>
      <c r="BP16" s="1399"/>
      <c r="BQ16" s="1399"/>
      <c r="BR16" s="1399"/>
      <c r="BS16" s="1399"/>
      <c r="BT16" s="1399"/>
      <c r="BU16" s="1399"/>
      <c r="BV16" s="1399"/>
      <c r="BW16" s="1399"/>
      <c r="BX16" s="1399"/>
      <c r="BY16" s="1399"/>
      <c r="BZ16" s="1399"/>
      <c r="CA16" s="1399"/>
      <c r="CB16" s="1399"/>
      <c r="CC16" s="1399"/>
      <c r="CD16" s="1399"/>
      <c r="CE16" s="1399"/>
      <c r="CF16" s="1399"/>
      <c r="CG16" s="1399"/>
      <c r="CH16" s="1399"/>
      <c r="CI16" s="1399"/>
      <c r="CJ16" s="1399"/>
      <c r="CK16" s="1399"/>
      <c r="CL16" s="1399"/>
      <c r="CM16" s="1399"/>
      <c r="CN16" s="1399"/>
      <c r="CO16" s="1399"/>
      <c r="CP16" s="1399"/>
      <c r="CQ16" s="1399"/>
      <c r="CR16" s="1399"/>
      <c r="CS16" s="1399"/>
      <c r="CT16" s="1399"/>
      <c r="CU16" s="1399"/>
      <c r="CV16" s="1399"/>
      <c r="CW16" s="1399"/>
      <c r="CX16" s="1399"/>
      <c r="CY16" s="1399"/>
      <c r="CZ16" s="1399"/>
      <c r="DA16" s="1399"/>
      <c r="DB16" s="1399"/>
      <c r="DC16" s="1399"/>
      <c r="DD16" s="1399"/>
      <c r="DE16" s="1399"/>
      <c r="DF16" s="1399"/>
      <c r="DG16" s="1399"/>
      <c r="DH16" s="1399"/>
      <c r="DI16" s="1399"/>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1399"/>
      <c r="EO16" s="1399"/>
      <c r="EP16" s="1399"/>
      <c r="EQ16" s="1399"/>
      <c r="ER16" s="1399"/>
      <c r="ES16" s="1399"/>
      <c r="ET16" s="1399"/>
      <c r="EU16" s="1399"/>
      <c r="EV16" s="1399"/>
      <c r="EW16" s="1399"/>
      <c r="EX16" s="1399"/>
      <c r="EY16" s="1399"/>
      <c r="EZ16" s="1399"/>
      <c r="FA16" s="1399"/>
      <c r="FB16" s="1399"/>
      <c r="FC16" s="1399"/>
      <c r="FD16" s="1399"/>
      <c r="FE16" s="1399"/>
      <c r="FF16" s="1399"/>
      <c r="FG16" s="1399"/>
      <c r="FH16" s="1399"/>
      <c r="FI16" s="1399"/>
      <c r="FJ16" s="1399"/>
      <c r="FK16" s="1399"/>
      <c r="FL16" s="1399"/>
      <c r="FM16" s="1399"/>
      <c r="FN16" s="1399"/>
      <c r="FO16" s="1399"/>
      <c r="FP16" s="1399"/>
      <c r="FQ16" s="1399"/>
      <c r="FR16" s="1399"/>
      <c r="FS16" s="1399"/>
      <c r="FT16" s="1399"/>
      <c r="FU16" s="1399"/>
      <c r="FV16" s="1399"/>
      <c r="FW16" s="1399"/>
      <c r="FX16" s="1399"/>
      <c r="FY16" s="1399"/>
      <c r="FZ16" s="1399"/>
      <c r="GA16" s="1399"/>
      <c r="GB16" s="1399"/>
      <c r="GC16" s="1399"/>
      <c r="GD16" s="1399"/>
      <c r="GE16" s="1399"/>
      <c r="GF16" s="1399"/>
      <c r="GG16" s="1399"/>
      <c r="GH16" s="1399"/>
      <c r="GI16" s="1399"/>
      <c r="GJ16" s="1399"/>
      <c r="GK16" s="1399"/>
      <c r="GL16" s="1399"/>
      <c r="GM16" s="1399"/>
      <c r="GN16" s="1399"/>
      <c r="GO16" s="1399"/>
      <c r="GP16" s="1399"/>
      <c r="GQ16" s="1399"/>
      <c r="GR16" s="1399"/>
      <c r="GS16" s="1399"/>
      <c r="GT16" s="1399"/>
      <c r="GU16" s="1399"/>
      <c r="GV16" s="1399"/>
      <c r="GW16" s="1399"/>
      <c r="GX16" s="1399"/>
      <c r="GY16" s="1399"/>
      <c r="GZ16" s="1399"/>
      <c r="HA16" s="1399"/>
      <c r="HB16" s="1399"/>
      <c r="HC16" s="1399"/>
      <c r="HD16" s="1399"/>
      <c r="HE16" s="1399"/>
      <c r="HF16" s="1399"/>
      <c r="HG16" s="1399"/>
      <c r="HH16" s="1399"/>
      <c r="HI16" s="1399"/>
      <c r="HJ16" s="1399"/>
      <c r="HK16" s="1399"/>
      <c r="HL16" s="1399"/>
      <c r="HM16" s="1399"/>
      <c r="HN16" s="1399"/>
      <c r="HO16" s="1399"/>
      <c r="HP16" s="1399"/>
      <c r="HQ16" s="1399"/>
      <c r="HR16" s="1399"/>
      <c r="HS16" s="1399"/>
      <c r="HT16" s="1399"/>
      <c r="HU16" s="1399"/>
      <c r="HV16" s="1399"/>
      <c r="HW16" s="1399"/>
      <c r="HX16" s="1399"/>
      <c r="HY16" s="1399"/>
      <c r="HZ16" s="1399"/>
      <c r="IA16" s="1399"/>
      <c r="IB16" s="1399"/>
      <c r="IC16" s="1399"/>
      <c r="ID16" s="1399"/>
      <c r="IE16" s="1399"/>
      <c r="IF16" s="1399"/>
      <c r="IG16" s="1399"/>
      <c r="IH16" s="1399"/>
      <c r="II16" s="1399"/>
      <c r="IJ16" s="1399"/>
      <c r="IK16" s="1399"/>
      <c r="IL16" s="1399"/>
      <c r="IM16" s="1399"/>
    </row>
    <row r="17" spans="1:42" ht="33.75" customHeight="1" thickBot="1">
      <c r="A17" s="1859"/>
      <c r="B17" s="1862"/>
      <c r="C17" s="1871"/>
      <c r="D17" s="1872"/>
      <c r="E17" s="1873"/>
      <c r="F17" s="1839"/>
      <c r="G17" s="1840"/>
      <c r="H17" s="1841"/>
      <c r="I17" s="1855"/>
      <c r="J17" s="1856"/>
      <c r="K17" s="1857"/>
      <c r="L17" s="1845" t="s">
        <v>1610</v>
      </c>
      <c r="M17" s="1846"/>
      <c r="N17" s="1847" t="s">
        <v>1606</v>
      </c>
      <c r="O17" s="1848"/>
      <c r="P17" s="1314" t="s">
        <v>1604</v>
      </c>
      <c r="Q17" s="1849" t="s">
        <v>1609</v>
      </c>
      <c r="R17" s="1845" t="s">
        <v>1607</v>
      </c>
      <c r="S17" s="1839"/>
      <c r="T17" s="1840"/>
      <c r="U17" s="1841"/>
      <c r="V17" s="1403"/>
      <c r="W17" s="1403"/>
      <c r="X17" s="1303"/>
      <c r="Y17" s="1433"/>
      <c r="Z17" s="1300"/>
      <c r="AA17" s="1300"/>
      <c r="AB17" s="1434"/>
      <c r="AC17" s="1300"/>
      <c r="AD17" s="1303"/>
      <c r="AE17" s="1303"/>
      <c r="AF17" s="1303"/>
      <c r="AG17" s="1303"/>
      <c r="AH17" s="1303"/>
      <c r="AK17" s="1435"/>
      <c r="AL17" s="1435"/>
      <c r="AM17" s="1435"/>
      <c r="AN17" s="1435"/>
      <c r="AO17" s="1435"/>
      <c r="AP17" s="1304"/>
    </row>
    <row r="18" spans="1:42" ht="63" customHeight="1" thickBot="1">
      <c r="A18" s="1860"/>
      <c r="B18" s="1863"/>
      <c r="C18" s="1315" t="s">
        <v>101</v>
      </c>
      <c r="D18" s="1316" t="s">
        <v>139</v>
      </c>
      <c r="E18" s="1317" t="s">
        <v>72</v>
      </c>
      <c r="F18" s="1366" t="s">
        <v>101</v>
      </c>
      <c r="G18" s="1367" t="s">
        <v>139</v>
      </c>
      <c r="H18" s="1376" t="s">
        <v>72</v>
      </c>
      <c r="I18" s="1379" t="s">
        <v>1612</v>
      </c>
      <c r="J18" s="1380" t="s">
        <v>1613</v>
      </c>
      <c r="K18" s="1390" t="s">
        <v>1625</v>
      </c>
      <c r="L18" s="1393" t="s">
        <v>1611</v>
      </c>
      <c r="M18" s="1394" t="s">
        <v>1615</v>
      </c>
      <c r="N18" s="1393" t="s">
        <v>1603</v>
      </c>
      <c r="O18" s="1397" t="s">
        <v>1602</v>
      </c>
      <c r="P18" s="1319" t="s">
        <v>1608</v>
      </c>
      <c r="Q18" s="1850"/>
      <c r="R18" s="1851"/>
      <c r="S18" s="1318" t="s">
        <v>1612</v>
      </c>
      <c r="T18" s="1318" t="s">
        <v>1613</v>
      </c>
      <c r="U18" s="1318" t="s">
        <v>1625</v>
      </c>
      <c r="V18" s="1436"/>
      <c r="W18" s="1403"/>
      <c r="X18" s="1436"/>
      <c r="Y18" s="1437"/>
      <c r="Z18" s="1300"/>
      <c r="AA18" s="1435"/>
      <c r="AB18" s="1435"/>
      <c r="AC18" s="1435"/>
      <c r="AD18" s="1438"/>
      <c r="AE18" s="1436"/>
      <c r="AF18" s="1436"/>
      <c r="AG18" s="1439"/>
      <c r="AH18" s="1440"/>
      <c r="AK18" s="1441"/>
      <c r="AL18" s="1435"/>
      <c r="AM18" s="1435"/>
      <c r="AN18" s="1435"/>
      <c r="AO18" s="1435"/>
      <c r="AP18" s="1304"/>
    </row>
    <row r="19" spans="1:42" ht="33" customHeight="1">
      <c r="A19" s="1320">
        <v>1</v>
      </c>
      <c r="B19" s="1321" t="s">
        <v>1560</v>
      </c>
      <c r="C19" s="1322">
        <v>13.743605546397724</v>
      </c>
      <c r="D19" s="1323">
        <v>8.1189111148746544</v>
      </c>
      <c r="E19" s="1363">
        <v>21.86251666127238</v>
      </c>
      <c r="F19" s="1324">
        <v>24.948962999999999</v>
      </c>
      <c r="G19" s="1368">
        <v>0</v>
      </c>
      <c r="H19" s="1371">
        <v>24.948962999999999</v>
      </c>
      <c r="I19" s="1377">
        <v>24.948962999999999</v>
      </c>
      <c r="J19" s="1378">
        <v>0</v>
      </c>
      <c r="K19" s="1381">
        <v>24.948962999999999</v>
      </c>
      <c r="L19" s="1391">
        <v>2749500</v>
      </c>
      <c r="M19" s="1392">
        <v>24.948962999999999</v>
      </c>
      <c r="N19" s="1395"/>
      <c r="O19" s="1326"/>
      <c r="P19" s="1396">
        <v>0</v>
      </c>
      <c r="Q19" s="1383">
        <v>0</v>
      </c>
      <c r="R19" s="1328">
        <v>0</v>
      </c>
      <c r="S19" s="1360">
        <v>24.948962999999999</v>
      </c>
      <c r="T19" s="1360">
        <v>0</v>
      </c>
      <c r="U19" s="1325">
        <v>24.948962999999999</v>
      </c>
      <c r="V19" s="1436"/>
      <c r="W19" s="1442"/>
      <c r="X19" s="1443"/>
      <c r="Y19" s="1444"/>
      <c r="Z19" s="1300"/>
      <c r="AA19" s="1435"/>
      <c r="AB19" s="1435"/>
      <c r="AC19" s="1435"/>
      <c r="AD19" s="1443"/>
      <c r="AE19" s="1443"/>
      <c r="AF19" s="1443"/>
      <c r="AG19" s="1443"/>
      <c r="AH19" s="1443"/>
      <c r="AK19" s="1445"/>
      <c r="AL19" s="1300"/>
      <c r="AM19" s="1300"/>
      <c r="AN19" s="1300"/>
      <c r="AO19" s="1300"/>
      <c r="AP19" s="1304"/>
    </row>
    <row r="20" spans="1:42" ht="44.25" customHeight="1">
      <c r="A20" s="1329">
        <v>2</v>
      </c>
      <c r="B20" s="1330" t="s">
        <v>1561</v>
      </c>
      <c r="C20" s="1322">
        <v>92.658001779437342</v>
      </c>
      <c r="D20" s="1323">
        <v>528.09703336143252</v>
      </c>
      <c r="E20" s="1364">
        <v>620.75503514086984</v>
      </c>
      <c r="F20" s="1369">
        <v>44.004362999999998</v>
      </c>
      <c r="G20" s="1358">
        <v>737.85399999999993</v>
      </c>
      <c r="H20" s="1372">
        <v>781.85836299999994</v>
      </c>
      <c r="I20" s="1374">
        <v>44.004362999999998</v>
      </c>
      <c r="J20" s="1373">
        <v>710.98067999999989</v>
      </c>
      <c r="K20" s="1382">
        <v>754.98504299999991</v>
      </c>
      <c r="L20" s="1384">
        <v>4400000</v>
      </c>
      <c r="M20" s="1328">
        <v>39.925600000000003</v>
      </c>
      <c r="N20" s="1389"/>
      <c r="O20" s="1327">
        <v>602.52599999999995</v>
      </c>
      <c r="P20" s="1385">
        <v>602.52599999999995</v>
      </c>
      <c r="Q20" s="1383">
        <v>108.45467999999998</v>
      </c>
      <c r="R20" s="1328">
        <v>710.98067999999989</v>
      </c>
      <c r="S20" s="1361">
        <v>39.925600000000003</v>
      </c>
      <c r="T20" s="1361">
        <v>710.98067999999989</v>
      </c>
      <c r="U20" s="1359">
        <v>750.90627999999992</v>
      </c>
      <c r="V20" s="1436"/>
      <c r="W20" s="1442"/>
      <c r="X20" s="1443"/>
      <c r="Y20" s="1446"/>
      <c r="Z20" s="1447"/>
      <c r="AA20" s="1448"/>
      <c r="AB20" s="1448"/>
      <c r="AC20" s="1449"/>
      <c r="AD20" s="1443"/>
      <c r="AE20" s="1443"/>
      <c r="AF20" s="1443"/>
      <c r="AG20" s="1443"/>
      <c r="AH20" s="1443"/>
      <c r="AK20" s="1445"/>
      <c r="AL20" s="1300"/>
      <c r="AM20" s="1300"/>
      <c r="AN20" s="1450"/>
      <c r="AO20" s="1300"/>
      <c r="AP20" s="1451"/>
    </row>
    <row r="21" spans="1:42" ht="44.25" customHeight="1">
      <c r="A21" s="1329">
        <v>3</v>
      </c>
      <c r="B21" s="1330" t="s">
        <v>1562</v>
      </c>
      <c r="C21" s="1322">
        <v>0</v>
      </c>
      <c r="D21" s="1323">
        <v>5.1618272875000004</v>
      </c>
      <c r="E21" s="1364">
        <v>5.1618272875000004</v>
      </c>
      <c r="F21" s="1369">
        <v>0</v>
      </c>
      <c r="G21" s="1358">
        <v>5.9</v>
      </c>
      <c r="H21" s="1372">
        <v>5.9</v>
      </c>
      <c r="I21" s="1374">
        <v>0</v>
      </c>
      <c r="J21" s="1373">
        <v>5.9</v>
      </c>
      <c r="K21" s="1382">
        <v>5.9</v>
      </c>
      <c r="L21" s="1384"/>
      <c r="M21" s="1328"/>
      <c r="N21" s="1389"/>
      <c r="O21" s="1327">
        <v>5</v>
      </c>
      <c r="P21" s="1385">
        <v>5</v>
      </c>
      <c r="Q21" s="1383">
        <v>0.89999999999999991</v>
      </c>
      <c r="R21" s="1328">
        <v>5.9</v>
      </c>
      <c r="S21" s="1361">
        <v>0</v>
      </c>
      <c r="T21" s="1361">
        <v>5.9</v>
      </c>
      <c r="U21" s="1359">
        <v>5.9</v>
      </c>
      <c r="V21" s="1436"/>
      <c r="W21" s="1452"/>
      <c r="X21" s="1443"/>
      <c r="Y21" s="1446"/>
      <c r="Z21" s="1453"/>
      <c r="AA21" s="1448"/>
      <c r="AB21" s="1448"/>
      <c r="AC21" s="1449"/>
      <c r="AD21" s="1443"/>
      <c r="AE21" s="1443"/>
      <c r="AF21" s="1443"/>
      <c r="AG21" s="1443"/>
      <c r="AH21" s="1443"/>
      <c r="AK21" s="1300"/>
      <c r="AL21" s="1300"/>
      <c r="AM21" s="1300"/>
      <c r="AN21" s="1300"/>
      <c r="AO21" s="1300"/>
      <c r="AP21" s="1451"/>
    </row>
    <row r="22" spans="1:42" ht="33" customHeight="1">
      <c r="A22" s="1329">
        <v>4</v>
      </c>
      <c r="B22" s="1330" t="s">
        <v>1563</v>
      </c>
      <c r="C22" s="1322">
        <v>0</v>
      </c>
      <c r="D22" s="1323">
        <v>0</v>
      </c>
      <c r="E22" s="1364">
        <v>0</v>
      </c>
      <c r="F22" s="1369">
        <v>0</v>
      </c>
      <c r="G22" s="1358">
        <v>0</v>
      </c>
      <c r="H22" s="1372">
        <v>0</v>
      </c>
      <c r="I22" s="1374">
        <v>0</v>
      </c>
      <c r="J22" s="1373">
        <v>0</v>
      </c>
      <c r="K22" s="1382">
        <v>0</v>
      </c>
      <c r="L22" s="1384"/>
      <c r="M22" s="1328"/>
      <c r="N22" s="1389"/>
      <c r="O22" s="1327"/>
      <c r="P22" s="1385">
        <v>0</v>
      </c>
      <c r="Q22" s="1383">
        <v>0</v>
      </c>
      <c r="R22" s="1328">
        <v>0</v>
      </c>
      <c r="S22" s="1361">
        <v>0</v>
      </c>
      <c r="T22" s="1361">
        <v>0</v>
      </c>
      <c r="U22" s="1359">
        <v>0</v>
      </c>
      <c r="V22" s="1436"/>
      <c r="W22" s="1452"/>
      <c r="X22" s="1443"/>
      <c r="Y22" s="1454"/>
      <c r="Z22" s="1309"/>
      <c r="AA22" s="1454"/>
      <c r="AB22" s="1454"/>
      <c r="AC22" s="1454"/>
      <c r="AD22" s="1443"/>
      <c r="AE22" s="1443"/>
      <c r="AF22" s="1443"/>
      <c r="AG22" s="1443"/>
      <c r="AH22" s="1443"/>
      <c r="AK22" s="1454"/>
      <c r="AL22" s="1454"/>
      <c r="AM22" s="1297"/>
      <c r="AN22" s="1297"/>
      <c r="AO22" s="1448"/>
      <c r="AP22" s="1451"/>
    </row>
    <row r="23" spans="1:42" ht="44.25" customHeight="1">
      <c r="A23" s="1329">
        <v>5</v>
      </c>
      <c r="B23" s="1330" t="s">
        <v>1564</v>
      </c>
      <c r="C23" s="1322">
        <v>0</v>
      </c>
      <c r="D23" s="1323">
        <v>70.998197013677569</v>
      </c>
      <c r="E23" s="1364">
        <v>70.998197013677569</v>
      </c>
      <c r="F23" s="1369">
        <v>0</v>
      </c>
      <c r="G23" s="1358">
        <v>64.900000000000006</v>
      </c>
      <c r="H23" s="1372">
        <v>64.900000000000006</v>
      </c>
      <c r="I23" s="1374">
        <v>0</v>
      </c>
      <c r="J23" s="1373">
        <v>64.900000000000006</v>
      </c>
      <c r="K23" s="1382">
        <v>64.900000000000006</v>
      </c>
      <c r="L23" s="1384"/>
      <c r="M23" s="1328"/>
      <c r="N23" s="1389"/>
      <c r="O23" s="1327">
        <v>55</v>
      </c>
      <c r="P23" s="1385">
        <v>55</v>
      </c>
      <c r="Q23" s="1383">
        <v>9.9</v>
      </c>
      <c r="R23" s="1328">
        <v>64.900000000000006</v>
      </c>
      <c r="S23" s="1361">
        <v>0</v>
      </c>
      <c r="T23" s="1361">
        <v>64.900000000000006</v>
      </c>
      <c r="U23" s="1359">
        <v>64.900000000000006</v>
      </c>
      <c r="V23" s="1436"/>
      <c r="W23" s="1452"/>
      <c r="X23" s="1443"/>
      <c r="Y23" s="1300"/>
      <c r="Z23" s="1300"/>
      <c r="AA23" s="1300"/>
      <c r="AB23" s="1300"/>
      <c r="AC23" s="1454"/>
      <c r="AD23" s="1443"/>
      <c r="AE23" s="1443"/>
      <c r="AF23" s="1443"/>
      <c r="AG23" s="1443"/>
      <c r="AH23" s="1443"/>
      <c r="AK23" s="1454"/>
      <c r="AL23" s="1454"/>
      <c r="AM23" s="1303"/>
      <c r="AN23" s="1303"/>
      <c r="AO23" s="1455"/>
      <c r="AP23" s="1451"/>
    </row>
    <row r="24" spans="1:42" ht="44.25" customHeight="1">
      <c r="A24" s="1329">
        <v>6</v>
      </c>
      <c r="B24" s="1330" t="s">
        <v>1565</v>
      </c>
      <c r="C24" s="1322">
        <v>0</v>
      </c>
      <c r="D24" s="1323">
        <v>27.251984948640434</v>
      </c>
      <c r="E24" s="1364">
        <v>27.251984948640434</v>
      </c>
      <c r="F24" s="1369">
        <v>0</v>
      </c>
      <c r="G24" s="1358">
        <v>5.9</v>
      </c>
      <c r="H24" s="1372">
        <v>5.9</v>
      </c>
      <c r="I24" s="1374">
        <v>0</v>
      </c>
      <c r="J24" s="1373">
        <v>5.9</v>
      </c>
      <c r="K24" s="1382">
        <v>5.9</v>
      </c>
      <c r="L24" s="1384"/>
      <c r="M24" s="1328"/>
      <c r="N24" s="1389"/>
      <c r="O24" s="1327">
        <v>5</v>
      </c>
      <c r="P24" s="1385">
        <v>5</v>
      </c>
      <c r="Q24" s="1383">
        <v>0.89999999999999991</v>
      </c>
      <c r="R24" s="1328">
        <v>5.9</v>
      </c>
      <c r="S24" s="1361">
        <v>0</v>
      </c>
      <c r="T24" s="1361">
        <v>5.9</v>
      </c>
      <c r="U24" s="1359">
        <v>5.9</v>
      </c>
      <c r="V24" s="1436"/>
      <c r="W24" s="1452"/>
      <c r="X24" s="1443"/>
      <c r="Y24" s="1300"/>
      <c r="Z24" s="1300"/>
      <c r="AA24" s="1300"/>
      <c r="AB24" s="1300"/>
      <c r="AC24" s="1454"/>
      <c r="AD24" s="1443"/>
      <c r="AE24" s="1443"/>
      <c r="AF24" s="1443"/>
      <c r="AG24" s="1443"/>
      <c r="AH24" s="1443"/>
      <c r="AK24" s="1454"/>
      <c r="AL24" s="1454"/>
      <c r="AM24" s="1303"/>
      <c r="AN24" s="1303"/>
      <c r="AO24" s="1455"/>
      <c r="AP24" s="1451"/>
    </row>
    <row r="25" spans="1:42" ht="59.25" customHeight="1">
      <c r="A25" s="1329">
        <v>7</v>
      </c>
      <c r="B25" s="1330" t="s">
        <v>1566</v>
      </c>
      <c r="C25" s="1322">
        <v>0</v>
      </c>
      <c r="D25" s="1323">
        <v>72.01055891997045</v>
      </c>
      <c r="E25" s="1364">
        <v>72.01055891997045</v>
      </c>
      <c r="F25" s="1369">
        <v>0</v>
      </c>
      <c r="G25" s="1358">
        <v>80.239999999999995</v>
      </c>
      <c r="H25" s="1372">
        <v>80.239999999999995</v>
      </c>
      <c r="I25" s="1374">
        <v>0</v>
      </c>
      <c r="J25" s="1373">
        <v>80.239999999999995</v>
      </c>
      <c r="K25" s="1382">
        <v>80.239999999999995</v>
      </c>
      <c r="L25" s="1384"/>
      <c r="M25" s="1328"/>
      <c r="N25" s="1389"/>
      <c r="O25" s="1327">
        <v>68</v>
      </c>
      <c r="P25" s="1385">
        <v>68</v>
      </c>
      <c r="Q25" s="1383">
        <v>12.24</v>
      </c>
      <c r="R25" s="1328">
        <v>80.239999999999995</v>
      </c>
      <c r="S25" s="1361">
        <v>0</v>
      </c>
      <c r="T25" s="1361">
        <v>80.239999999999995</v>
      </c>
      <c r="U25" s="1359">
        <v>80.239999999999995</v>
      </c>
    </row>
    <row r="26" spans="1:42" ht="44.25" customHeight="1">
      <c r="A26" s="1329">
        <v>8</v>
      </c>
      <c r="B26" s="1330" t="s">
        <v>1567</v>
      </c>
      <c r="C26" s="1322">
        <v>0</v>
      </c>
      <c r="D26" s="1323">
        <v>1.0183842500000002</v>
      </c>
      <c r="E26" s="1364">
        <v>1.0183842500000002</v>
      </c>
      <c r="F26" s="1369">
        <v>0</v>
      </c>
      <c r="G26" s="1358">
        <v>1.0620000000000001</v>
      </c>
      <c r="H26" s="1372">
        <v>1.0620000000000001</v>
      </c>
      <c r="I26" s="1374">
        <v>0</v>
      </c>
      <c r="J26" s="1373">
        <v>1.0620000000000001</v>
      </c>
      <c r="K26" s="1382">
        <v>1.0620000000000001</v>
      </c>
      <c r="L26" s="1384"/>
      <c r="M26" s="1328"/>
      <c r="N26" s="1389"/>
      <c r="O26" s="1327">
        <v>0.9</v>
      </c>
      <c r="P26" s="1385">
        <v>0.9</v>
      </c>
      <c r="Q26" s="1383">
        <v>0.16200000000000001</v>
      </c>
      <c r="R26" s="1328">
        <v>1.0620000000000001</v>
      </c>
      <c r="S26" s="1361">
        <v>0</v>
      </c>
      <c r="T26" s="1361">
        <v>1.0620000000000001</v>
      </c>
      <c r="U26" s="1359">
        <v>1.0620000000000001</v>
      </c>
      <c r="V26" s="1436"/>
      <c r="W26" s="1452"/>
      <c r="X26" s="1443"/>
      <c r="Y26" s="1456"/>
      <c r="Z26" s="1457"/>
      <c r="AA26" s="1458"/>
      <c r="AB26" s="1459"/>
      <c r="AC26" s="1460"/>
      <c r="AD26" s="1443"/>
      <c r="AE26" s="1443"/>
      <c r="AF26" s="1443"/>
      <c r="AG26" s="1443"/>
      <c r="AH26" s="1443"/>
      <c r="AK26" s="1457"/>
      <c r="AL26" s="1305"/>
      <c r="AM26" s="1461"/>
      <c r="AN26" s="1303"/>
      <c r="AO26" s="1300"/>
      <c r="AP26" s="1451"/>
    </row>
    <row r="27" spans="1:42" ht="44.25" customHeight="1">
      <c r="A27" s="1329">
        <v>9</v>
      </c>
      <c r="B27" s="1330" t="s">
        <v>1626</v>
      </c>
      <c r="C27" s="1322">
        <v>18.36</v>
      </c>
      <c r="D27" s="1323">
        <v>0</v>
      </c>
      <c r="E27" s="1364">
        <v>18.36</v>
      </c>
      <c r="F27" s="1369">
        <v>10.430562999999999</v>
      </c>
      <c r="G27" s="1358">
        <v>0</v>
      </c>
      <c r="H27" s="1372">
        <v>10.430562999999999</v>
      </c>
      <c r="I27" s="1374">
        <v>10.430562999999999</v>
      </c>
      <c r="J27" s="1373">
        <v>0</v>
      </c>
      <c r="K27" s="1382">
        <v>10.430562999999999</v>
      </c>
      <c r="L27" s="1384">
        <v>1149500</v>
      </c>
      <c r="M27" s="1328">
        <v>10.430562999999999</v>
      </c>
      <c r="N27" s="1389"/>
      <c r="O27" s="1327"/>
      <c r="P27" s="1385">
        <v>0</v>
      </c>
      <c r="Q27" s="1383">
        <v>0</v>
      </c>
      <c r="R27" s="1328">
        <v>0</v>
      </c>
      <c r="S27" s="1361">
        <v>10.430562999999999</v>
      </c>
      <c r="T27" s="1361">
        <v>0</v>
      </c>
      <c r="U27" s="1359">
        <v>10.430562999999999</v>
      </c>
      <c r="V27" s="1436"/>
      <c r="W27" s="1452"/>
      <c r="X27" s="1443"/>
      <c r="Y27" s="1456"/>
      <c r="Z27" s="1457"/>
      <c r="AA27" s="1458"/>
      <c r="AB27" s="1459"/>
      <c r="AC27" s="1460"/>
      <c r="AD27" s="1443"/>
      <c r="AE27" s="1443"/>
      <c r="AF27" s="1443"/>
      <c r="AG27" s="1443"/>
      <c r="AH27" s="1443"/>
      <c r="AK27" s="1457"/>
      <c r="AL27" s="1305"/>
      <c r="AM27" s="1461"/>
      <c r="AN27" s="1303"/>
      <c r="AO27" s="1300"/>
      <c r="AP27" s="1451"/>
    </row>
    <row r="28" spans="1:42" ht="59.25" customHeight="1">
      <c r="A28" s="1329">
        <v>10</v>
      </c>
      <c r="B28" s="1330" t="s">
        <v>1568</v>
      </c>
      <c r="C28" s="1322">
        <v>0.45</v>
      </c>
      <c r="D28" s="1323">
        <v>0</v>
      </c>
      <c r="E28" s="1364">
        <v>0.45</v>
      </c>
      <c r="F28" s="1369">
        <v>0.44916299999999998</v>
      </c>
      <c r="G28" s="1358">
        <v>0</v>
      </c>
      <c r="H28" s="1372">
        <v>0.44916299999999998</v>
      </c>
      <c r="I28" s="1374">
        <v>0.44916299999999998</v>
      </c>
      <c r="J28" s="1373">
        <v>0</v>
      </c>
      <c r="K28" s="1382">
        <v>0.44916299999999998</v>
      </c>
      <c r="L28" s="1384">
        <v>49500</v>
      </c>
      <c r="M28" s="1328">
        <v>0.44916299999999998</v>
      </c>
      <c r="N28" s="1389"/>
      <c r="O28" s="1327"/>
      <c r="P28" s="1385">
        <v>0</v>
      </c>
      <c r="Q28" s="1383">
        <v>0</v>
      </c>
      <c r="R28" s="1328">
        <v>0</v>
      </c>
      <c r="S28" s="1361">
        <v>0.44916299999999998</v>
      </c>
      <c r="T28" s="1361">
        <v>0</v>
      </c>
      <c r="U28" s="1359">
        <v>0.44916299999999998</v>
      </c>
      <c r="V28" s="1436"/>
      <c r="W28" s="1452"/>
      <c r="X28" s="1443"/>
      <c r="Y28" s="1456"/>
      <c r="Z28" s="1457"/>
      <c r="AA28" s="1458"/>
      <c r="AB28" s="1459"/>
      <c r="AC28" s="1460"/>
      <c r="AD28" s="1443"/>
      <c r="AE28" s="1443"/>
      <c r="AF28" s="1443"/>
      <c r="AG28" s="1443"/>
      <c r="AH28" s="1443"/>
      <c r="AK28" s="1302"/>
      <c r="AL28" s="1305"/>
      <c r="AM28" s="1461"/>
      <c r="AN28" s="1303"/>
      <c r="AO28" s="1300"/>
      <c r="AP28" s="1451"/>
    </row>
    <row r="29" spans="1:42" ht="59.25" customHeight="1">
      <c r="A29" s="1329">
        <v>11</v>
      </c>
      <c r="B29" s="1330" t="s">
        <v>1569</v>
      </c>
      <c r="C29" s="1322">
        <v>0</v>
      </c>
      <c r="D29" s="1323">
        <v>3.2800932629920814</v>
      </c>
      <c r="E29" s="1364">
        <v>3.2800932629920814</v>
      </c>
      <c r="F29" s="1369">
        <v>0</v>
      </c>
      <c r="G29" s="1358">
        <v>1.0620000000000001</v>
      </c>
      <c r="H29" s="1372">
        <v>1.0620000000000001</v>
      </c>
      <c r="I29" s="1374">
        <v>0</v>
      </c>
      <c r="J29" s="1373">
        <v>1.0620000000000001</v>
      </c>
      <c r="K29" s="1382">
        <v>1.0620000000000001</v>
      </c>
      <c r="L29" s="1384"/>
      <c r="M29" s="1328"/>
      <c r="N29" s="1389">
        <v>0.9</v>
      </c>
      <c r="O29" s="1327"/>
      <c r="P29" s="1385">
        <v>0.9</v>
      </c>
      <c r="Q29" s="1383">
        <v>0.16200000000000001</v>
      </c>
      <c r="R29" s="1328">
        <v>1.0620000000000001</v>
      </c>
      <c r="S29" s="1361">
        <v>0</v>
      </c>
      <c r="T29" s="1361">
        <v>1.0620000000000001</v>
      </c>
      <c r="U29" s="1359">
        <v>1.0620000000000001</v>
      </c>
      <c r="V29" s="1436"/>
      <c r="W29" s="1452"/>
      <c r="X29" s="1443"/>
      <c r="Y29" s="1456"/>
      <c r="Z29" s="1457"/>
      <c r="AA29" s="1458"/>
      <c r="AB29" s="1459"/>
      <c r="AC29" s="1460"/>
      <c r="AD29" s="1443"/>
      <c r="AE29" s="1443"/>
      <c r="AF29" s="1443"/>
      <c r="AG29" s="1443"/>
      <c r="AH29" s="1443"/>
      <c r="AK29" s="1302"/>
      <c r="AL29" s="1305"/>
      <c r="AM29" s="1461"/>
      <c r="AN29" s="1303"/>
      <c r="AO29" s="1300"/>
      <c r="AP29" s="1451"/>
    </row>
    <row r="30" spans="1:42" ht="33" customHeight="1">
      <c r="A30" s="1329">
        <v>12</v>
      </c>
      <c r="B30" s="1330" t="s">
        <v>1570</v>
      </c>
      <c r="C30" s="1322">
        <v>0</v>
      </c>
      <c r="D30" s="1323" t="s">
        <v>1571</v>
      </c>
      <c r="E30" s="1364"/>
      <c r="F30" s="1369">
        <v>0</v>
      </c>
      <c r="G30" s="1358">
        <v>2.242</v>
      </c>
      <c r="H30" s="1372">
        <v>2.242</v>
      </c>
      <c r="I30" s="1374">
        <v>0</v>
      </c>
      <c r="J30" s="1373">
        <v>2.242</v>
      </c>
      <c r="K30" s="1382">
        <v>2.242</v>
      </c>
      <c r="L30" s="1384"/>
      <c r="M30" s="1328"/>
      <c r="N30" s="1389">
        <v>1.9</v>
      </c>
      <c r="O30" s="1327"/>
      <c r="P30" s="1385">
        <v>1.9</v>
      </c>
      <c r="Q30" s="1383">
        <v>0.34199999999999997</v>
      </c>
      <c r="R30" s="1328">
        <v>2.242</v>
      </c>
      <c r="S30" s="1361">
        <v>0</v>
      </c>
      <c r="T30" s="1361">
        <v>2.242</v>
      </c>
      <c r="U30" s="1359">
        <v>2.242</v>
      </c>
      <c r="V30" s="1436"/>
      <c r="W30" s="1452"/>
      <c r="X30" s="1443"/>
      <c r="Y30" s="1456"/>
      <c r="Z30" s="1457"/>
      <c r="AA30" s="1458"/>
      <c r="AB30" s="1459"/>
      <c r="AC30" s="1460"/>
      <c r="AD30" s="1443"/>
      <c r="AE30" s="1443"/>
      <c r="AF30" s="1443"/>
      <c r="AG30" s="1443"/>
      <c r="AH30" s="1443"/>
      <c r="AK30" s="1302"/>
      <c r="AL30" s="1305"/>
      <c r="AM30" s="1461"/>
      <c r="AN30" s="1303"/>
      <c r="AO30" s="1300"/>
      <c r="AP30" s="1451"/>
    </row>
    <row r="31" spans="1:42" ht="33" customHeight="1" thickBot="1">
      <c r="A31" s="1331">
        <v>13</v>
      </c>
      <c r="B31" s="1332" t="s">
        <v>1572</v>
      </c>
      <c r="C31" s="1333">
        <v>0</v>
      </c>
      <c r="D31" s="1334">
        <v>0</v>
      </c>
      <c r="E31" s="1365">
        <v>0</v>
      </c>
      <c r="F31" s="1370"/>
      <c r="G31" s="1462"/>
      <c r="H31" s="1463"/>
      <c r="I31" s="1375"/>
      <c r="J31" s="1464"/>
      <c r="K31" s="1465"/>
      <c r="L31" s="1466"/>
      <c r="M31" s="1387"/>
      <c r="N31" s="1467"/>
      <c r="O31" s="1468"/>
      <c r="P31" s="1386"/>
      <c r="Q31" s="1388"/>
      <c r="R31" s="1336"/>
      <c r="S31" s="1362"/>
      <c r="T31" s="1469"/>
      <c r="U31" s="1470"/>
      <c r="V31" s="1436"/>
      <c r="W31" s="1452"/>
      <c r="X31" s="1443"/>
      <c r="Y31" s="1456"/>
      <c r="Z31" s="1457"/>
      <c r="AA31" s="1458"/>
      <c r="AB31" s="1459"/>
      <c r="AC31" s="1460"/>
      <c r="AD31" s="1443"/>
      <c r="AE31" s="1443"/>
      <c r="AF31" s="1443"/>
      <c r="AG31" s="1443"/>
      <c r="AH31" s="1443"/>
      <c r="AK31" s="1302"/>
      <c r="AL31" s="1305"/>
      <c r="AM31" s="1461"/>
      <c r="AN31" s="1303"/>
      <c r="AO31" s="1300"/>
      <c r="AP31" s="1451"/>
    </row>
    <row r="32" spans="1:42" s="1633" customFormat="1" ht="33" customHeight="1" thickBot="1">
      <c r="A32" s="1637">
        <v>14</v>
      </c>
      <c r="B32" s="1616" t="s">
        <v>1586</v>
      </c>
      <c r="C32" s="1617">
        <v>125.21160732583508</v>
      </c>
      <c r="D32" s="1618">
        <v>715.93699015908783</v>
      </c>
      <c r="E32" s="1589">
        <v>841.1485974849229</v>
      </c>
      <c r="F32" s="1619">
        <v>79.833052000000009</v>
      </c>
      <c r="G32" s="1620">
        <v>899.15999999999985</v>
      </c>
      <c r="H32" s="1620">
        <v>978.99305199999992</v>
      </c>
      <c r="I32" s="1621">
        <v>79.833052000000009</v>
      </c>
      <c r="J32" s="1622">
        <v>872.28667999999982</v>
      </c>
      <c r="K32" s="1622">
        <v>952.11973199999989</v>
      </c>
      <c r="L32" s="1623">
        <v>8348500</v>
      </c>
      <c r="M32" s="1624">
        <v>75.754289</v>
      </c>
      <c r="N32" s="1624">
        <v>2.8</v>
      </c>
      <c r="O32" s="1624">
        <v>736.42599999999993</v>
      </c>
      <c r="P32" s="1625">
        <v>739.22599999999989</v>
      </c>
      <c r="Q32" s="1588">
        <v>133.06068000000002</v>
      </c>
      <c r="R32" s="1626">
        <v>872.28667999999982</v>
      </c>
      <c r="S32" s="1619">
        <v>75.754289</v>
      </c>
      <c r="T32" s="1620">
        <v>872.28667999999982</v>
      </c>
      <c r="U32" s="1627">
        <v>948.0409689999999</v>
      </c>
      <c r="V32" s="1614"/>
      <c r="W32" s="1614"/>
      <c r="X32" s="1628"/>
      <c r="Y32" s="1629"/>
      <c r="Z32" s="1615"/>
      <c r="AA32" s="1630"/>
      <c r="AB32" s="1631"/>
      <c r="AC32" s="1630"/>
      <c r="AD32" s="1628"/>
      <c r="AE32" s="1628"/>
      <c r="AF32" s="1628"/>
      <c r="AG32" s="1632"/>
      <c r="AH32" s="1628"/>
      <c r="AK32" s="1615"/>
      <c r="AL32" s="1631"/>
      <c r="AM32" s="1632"/>
      <c r="AN32" s="1632"/>
      <c r="AO32" s="1630"/>
      <c r="AP32" s="1634"/>
    </row>
    <row r="33" spans="1:42" ht="33" customHeight="1">
      <c r="A33" s="1472">
        <v>15</v>
      </c>
      <c r="B33" s="1473" t="s">
        <v>1573</v>
      </c>
      <c r="C33" s="1474">
        <v>0</v>
      </c>
      <c r="D33" s="1475"/>
      <c r="E33" s="1476"/>
      <c r="F33" s="1477"/>
      <c r="G33" s="1478"/>
      <c r="H33" s="1412"/>
      <c r="I33" s="1479"/>
      <c r="J33" s="1480"/>
      <c r="K33" s="1481"/>
      <c r="L33" s="1482"/>
      <c r="M33" s="1337"/>
      <c r="N33" s="1482"/>
      <c r="O33" s="1341"/>
      <c r="P33" s="1483"/>
      <c r="Q33" s="1483"/>
      <c r="R33" s="1484"/>
      <c r="S33" s="1477"/>
      <c r="T33" s="1485"/>
      <c r="U33" s="1486"/>
      <c r="V33" s="1298"/>
      <c r="W33" s="1298"/>
      <c r="Y33" s="1487"/>
      <c r="Z33" s="1488"/>
      <c r="AA33" s="1454"/>
      <c r="AB33" s="1489"/>
      <c r="AC33" s="1309"/>
      <c r="AK33" s="1309"/>
      <c r="AL33" s="1309"/>
      <c r="AM33" s="1303"/>
      <c r="AN33" s="1303"/>
      <c r="AO33" s="1309"/>
      <c r="AP33" s="1451">
        <v>0</v>
      </c>
    </row>
    <row r="34" spans="1:42" ht="33" customHeight="1">
      <c r="A34" s="1329" t="s">
        <v>221</v>
      </c>
      <c r="B34" s="1338" t="s">
        <v>1574</v>
      </c>
      <c r="C34" s="1575"/>
      <c r="D34" s="1578">
        <v>6.9493501334578003</v>
      </c>
      <c r="E34" s="1572">
        <v>6.9493501334578003</v>
      </c>
      <c r="F34" s="1577"/>
      <c r="G34" s="1577">
        <v>3.3003272249999998</v>
      </c>
      <c r="H34" s="1559">
        <v>3.3003272249999998</v>
      </c>
      <c r="I34" s="1578"/>
      <c r="J34" s="1578">
        <v>3.3003272249999998</v>
      </c>
      <c r="K34" s="1578">
        <v>3.3003272249999998</v>
      </c>
      <c r="L34" s="1327"/>
      <c r="M34" s="1337"/>
      <c r="N34" s="1327"/>
      <c r="O34" s="1341"/>
      <c r="P34" s="1342"/>
      <c r="Q34" s="1342"/>
      <c r="R34" s="1328"/>
      <c r="S34" s="1339"/>
      <c r="T34" s="1558">
        <v>2.9944200000000003</v>
      </c>
      <c r="U34" s="1559">
        <v>2.9944200000000003</v>
      </c>
      <c r="V34" s="1298"/>
      <c r="W34" s="1298"/>
      <c r="Y34" s="1300"/>
      <c r="Z34" s="1301"/>
      <c r="AA34" s="1296"/>
      <c r="AB34" s="1302"/>
      <c r="AC34" s="1302"/>
      <c r="AK34" s="1300"/>
      <c r="AL34" s="1300"/>
      <c r="AM34" s="1303"/>
      <c r="AN34" s="1303"/>
      <c r="AO34" s="1300"/>
      <c r="AP34" s="1304"/>
    </row>
    <row r="35" spans="1:42" ht="33" customHeight="1">
      <c r="A35" s="1329" t="s">
        <v>1575</v>
      </c>
      <c r="B35" s="1338" t="s">
        <v>1576</v>
      </c>
      <c r="C35" s="1575"/>
      <c r="D35" s="1578">
        <v>0.69493501334578012</v>
      </c>
      <c r="E35" s="1572">
        <v>0.69493501334578012</v>
      </c>
      <c r="F35" s="1559"/>
      <c r="G35" s="1559">
        <v>0.33003272249999999</v>
      </c>
      <c r="H35" s="1559">
        <v>0.33003272249999999</v>
      </c>
      <c r="I35" s="1578"/>
      <c r="J35" s="1578">
        <v>0.33003272249999999</v>
      </c>
      <c r="K35" s="1578">
        <v>0.33003272249999999</v>
      </c>
      <c r="L35" s="1327"/>
      <c r="M35" s="1337"/>
      <c r="N35" s="1327"/>
      <c r="O35" s="1341"/>
      <c r="P35" s="1342"/>
      <c r="Q35" s="1342"/>
      <c r="R35" s="1328"/>
      <c r="S35" s="1340"/>
      <c r="T35" s="1560">
        <v>0.29944200000000004</v>
      </c>
      <c r="U35" s="1559">
        <v>0.29944200000000004</v>
      </c>
      <c r="V35" s="1298"/>
      <c r="W35" s="1298"/>
      <c r="Y35" s="1305"/>
      <c r="Z35" s="1306"/>
      <c r="AA35" s="1296"/>
      <c r="AB35" s="1302"/>
      <c r="AC35" s="1302"/>
      <c r="AK35" s="1300"/>
      <c r="AL35" s="1300"/>
      <c r="AM35" s="1303"/>
      <c r="AN35" s="1303"/>
      <c r="AO35" s="1300"/>
      <c r="AP35" s="1304"/>
    </row>
    <row r="36" spans="1:42" ht="33" customHeight="1">
      <c r="A36" s="1329" t="s">
        <v>1577</v>
      </c>
      <c r="B36" s="1338" t="s">
        <v>1578</v>
      </c>
      <c r="C36" s="1575"/>
      <c r="D36" s="1578">
        <v>18.054411646723366</v>
      </c>
      <c r="E36" s="1572">
        <v>18.054411646723366</v>
      </c>
      <c r="F36" s="1559"/>
      <c r="G36" s="1559">
        <v>8.5742501305499985</v>
      </c>
      <c r="H36" s="1559">
        <v>8.5742501305499985</v>
      </c>
      <c r="I36" s="1578"/>
      <c r="J36" s="1578">
        <v>8.5742501305499985</v>
      </c>
      <c r="K36" s="1578">
        <v>8.5742501305499985</v>
      </c>
      <c r="L36" s="1327"/>
      <c r="M36" s="1337"/>
      <c r="N36" s="1327"/>
      <c r="O36" s="1341"/>
      <c r="P36" s="1342"/>
      <c r="Q36" s="1342"/>
      <c r="R36" s="1328"/>
      <c r="S36" s="1340"/>
      <c r="T36" s="1560">
        <v>7.77950316</v>
      </c>
      <c r="U36" s="1559">
        <v>7.77950316</v>
      </c>
      <c r="V36" s="1298"/>
      <c r="W36" s="1298"/>
      <c r="Y36" s="1305"/>
      <c r="Z36" s="1306"/>
      <c r="AA36" s="1296"/>
      <c r="AB36" s="1302"/>
      <c r="AC36" s="1302"/>
      <c r="AK36" s="1300"/>
      <c r="AL36" s="1300"/>
      <c r="AM36" s="1303"/>
      <c r="AN36" s="1303"/>
      <c r="AO36" s="1300"/>
      <c r="AP36" s="1304"/>
    </row>
    <row r="37" spans="1:42" ht="33" customHeight="1">
      <c r="A37" s="1343" t="s">
        <v>1579</v>
      </c>
      <c r="B37" s="1344" t="s">
        <v>1614</v>
      </c>
      <c r="C37" s="1575"/>
      <c r="D37" s="1576">
        <v>3.617067282933081</v>
      </c>
      <c r="E37" s="1572">
        <v>3.617067282933081</v>
      </c>
      <c r="F37" s="1577"/>
      <c r="G37" s="1577" t="s">
        <v>1616</v>
      </c>
      <c r="H37" s="1577" t="s">
        <v>1616</v>
      </c>
      <c r="I37" s="1578"/>
      <c r="J37" s="1578" t="s">
        <v>1616</v>
      </c>
      <c r="K37" s="1578" t="s">
        <v>1616</v>
      </c>
      <c r="L37" s="1327"/>
      <c r="M37" s="1337"/>
      <c r="N37" s="1327"/>
      <c r="O37" s="1341"/>
      <c r="P37" s="1342"/>
      <c r="Q37" s="1342"/>
      <c r="R37" s="1328"/>
      <c r="S37" s="1339"/>
      <c r="T37" s="1557" t="s">
        <v>1616</v>
      </c>
      <c r="U37" s="1355" t="s">
        <v>1616</v>
      </c>
      <c r="V37" s="1298"/>
      <c r="W37" s="1298"/>
      <c r="Y37" s="1300"/>
      <c r="Z37" s="1307"/>
      <c r="AA37" s="1296"/>
      <c r="AB37" s="1302"/>
      <c r="AC37" s="1302"/>
      <c r="AK37" s="1308"/>
      <c r="AL37" s="1300"/>
      <c r="AM37" s="1303"/>
      <c r="AN37" s="1303"/>
      <c r="AO37" s="1308"/>
      <c r="AP37" s="1304"/>
    </row>
    <row r="38" spans="1:42" ht="33" customHeight="1" thickBot="1">
      <c r="A38" s="1345" t="s">
        <v>157</v>
      </c>
      <c r="B38" s="1346" t="s">
        <v>1580</v>
      </c>
      <c r="C38" s="1579"/>
      <c r="D38" s="1581">
        <v>6.5107211092795447</v>
      </c>
      <c r="E38" s="1573">
        <v>6.5107211092795447</v>
      </c>
      <c r="F38" s="1580"/>
      <c r="G38" s="1580">
        <v>6.4491640199999996</v>
      </c>
      <c r="H38" s="1559">
        <v>6.4491640199999996</v>
      </c>
      <c r="I38" s="1581"/>
      <c r="J38" s="1581">
        <v>6.4491640199999996</v>
      </c>
      <c r="K38" s="1578">
        <v>6.4491640199999996</v>
      </c>
      <c r="L38" s="1335"/>
      <c r="M38" s="1348"/>
      <c r="N38" s="1335"/>
      <c r="O38" s="1349"/>
      <c r="P38" s="1350"/>
      <c r="Q38" s="1350"/>
      <c r="R38" s="1336"/>
      <c r="S38" s="1347"/>
      <c r="T38" s="1561">
        <v>6.4491640199999996</v>
      </c>
      <c r="U38" s="1562">
        <v>6.4491640199999996</v>
      </c>
      <c r="V38" s="1298"/>
      <c r="W38" s="1298"/>
      <c r="Y38" s="1309"/>
      <c r="Z38" s="1310"/>
      <c r="AA38" s="1296"/>
      <c r="AB38" s="1296"/>
      <c r="AC38" s="1296"/>
      <c r="AK38" s="1302"/>
      <c r="AL38" s="1309"/>
      <c r="AM38" s="1303"/>
      <c r="AN38" s="1303"/>
      <c r="AO38" s="1300"/>
      <c r="AP38" s="1304"/>
    </row>
    <row r="39" spans="1:42" ht="33" customHeight="1" thickBot="1">
      <c r="A39" s="1490">
        <v>16</v>
      </c>
      <c r="B39" s="1351" t="s">
        <v>1586</v>
      </c>
      <c r="C39" s="1582">
        <v>0</v>
      </c>
      <c r="D39" s="1583">
        <v>35.826485185739578</v>
      </c>
      <c r="E39" s="1574">
        <v>35.826485185739578</v>
      </c>
      <c r="F39" s="1563"/>
      <c r="G39" s="1563">
        <v>18.65377409805</v>
      </c>
      <c r="H39" s="1584">
        <v>18.65377409805</v>
      </c>
      <c r="I39" s="1585"/>
      <c r="J39" s="1585">
        <v>18.65377409805</v>
      </c>
      <c r="K39" s="1586">
        <v>18.65377409805</v>
      </c>
      <c r="L39" s="1492"/>
      <c r="M39" s="1352"/>
      <c r="N39" s="1493"/>
      <c r="O39" s="1494"/>
      <c r="P39" s="1495"/>
      <c r="Q39" s="1495"/>
      <c r="R39" s="1496"/>
      <c r="S39" s="1491"/>
      <c r="T39" s="1563">
        <v>17.522529179999999</v>
      </c>
      <c r="U39" s="1564">
        <v>17.522529179999999</v>
      </c>
      <c r="V39" s="1298"/>
      <c r="W39" s="1298"/>
      <c r="Y39" s="1309"/>
      <c r="Z39" s="1497"/>
      <c r="AA39" s="1296"/>
      <c r="AB39" s="1296"/>
      <c r="AC39" s="1296"/>
      <c r="AK39" s="1302"/>
      <c r="AL39" s="1309"/>
      <c r="AM39" s="1303"/>
      <c r="AN39" s="1303"/>
      <c r="AO39" s="1300"/>
      <c r="AP39" s="1304"/>
    </row>
    <row r="40" spans="1:42" s="1507" customFormat="1" ht="33" customHeight="1">
      <c r="A40" s="1471">
        <v>17</v>
      </c>
      <c r="B40" s="1498" t="s">
        <v>1587</v>
      </c>
      <c r="C40" s="1587">
        <v>125.21160732583508</v>
      </c>
      <c r="D40" s="1588">
        <v>751.76347534482738</v>
      </c>
      <c r="E40" s="1589">
        <v>876.97508267066246</v>
      </c>
      <c r="F40" s="1590"/>
      <c r="G40" s="1565"/>
      <c r="H40" s="1566">
        <v>997.64682609804993</v>
      </c>
      <c r="I40" s="1591"/>
      <c r="J40" s="1592"/>
      <c r="K40" s="1593">
        <v>970.77350609804989</v>
      </c>
      <c r="L40" s="1500"/>
      <c r="M40" s="1353"/>
      <c r="N40" s="1501"/>
      <c r="O40" s="1502"/>
      <c r="P40" s="1503"/>
      <c r="Q40" s="1504"/>
      <c r="R40" s="1505"/>
      <c r="S40" s="1499"/>
      <c r="T40" s="1565"/>
      <c r="U40" s="1566">
        <v>965.5634981799999</v>
      </c>
      <c r="V40" s="1506"/>
      <c r="W40" s="1506"/>
      <c r="Y40" s="1508"/>
      <c r="Z40" s="1509"/>
      <c r="AA40" s="1510"/>
      <c r="AB40" s="1511"/>
      <c r="AC40" s="1512"/>
      <c r="AK40" s="1512"/>
      <c r="AL40" s="1508"/>
      <c r="AM40" s="1513"/>
      <c r="AN40" s="1513"/>
      <c r="AO40" s="1514"/>
      <c r="AP40" s="1515"/>
    </row>
    <row r="41" spans="1:42" s="1507" customFormat="1" ht="33" customHeight="1">
      <c r="A41" s="1472">
        <v>18</v>
      </c>
      <c r="B41" s="1473" t="s">
        <v>1588</v>
      </c>
      <c r="C41" s="1594"/>
      <c r="D41" s="1595">
        <v>130.36747372326704</v>
      </c>
      <c r="E41" s="1596">
        <v>130.36747372326704</v>
      </c>
      <c r="F41" s="1570"/>
      <c r="G41" s="1567">
        <v>15.023414150549998</v>
      </c>
      <c r="H41" s="1568">
        <v>150.22141415055</v>
      </c>
      <c r="I41" s="1597"/>
      <c r="J41" s="1598">
        <v>15.023414150549998</v>
      </c>
      <c r="K41" s="1599">
        <v>146.12211415055003</v>
      </c>
      <c r="L41" s="1517"/>
      <c r="M41" s="1337"/>
      <c r="N41" s="1518"/>
      <c r="O41" s="1341"/>
      <c r="P41" s="1519"/>
      <c r="Q41" s="1571">
        <v>131.09870000000001</v>
      </c>
      <c r="R41" s="1416"/>
      <c r="S41" s="1516"/>
      <c r="T41" s="1567">
        <v>14.228667179999999</v>
      </c>
      <c r="U41" s="1568">
        <v>145.32736718000001</v>
      </c>
      <c r="V41" s="1506"/>
      <c r="W41" s="1506"/>
      <c r="Y41" s="1508"/>
      <c r="Z41" s="1509"/>
      <c r="AA41" s="1510"/>
      <c r="AB41" s="1511"/>
      <c r="AC41" s="1512"/>
      <c r="AK41" s="1512"/>
      <c r="AL41" s="1508"/>
      <c r="AM41" s="1513"/>
      <c r="AN41" s="1513"/>
      <c r="AO41" s="1514"/>
      <c r="AP41" s="1515"/>
    </row>
    <row r="42" spans="1:42" s="1527" customFormat="1" ht="33" customHeight="1">
      <c r="A42" s="1520">
        <v>19</v>
      </c>
      <c r="B42" s="1521" t="s">
        <v>1589</v>
      </c>
      <c r="C42" s="1600">
        <v>125.21160732583508</v>
      </c>
      <c r="D42" s="1601">
        <v>621.39600162156034</v>
      </c>
      <c r="E42" s="1602">
        <v>746.60760894739542</v>
      </c>
      <c r="F42" s="1570">
        <v>0</v>
      </c>
      <c r="G42" s="1569"/>
      <c r="H42" s="1570">
        <v>847.42541194749992</v>
      </c>
      <c r="I42" s="1597">
        <v>0</v>
      </c>
      <c r="J42" s="1603"/>
      <c r="K42" s="1604">
        <v>824.65139194749986</v>
      </c>
      <c r="L42" s="1522"/>
      <c r="M42" s="1337"/>
      <c r="N42" s="1523"/>
      <c r="O42" s="1524"/>
      <c r="P42" s="1519"/>
      <c r="Q42" s="1523"/>
      <c r="R42" s="1525"/>
      <c r="S42" s="1516">
        <v>0</v>
      </c>
      <c r="T42" s="1569"/>
      <c r="U42" s="1570">
        <v>820.23613099999989</v>
      </c>
      <c r="V42" s="1526"/>
      <c r="W42" s="1526"/>
    </row>
    <row r="43" spans="1:42" s="1507" customFormat="1" ht="33" customHeight="1" thickBot="1">
      <c r="A43" s="1528">
        <v>20</v>
      </c>
      <c r="B43" s="1529" t="s">
        <v>1590</v>
      </c>
      <c r="C43" s="1605"/>
      <c r="D43" s="1606"/>
      <c r="E43" s="1607"/>
      <c r="F43" s="1608"/>
      <c r="G43" s="1609"/>
      <c r="H43" s="1610">
        <v>0.13503452388094783</v>
      </c>
      <c r="I43" s="1611"/>
      <c r="J43" s="1612"/>
      <c r="K43" s="1613">
        <v>0.10453119157214918</v>
      </c>
      <c r="L43" s="1532"/>
      <c r="M43" s="1354"/>
      <c r="N43" s="1533"/>
      <c r="O43" s="1534"/>
      <c r="P43" s="1354"/>
      <c r="Q43" s="1354"/>
      <c r="R43" s="1535"/>
      <c r="S43" s="1530"/>
      <c r="T43" s="1531"/>
      <c r="U43" s="1356">
        <v>9.8617427910237421E-2</v>
      </c>
      <c r="V43" s="1506"/>
      <c r="W43" s="1506"/>
    </row>
    <row r="44" spans="1:42" ht="15">
      <c r="A44" s="1635"/>
      <c r="B44" s="1536"/>
      <c r="C44" s="1537"/>
      <c r="D44" s="1398"/>
      <c r="E44" s="1398"/>
      <c r="F44" s="1398"/>
      <c r="G44" s="1398"/>
      <c r="H44" s="1398"/>
      <c r="I44" s="1538"/>
      <c r="J44" s="1538"/>
      <c r="K44" s="1538"/>
      <c r="L44" s="1432"/>
      <c r="M44" s="1432"/>
      <c r="N44" s="1403"/>
      <c r="O44" s="1403"/>
      <c r="P44" s="1539"/>
      <c r="Q44" s="1298"/>
      <c r="R44" s="1298"/>
      <c r="S44" s="1398"/>
      <c r="T44" s="1398"/>
      <c r="U44" s="1398"/>
      <c r="V44" s="1298"/>
      <c r="W44" s="1298"/>
    </row>
    <row r="45" spans="1:42" ht="15">
      <c r="A45" s="1635"/>
      <c r="B45" s="1536"/>
      <c r="C45" s="1537"/>
      <c r="D45" s="1398"/>
      <c r="E45" s="1398"/>
      <c r="F45" s="1398"/>
      <c r="G45" s="1398"/>
      <c r="H45" s="1398"/>
      <c r="I45" s="1538"/>
      <c r="J45" s="1538"/>
      <c r="K45" s="1538"/>
      <c r="L45" s="1432"/>
      <c r="M45" s="1432"/>
      <c r="N45" s="1403"/>
      <c r="O45" s="1403"/>
      <c r="P45" s="1539"/>
      <c r="Q45" s="1298"/>
      <c r="R45" s="1298"/>
      <c r="S45" s="1398"/>
      <c r="T45" s="1398"/>
      <c r="U45" s="1398"/>
      <c r="V45" s="1298"/>
      <c r="W45" s="1298"/>
    </row>
    <row r="46" spans="1:42" ht="15">
      <c r="A46" s="1635"/>
      <c r="B46" s="1536"/>
      <c r="C46" s="1537"/>
      <c r="D46" s="1398"/>
      <c r="E46" s="1398"/>
      <c r="F46" s="1398"/>
      <c r="G46" s="1398"/>
      <c r="H46" s="1398"/>
      <c r="I46" s="1538"/>
      <c r="J46" s="1538"/>
      <c r="K46" s="1538"/>
      <c r="L46" s="1432"/>
      <c r="M46" s="1432"/>
      <c r="N46" s="1403"/>
      <c r="O46" s="1403"/>
      <c r="P46" s="1539"/>
      <c r="Q46" s="1298"/>
      <c r="R46" s="1298"/>
      <c r="S46" s="1398"/>
      <c r="T46" s="1398"/>
      <c r="U46" s="1398"/>
      <c r="V46" s="1298"/>
      <c r="W46" s="1298"/>
    </row>
    <row r="47" spans="1:42" ht="15">
      <c r="A47" s="1635"/>
      <c r="B47" s="1536"/>
      <c r="C47" s="1537"/>
      <c r="D47" s="1398"/>
      <c r="E47" s="1398"/>
      <c r="F47" s="1398"/>
      <c r="G47" s="1398"/>
      <c r="H47" s="1398"/>
      <c r="I47" s="1538"/>
      <c r="J47" s="1538"/>
      <c r="K47" s="1538"/>
      <c r="L47" s="1432"/>
      <c r="M47" s="1432"/>
      <c r="N47" s="1403"/>
      <c r="O47" s="1403"/>
      <c r="P47" s="1539"/>
      <c r="Q47" s="1298"/>
      <c r="R47" s="1298"/>
      <c r="S47" s="1398"/>
      <c r="T47" s="1398"/>
      <c r="U47" s="1398"/>
      <c r="V47" s="1298"/>
      <c r="W47" s="1298"/>
    </row>
    <row r="48" spans="1:42" ht="15">
      <c r="A48" s="1635"/>
      <c r="B48" s="1536"/>
      <c r="C48" s="1537"/>
      <c r="D48" s="1398"/>
      <c r="E48" s="1398"/>
      <c r="F48" s="1540"/>
      <c r="G48" s="1398"/>
      <c r="H48" s="1398"/>
      <c r="I48" s="1541"/>
      <c r="J48" s="1538"/>
      <c r="K48" s="1538"/>
      <c r="L48" s="1432"/>
      <c r="M48" s="1432"/>
      <c r="N48" s="1403"/>
      <c r="O48" s="1403"/>
      <c r="P48" s="1539"/>
      <c r="Q48" s="1298"/>
      <c r="R48" s="1298"/>
      <c r="S48" s="1540">
        <v>0.11648000000000001</v>
      </c>
      <c r="T48" s="1398"/>
      <c r="U48" s="1398"/>
      <c r="V48" s="1298"/>
      <c r="W48" s="1298"/>
    </row>
    <row r="49" spans="1:23" ht="15">
      <c r="A49" s="1635"/>
      <c r="B49" s="1536"/>
      <c r="C49" s="1537"/>
      <c r="D49" s="1398"/>
      <c r="E49" s="1398"/>
      <c r="F49" s="1398"/>
      <c r="G49" s="1398"/>
      <c r="H49" s="1398"/>
      <c r="I49" s="1538"/>
      <c r="J49" s="1538"/>
      <c r="K49" s="1538"/>
      <c r="L49" s="1432"/>
      <c r="M49" s="1432"/>
      <c r="N49" s="1403"/>
      <c r="O49" s="1403"/>
      <c r="P49" s="1539"/>
      <c r="Q49" s="1298"/>
      <c r="R49" s="1298"/>
      <c r="S49" s="1398"/>
      <c r="T49" s="1398"/>
      <c r="U49" s="1398"/>
      <c r="V49" s="1298"/>
      <c r="W49" s="1298"/>
    </row>
    <row r="50" spans="1:23" ht="15">
      <c r="A50" s="1635"/>
      <c r="B50" s="1536"/>
      <c r="C50" s="1537"/>
      <c r="D50" s="1398"/>
      <c r="E50" s="1398"/>
      <c r="F50" s="1398"/>
      <c r="G50" s="1398"/>
      <c r="H50" s="1398"/>
      <c r="I50" s="1538"/>
      <c r="J50" s="1538"/>
      <c r="K50" s="1538"/>
      <c r="L50" s="1432"/>
      <c r="M50" s="1432"/>
      <c r="N50" s="1403"/>
      <c r="O50" s="1403"/>
      <c r="P50" s="1539"/>
      <c r="Q50" s="1298"/>
      <c r="R50" s="1298"/>
      <c r="S50" s="1398"/>
      <c r="T50" s="1398"/>
      <c r="U50" s="1398"/>
      <c r="V50" s="1298"/>
      <c r="W50" s="1298"/>
    </row>
    <row r="51" spans="1:23" ht="15">
      <c r="A51" s="1635"/>
      <c r="B51" s="1536"/>
      <c r="C51" s="1537"/>
      <c r="D51" s="1398"/>
      <c r="E51" s="1398"/>
      <c r="F51" s="1398"/>
      <c r="G51" s="1398"/>
      <c r="H51" s="1398"/>
      <c r="I51" s="1538"/>
      <c r="J51" s="1538"/>
      <c r="K51" s="1538"/>
      <c r="L51" s="1432"/>
      <c r="M51" s="1432"/>
      <c r="N51" s="1403"/>
      <c r="O51" s="1403"/>
      <c r="P51" s="1539"/>
      <c r="Q51" s="1298"/>
      <c r="R51" s="1298"/>
      <c r="S51" s="1398"/>
      <c r="T51" s="1398"/>
      <c r="U51" s="1398"/>
      <c r="V51" s="1298"/>
      <c r="W51" s="1298"/>
    </row>
    <row r="52" spans="1:23" ht="15">
      <c r="A52" s="1635"/>
      <c r="B52" s="1536"/>
      <c r="C52" s="1537"/>
      <c r="D52" s="1398"/>
      <c r="E52" s="1398"/>
      <c r="F52" s="1398"/>
      <c r="G52" s="1398"/>
      <c r="H52" s="1398"/>
      <c r="I52" s="1538"/>
      <c r="J52" s="1538"/>
      <c r="K52" s="1538"/>
      <c r="L52" s="1432"/>
      <c r="M52" s="1432"/>
      <c r="N52" s="1403"/>
      <c r="O52" s="1403"/>
      <c r="P52" s="1539"/>
      <c r="Q52" s="1298"/>
      <c r="R52" s="1298"/>
      <c r="S52" s="1398"/>
      <c r="T52" s="1398"/>
      <c r="U52" s="1398"/>
      <c r="V52" s="1298"/>
      <c r="W52" s="1298"/>
    </row>
    <row r="53" spans="1:23" ht="15">
      <c r="A53" s="1635"/>
      <c r="B53" s="1536"/>
      <c r="C53" s="1537"/>
      <c r="D53" s="1398"/>
      <c r="E53" s="1398"/>
      <c r="F53" s="1398"/>
      <c r="G53" s="1398"/>
      <c r="H53" s="1398"/>
      <c r="I53" s="1538"/>
      <c r="J53" s="1538"/>
      <c r="K53" s="1538"/>
      <c r="L53" s="1432"/>
      <c r="M53" s="1432"/>
      <c r="N53" s="1403"/>
      <c r="O53" s="1403"/>
      <c r="P53" s="1539"/>
      <c r="Q53" s="1298"/>
      <c r="R53" s="1298"/>
      <c r="S53" s="1398"/>
      <c r="T53" s="1398"/>
      <c r="U53" s="1398"/>
      <c r="V53" s="1298"/>
      <c r="W53" s="1298"/>
    </row>
    <row r="54" spans="1:23" ht="15">
      <c r="A54" s="1635"/>
      <c r="B54" s="1536"/>
      <c r="C54" s="1537"/>
      <c r="D54" s="1398"/>
      <c r="E54" s="1398"/>
      <c r="F54" s="1398"/>
      <c r="G54" s="1398"/>
      <c r="H54" s="1398"/>
      <c r="I54" s="1538"/>
      <c r="J54" s="1538"/>
      <c r="K54" s="1538"/>
      <c r="L54" s="1432"/>
      <c r="M54" s="1432"/>
      <c r="N54" s="1403"/>
      <c r="O54" s="1403"/>
      <c r="P54" s="1539"/>
      <c r="Q54" s="1298"/>
      <c r="R54" s="1298"/>
      <c r="S54" s="1398"/>
      <c r="T54" s="1398"/>
      <c r="U54" s="1398"/>
      <c r="V54" s="1298"/>
      <c r="W54" s="1298"/>
    </row>
    <row r="55" spans="1:23" ht="15">
      <c r="A55" s="1635"/>
      <c r="B55" s="1536"/>
      <c r="C55" s="1537"/>
      <c r="D55" s="1398"/>
      <c r="E55" s="1398"/>
      <c r="F55" s="1398"/>
      <c r="G55" s="1398"/>
      <c r="H55" s="1398"/>
      <c r="I55" s="1538"/>
      <c r="J55" s="1538"/>
      <c r="K55" s="1538"/>
      <c r="L55" s="1432"/>
      <c r="M55" s="1432"/>
      <c r="N55" s="1403"/>
      <c r="O55" s="1403"/>
      <c r="P55" s="1539"/>
      <c r="Q55" s="1298"/>
      <c r="R55" s="1298"/>
      <c r="S55" s="1398"/>
      <c r="T55" s="1398"/>
      <c r="U55" s="1398"/>
      <c r="V55" s="1298"/>
      <c r="W55" s="1298"/>
    </row>
    <row r="56" spans="1:23" ht="15">
      <c r="A56" s="1635"/>
      <c r="B56" s="1536"/>
      <c r="C56" s="1537"/>
      <c r="D56" s="1398"/>
      <c r="E56" s="1398"/>
      <c r="F56" s="1398"/>
      <c r="G56" s="1398"/>
      <c r="H56" s="1398"/>
      <c r="I56" s="1538"/>
      <c r="J56" s="1538"/>
      <c r="K56" s="1538"/>
      <c r="L56" s="1432"/>
      <c r="M56" s="1432"/>
      <c r="N56" s="1403"/>
      <c r="O56" s="1403"/>
      <c r="P56" s="1539"/>
      <c r="Q56" s="1298"/>
      <c r="R56" s="1298"/>
      <c r="S56" s="1398"/>
      <c r="T56" s="1398"/>
      <c r="U56" s="1398"/>
      <c r="V56" s="1298"/>
      <c r="W56" s="1298"/>
    </row>
    <row r="57" spans="1:23" ht="15">
      <c r="A57" s="1635"/>
      <c r="B57" s="1536"/>
      <c r="C57" s="1537"/>
      <c r="D57" s="1398"/>
      <c r="E57" s="1398"/>
      <c r="F57" s="1398"/>
      <c r="G57" s="1398"/>
      <c r="H57" s="1398"/>
      <c r="I57" s="1538"/>
      <c r="J57" s="1538"/>
      <c r="K57" s="1538"/>
      <c r="L57" s="1432"/>
      <c r="M57" s="1432"/>
      <c r="N57" s="1403"/>
      <c r="O57" s="1403"/>
      <c r="P57" s="1539"/>
      <c r="Q57" s="1298"/>
      <c r="R57" s="1298"/>
      <c r="S57" s="1398"/>
      <c r="T57" s="1398"/>
      <c r="U57" s="1398"/>
      <c r="V57" s="1298"/>
      <c r="W57" s="1298"/>
    </row>
    <row r="58" spans="1:23" ht="15">
      <c r="A58" s="1635"/>
      <c r="B58" s="1536"/>
      <c r="C58" s="1537"/>
      <c r="D58" s="1398"/>
      <c r="E58" s="1398"/>
      <c r="F58" s="1398"/>
      <c r="G58" s="1398"/>
      <c r="H58" s="1398"/>
      <c r="I58" s="1538"/>
      <c r="J58" s="1538"/>
      <c r="K58" s="1538"/>
      <c r="L58" s="1432"/>
      <c r="M58" s="1432"/>
      <c r="N58" s="1403"/>
      <c r="O58" s="1403"/>
      <c r="P58" s="1539"/>
      <c r="Q58" s="1298"/>
      <c r="R58" s="1298"/>
      <c r="S58" s="1398"/>
      <c r="T58" s="1398"/>
      <c r="U58" s="1398"/>
      <c r="V58" s="1298"/>
      <c r="W58" s="1298"/>
    </row>
    <row r="59" spans="1:23" ht="15">
      <c r="A59" s="1635"/>
      <c r="B59" s="1536"/>
      <c r="C59" s="1537"/>
      <c r="D59" s="1398"/>
      <c r="E59" s="1398"/>
      <c r="F59" s="1398"/>
      <c r="G59" s="1398"/>
      <c r="H59" s="1398"/>
      <c r="I59" s="1538"/>
      <c r="J59" s="1538"/>
      <c r="K59" s="1538"/>
      <c r="L59" s="1432"/>
      <c r="M59" s="1432"/>
      <c r="N59" s="1403"/>
      <c r="O59" s="1403"/>
      <c r="P59" s="1539"/>
      <c r="Q59" s="1298"/>
      <c r="R59" s="1298"/>
      <c r="S59" s="1398"/>
      <c r="T59" s="1398"/>
      <c r="U59" s="1398"/>
      <c r="V59" s="1298"/>
      <c r="W59" s="1298"/>
    </row>
    <row r="60" spans="1:23" ht="15">
      <c r="A60" s="1635"/>
      <c r="B60" s="1536"/>
      <c r="C60" s="1537"/>
      <c r="D60" s="1398"/>
      <c r="E60" s="1398"/>
      <c r="F60" s="1398"/>
      <c r="G60" s="1398"/>
      <c r="H60" s="1398"/>
      <c r="I60" s="1538"/>
      <c r="J60" s="1538"/>
      <c r="K60" s="1538"/>
      <c r="L60" s="1432"/>
      <c r="M60" s="1432"/>
      <c r="N60" s="1403"/>
      <c r="O60" s="1403"/>
      <c r="P60" s="1539"/>
      <c r="Q60" s="1298"/>
      <c r="R60" s="1298"/>
      <c r="S60" s="1398"/>
      <c r="T60" s="1398"/>
      <c r="U60" s="1398"/>
      <c r="V60" s="1298"/>
      <c r="W60" s="1298"/>
    </row>
    <row r="61" spans="1:23" ht="15">
      <c r="A61" s="1635"/>
      <c r="B61" s="1536"/>
      <c r="C61" s="1537"/>
      <c r="D61" s="1398"/>
      <c r="E61" s="1398"/>
      <c r="F61" s="1398"/>
      <c r="G61" s="1398"/>
      <c r="H61" s="1398"/>
      <c r="I61" s="1538"/>
      <c r="J61" s="1538"/>
      <c r="K61" s="1538"/>
      <c r="L61" s="1432"/>
      <c r="M61" s="1432"/>
      <c r="N61" s="1403"/>
      <c r="O61" s="1403"/>
      <c r="P61" s="1539"/>
      <c r="Q61" s="1298"/>
      <c r="R61" s="1298"/>
      <c r="S61" s="1398"/>
      <c r="T61" s="1398"/>
      <c r="U61" s="1398"/>
      <c r="V61" s="1298"/>
      <c r="W61" s="1298"/>
    </row>
    <row r="62" spans="1:23" ht="15">
      <c r="A62" s="1635"/>
      <c r="B62" s="1536"/>
      <c r="C62" s="1537"/>
      <c r="D62" s="1398"/>
      <c r="E62" s="1398"/>
      <c r="F62" s="1398"/>
      <c r="G62" s="1398"/>
      <c r="H62" s="1398"/>
      <c r="I62" s="1538"/>
      <c r="J62" s="1538"/>
      <c r="K62" s="1538"/>
      <c r="L62" s="1432"/>
      <c r="M62" s="1432"/>
      <c r="N62" s="1403"/>
      <c r="O62" s="1403"/>
      <c r="P62" s="1539"/>
      <c r="Q62" s="1298"/>
      <c r="R62" s="1298"/>
      <c r="S62" s="1398"/>
      <c r="T62" s="1398"/>
      <c r="U62" s="1398"/>
      <c r="V62" s="1298"/>
      <c r="W62" s="1298"/>
    </row>
    <row r="63" spans="1:23" ht="55.5" customHeight="1">
      <c r="A63" s="1635"/>
      <c r="B63" s="1536"/>
      <c r="C63" s="1537"/>
      <c r="D63" s="1398"/>
      <c r="E63" s="1398"/>
      <c r="F63" s="1398"/>
      <c r="G63" s="1398"/>
      <c r="H63" s="1398"/>
      <c r="I63" s="1538"/>
      <c r="J63" s="1538"/>
      <c r="K63" s="1538"/>
      <c r="L63" s="1432"/>
      <c r="M63" s="1432"/>
      <c r="N63" s="1403"/>
      <c r="O63" s="1403"/>
      <c r="P63" s="1539"/>
      <c r="Q63" s="1298"/>
      <c r="R63" s="1298"/>
      <c r="S63" s="1398"/>
      <c r="T63" s="1398"/>
      <c r="U63" s="1398"/>
      <c r="V63" s="1298"/>
      <c r="W63" s="1298"/>
    </row>
    <row r="64" spans="1:23" ht="15">
      <c r="A64" s="1635"/>
      <c r="B64" s="1536"/>
      <c r="C64" s="1537"/>
      <c r="D64" s="1398"/>
      <c r="E64" s="1398"/>
      <c r="F64" s="1398"/>
      <c r="G64" s="1398"/>
      <c r="H64" s="1398"/>
      <c r="I64" s="1538"/>
      <c r="J64" s="1538"/>
      <c r="K64" s="1538"/>
      <c r="L64" s="1432"/>
      <c r="M64" s="1432"/>
      <c r="N64" s="1403"/>
      <c r="O64" s="1403"/>
      <c r="P64" s="1539"/>
      <c r="Q64" s="1298"/>
      <c r="R64" s="1298"/>
      <c r="S64" s="1398"/>
      <c r="T64" s="1398"/>
      <c r="U64" s="1398"/>
      <c r="V64" s="1298"/>
      <c r="W64" s="1298"/>
    </row>
    <row r="65" spans="1:23" ht="15">
      <c r="A65" s="1635"/>
      <c r="B65" s="1536"/>
      <c r="C65" s="1537"/>
      <c r="D65" s="1398"/>
      <c r="E65" s="1398"/>
      <c r="F65" s="1398"/>
      <c r="G65" s="1398"/>
      <c r="H65" s="1398"/>
      <c r="I65" s="1538"/>
      <c r="J65" s="1538"/>
      <c r="K65" s="1538"/>
      <c r="L65" s="1432"/>
      <c r="M65" s="1432"/>
      <c r="N65" s="1403"/>
      <c r="O65" s="1403"/>
      <c r="P65" s="1539"/>
      <c r="Q65" s="1298"/>
      <c r="R65" s="1298"/>
      <c r="S65" s="1398"/>
      <c r="T65" s="1398"/>
      <c r="U65" s="1398"/>
      <c r="V65" s="1298"/>
      <c r="W65" s="1298"/>
    </row>
    <row r="66" spans="1:23" ht="15">
      <c r="A66" s="1635"/>
      <c r="B66" s="1536"/>
      <c r="C66" s="1537"/>
      <c r="D66" s="1398"/>
      <c r="E66" s="1398"/>
      <c r="F66" s="1398"/>
      <c r="G66" s="1398"/>
      <c r="H66" s="1398"/>
      <c r="I66" s="1538"/>
      <c r="J66" s="1538"/>
      <c r="K66" s="1538"/>
      <c r="L66" s="1432"/>
      <c r="M66" s="1432"/>
      <c r="N66" s="1403"/>
      <c r="O66" s="1403"/>
      <c r="P66" s="1539"/>
      <c r="Q66" s="1298"/>
      <c r="R66" s="1298"/>
      <c r="S66" s="1398"/>
      <c r="T66" s="1398"/>
      <c r="U66" s="1398"/>
      <c r="V66" s="1298"/>
      <c r="W66" s="1298"/>
    </row>
    <row r="67" spans="1:23" ht="15">
      <c r="A67" s="1635"/>
      <c r="B67" s="1536"/>
      <c r="C67" s="1537"/>
      <c r="D67" s="1398"/>
      <c r="E67" s="1398"/>
      <c r="F67" s="1398"/>
      <c r="G67" s="1398"/>
      <c r="H67" s="1398"/>
      <c r="I67" s="1538"/>
      <c r="J67" s="1538"/>
      <c r="K67" s="1538"/>
      <c r="L67" s="1432"/>
      <c r="M67" s="1432"/>
      <c r="N67" s="1403"/>
      <c r="O67" s="1403"/>
      <c r="P67" s="1539"/>
      <c r="Q67" s="1298"/>
      <c r="R67" s="1298"/>
      <c r="S67" s="1398"/>
      <c r="T67" s="1398"/>
      <c r="U67" s="1398"/>
      <c r="V67" s="1298"/>
      <c r="W67" s="1298"/>
    </row>
    <row r="68" spans="1:23" ht="15">
      <c r="A68" s="1635"/>
      <c r="B68" s="1536"/>
      <c r="C68" s="1537"/>
      <c r="D68" s="1398"/>
      <c r="E68" s="1398"/>
      <c r="F68" s="1398"/>
      <c r="G68" s="1398"/>
      <c r="H68" s="1398"/>
      <c r="I68" s="1538"/>
      <c r="J68" s="1538"/>
      <c r="K68" s="1538"/>
      <c r="L68" s="1432"/>
      <c r="M68" s="1432"/>
      <c r="N68" s="1403"/>
      <c r="O68" s="1403"/>
      <c r="P68" s="1539"/>
      <c r="Q68" s="1298"/>
      <c r="R68" s="1298"/>
      <c r="S68" s="1398"/>
      <c r="T68" s="1398"/>
      <c r="U68" s="1398"/>
      <c r="V68" s="1298"/>
      <c r="W68" s="1298"/>
    </row>
    <row r="69" spans="1:23" ht="15">
      <c r="A69" s="1635"/>
      <c r="B69" s="1536"/>
      <c r="C69" s="1537"/>
      <c r="D69" s="1398"/>
      <c r="E69" s="1398"/>
      <c r="F69" s="1398"/>
      <c r="G69" s="1398"/>
      <c r="H69" s="1398"/>
      <c r="I69" s="1538"/>
      <c r="J69" s="1538"/>
      <c r="K69" s="1538"/>
      <c r="L69" s="1432"/>
      <c r="M69" s="1432"/>
      <c r="N69" s="1403"/>
      <c r="O69" s="1403"/>
      <c r="P69" s="1539"/>
      <c r="Q69" s="1298"/>
      <c r="R69" s="1298"/>
      <c r="S69" s="1398"/>
      <c r="T69" s="1398"/>
      <c r="U69" s="1398"/>
      <c r="V69" s="1298"/>
      <c r="W69" s="1298"/>
    </row>
    <row r="70" spans="1:23" ht="15">
      <c r="A70" s="1635"/>
      <c r="B70" s="1536"/>
      <c r="C70" s="1537"/>
      <c r="D70" s="1398"/>
      <c r="E70" s="1398"/>
      <c r="F70" s="1398"/>
      <c r="G70" s="1398"/>
      <c r="H70" s="1398"/>
      <c r="I70" s="1538"/>
      <c r="J70" s="1538"/>
      <c r="K70" s="1538"/>
      <c r="L70" s="1432"/>
      <c r="M70" s="1432"/>
      <c r="N70" s="1403"/>
      <c r="O70" s="1403"/>
      <c r="P70" s="1539"/>
      <c r="Q70" s="1298"/>
      <c r="R70" s="1298"/>
      <c r="S70" s="1398"/>
      <c r="T70" s="1398"/>
      <c r="U70" s="1398"/>
      <c r="V70" s="1298"/>
      <c r="W70" s="1298"/>
    </row>
    <row r="71" spans="1:23" ht="15">
      <c r="A71" s="1635"/>
      <c r="B71" s="1536"/>
      <c r="C71" s="1537"/>
      <c r="D71" s="1398"/>
      <c r="E71" s="1398"/>
      <c r="F71" s="1398"/>
      <c r="G71" s="1398"/>
      <c r="H71" s="1398"/>
      <c r="I71" s="1538"/>
      <c r="J71" s="1538"/>
      <c r="K71" s="1538"/>
      <c r="L71" s="1432"/>
      <c r="M71" s="1432"/>
      <c r="N71" s="1403"/>
      <c r="O71" s="1403"/>
      <c r="P71" s="1539"/>
      <c r="Q71" s="1298"/>
      <c r="R71" s="1298"/>
      <c r="S71" s="1398"/>
      <c r="T71" s="1398"/>
      <c r="U71" s="1398"/>
      <c r="V71" s="1298"/>
      <c r="W71" s="1298"/>
    </row>
    <row r="72" spans="1:23" ht="15">
      <c r="A72" s="1635"/>
      <c r="B72" s="1536"/>
      <c r="C72" s="1537"/>
      <c r="D72" s="1398"/>
      <c r="E72" s="1398"/>
      <c r="F72" s="1398"/>
      <c r="G72" s="1398"/>
      <c r="H72" s="1398"/>
      <c r="I72" s="1538"/>
      <c r="J72" s="1538"/>
      <c r="K72" s="1538"/>
      <c r="L72" s="1432"/>
      <c r="M72" s="1432"/>
      <c r="N72" s="1403"/>
      <c r="O72" s="1403"/>
      <c r="P72" s="1539"/>
      <c r="Q72" s="1298"/>
      <c r="R72" s="1298"/>
      <c r="S72" s="1398"/>
      <c r="T72" s="1398"/>
      <c r="U72" s="1398"/>
      <c r="V72" s="1298"/>
      <c r="W72" s="1298"/>
    </row>
    <row r="73" spans="1:23" ht="63">
      <c r="A73" s="1635"/>
      <c r="B73" s="1536"/>
      <c r="C73" s="1537"/>
      <c r="D73" s="1398"/>
      <c r="E73" s="1398"/>
      <c r="F73" s="1398"/>
      <c r="G73" s="1398"/>
      <c r="H73" s="1398"/>
      <c r="I73" s="1538"/>
      <c r="J73" s="1538"/>
      <c r="K73" s="1538"/>
      <c r="L73" s="1542"/>
      <c r="M73" s="1542"/>
      <c r="N73" s="1543">
        <v>188.89063519065868</v>
      </c>
      <c r="O73" s="1542" t="s">
        <v>1591</v>
      </c>
      <c r="P73" s="1543">
        <v>16.381804667766666</v>
      </c>
      <c r="Q73" s="1298"/>
      <c r="R73" s="1298"/>
      <c r="S73" s="1398"/>
      <c r="T73" s="1398"/>
      <c r="U73" s="1398"/>
      <c r="V73" s="1298"/>
      <c r="W73" s="1298"/>
    </row>
    <row r="74" spans="1:23" ht="21">
      <c r="A74" s="1635"/>
      <c r="B74" s="1536"/>
      <c r="C74" s="1537"/>
      <c r="D74" s="1398"/>
      <c r="E74" s="1398"/>
      <c r="F74" s="1398"/>
      <c r="G74" s="1398"/>
      <c r="H74" s="1398"/>
      <c r="I74" s="1538"/>
      <c r="J74" s="1538"/>
      <c r="K74" s="1538"/>
      <c r="L74" s="1542"/>
      <c r="M74" s="1542"/>
      <c r="N74" s="1543">
        <v>188.89063519065868</v>
      </c>
      <c r="O74" s="1542" t="e">
        <v>#REF!</v>
      </c>
      <c r="P74" s="1543">
        <v>-8.5671583322333333</v>
      </c>
      <c r="Q74" s="1298"/>
      <c r="R74" s="1298"/>
      <c r="S74" s="1398"/>
      <c r="T74" s="1398"/>
      <c r="U74" s="1398"/>
      <c r="V74" s="1298"/>
      <c r="W74" s="1298"/>
    </row>
    <row r="75" spans="1:23" ht="21">
      <c r="L75" s="1544"/>
      <c r="M75" s="1544"/>
      <c r="N75" s="1545">
        <v>6.2065779880723007</v>
      </c>
    </row>
    <row r="76" spans="1:23" ht="21">
      <c r="L76" s="1544"/>
      <c r="M76" s="1544"/>
      <c r="N76" s="1545">
        <v>5.8529163953619294</v>
      </c>
    </row>
    <row r="77" spans="1:23" ht="21">
      <c r="L77" s="1544"/>
      <c r="M77" s="1544"/>
      <c r="N77" s="1545">
        <v>12.059494383434231</v>
      </c>
    </row>
    <row r="78" spans="1:23" ht="21">
      <c r="G78" s="1399">
        <v>1</v>
      </c>
      <c r="J78" s="1401">
        <v>1</v>
      </c>
      <c r="L78" s="1544"/>
      <c r="M78" s="1544"/>
      <c r="N78" s="1545">
        <v>0.45675334977257143</v>
      </c>
      <c r="T78" s="1399">
        <v>1</v>
      </c>
    </row>
    <row r="79" spans="1:23" ht="21">
      <c r="H79" s="1546">
        <v>0.1</v>
      </c>
      <c r="K79" s="1547">
        <v>0.1</v>
      </c>
      <c r="L79" s="1544"/>
      <c r="M79" s="1544"/>
      <c r="N79" s="1545">
        <v>12.516247733206802</v>
      </c>
      <c r="P79" s="1299" t="s">
        <v>1592</v>
      </c>
      <c r="Q79" s="1299" t="s">
        <v>1593</v>
      </c>
      <c r="R79" s="1548">
        <v>0.4</v>
      </c>
      <c r="U79" s="1546">
        <v>0.1</v>
      </c>
    </row>
    <row r="80" spans="1:23" ht="21">
      <c r="F80" s="607">
        <v>0</v>
      </c>
      <c r="G80" s="607">
        <v>0</v>
      </c>
      <c r="H80" s="607">
        <v>0</v>
      </c>
      <c r="I80" s="1357">
        <v>0</v>
      </c>
      <c r="J80" s="1357">
        <v>0</v>
      </c>
      <c r="K80" s="1357">
        <v>0</v>
      </c>
      <c r="L80" s="1544"/>
      <c r="M80" s="1544"/>
      <c r="N80" s="1545">
        <v>0</v>
      </c>
      <c r="P80" s="1311">
        <v>0.3</v>
      </c>
      <c r="Q80" s="607" t="s">
        <v>1594</v>
      </c>
      <c r="R80" s="607">
        <v>1.4471393260121077</v>
      </c>
      <c r="S80" s="607">
        <v>0</v>
      </c>
      <c r="T80" s="607">
        <v>1.4471393260121077</v>
      </c>
      <c r="U80" s="607">
        <v>7.2356966300605383E-2</v>
      </c>
      <c r="V80" s="607">
        <v>1.5194962923127131</v>
      </c>
    </row>
    <row r="81" spans="3:23" ht="30">
      <c r="C81" s="1299"/>
      <c r="D81" s="1299"/>
      <c r="E81" s="1299"/>
      <c r="F81" s="607">
        <v>0</v>
      </c>
      <c r="G81" s="607">
        <v>0</v>
      </c>
      <c r="H81" s="607">
        <v>0</v>
      </c>
      <c r="I81" s="1357">
        <v>0</v>
      </c>
      <c r="J81" s="1357">
        <v>0</v>
      </c>
      <c r="K81" s="1357">
        <v>0</v>
      </c>
      <c r="L81" s="1549"/>
      <c r="M81" s="1549"/>
      <c r="N81" s="1545">
        <v>12.516247733206802</v>
      </c>
      <c r="P81" s="1311">
        <v>0.52499999999999991</v>
      </c>
      <c r="Q81" s="1312" t="s">
        <v>1595</v>
      </c>
      <c r="R81" s="607">
        <v>2.532493820521188</v>
      </c>
      <c r="S81" s="607">
        <v>0</v>
      </c>
      <c r="T81" s="607">
        <v>2.532493820521188</v>
      </c>
      <c r="U81" s="607">
        <v>0.13566931181363509</v>
      </c>
      <c r="V81" s="607">
        <v>2.6681631323348229</v>
      </c>
    </row>
    <row r="82" spans="3:23" ht="15">
      <c r="C82" s="1299"/>
      <c r="D82" s="1299"/>
      <c r="E82" s="1299"/>
      <c r="F82" s="607">
        <v>0</v>
      </c>
      <c r="G82" s="607">
        <v>0</v>
      </c>
      <c r="H82" s="607">
        <v>0</v>
      </c>
      <c r="I82" s="1357">
        <v>0</v>
      </c>
      <c r="J82" s="1357">
        <v>0</v>
      </c>
      <c r="K82" s="1357">
        <v>0</v>
      </c>
      <c r="P82" s="1313">
        <v>0.17499999999999999</v>
      </c>
      <c r="Q82" s="607" t="s">
        <v>180</v>
      </c>
      <c r="R82" s="607">
        <v>0.84416460684039607</v>
      </c>
      <c r="S82" s="607">
        <v>0</v>
      </c>
      <c r="T82" s="607">
        <v>0.84416460684039607</v>
      </c>
      <c r="U82" s="607">
        <v>0</v>
      </c>
      <c r="V82" s="607">
        <v>0.84416460684039607</v>
      </c>
    </row>
    <row r="83" spans="3:23" ht="21">
      <c r="C83" s="1299"/>
      <c r="D83" s="1299"/>
      <c r="E83" s="1299"/>
      <c r="F83" s="607">
        <v>0</v>
      </c>
      <c r="G83" s="607">
        <v>0</v>
      </c>
      <c r="H83" s="607">
        <v>0</v>
      </c>
      <c r="I83" s="1357">
        <v>0</v>
      </c>
      <c r="J83" s="1357">
        <v>0</v>
      </c>
      <c r="K83" s="1357">
        <v>0</v>
      </c>
      <c r="L83" s="1544"/>
      <c r="M83" s="1544"/>
      <c r="N83" s="1545">
        <v>175.04477135201657</v>
      </c>
      <c r="P83" s="1313">
        <v>1</v>
      </c>
      <c r="Q83" s="607" t="s">
        <v>72</v>
      </c>
      <c r="R83" s="607">
        <v>4.8237977533736913</v>
      </c>
      <c r="S83" s="607">
        <v>0</v>
      </c>
      <c r="T83" s="607">
        <v>4.8237977533736913</v>
      </c>
      <c r="U83" s="607">
        <v>0.20802627811424046</v>
      </c>
      <c r="V83" s="607">
        <v>5.0318240314879317</v>
      </c>
    </row>
    <row r="84" spans="3:23" ht="21">
      <c r="C84" s="1299"/>
      <c r="D84" s="1299"/>
      <c r="E84" s="1299"/>
      <c r="L84" s="1544"/>
      <c r="M84" s="1544"/>
      <c r="N84" s="1550">
        <v>-0.92849687747578291</v>
      </c>
    </row>
    <row r="86" spans="3:23">
      <c r="C86" s="1299"/>
      <c r="D86" s="1299"/>
      <c r="E86" s="1299"/>
      <c r="V86" s="1551"/>
    </row>
    <row r="87" spans="3:23">
      <c r="C87" s="1299"/>
      <c r="D87" s="1299"/>
      <c r="E87" s="1299"/>
      <c r="V87" s="1552"/>
    </row>
    <row r="88" spans="3:23">
      <c r="C88" s="1299"/>
      <c r="D88" s="1299"/>
      <c r="E88" s="1299"/>
      <c r="H88" s="1553">
        <v>0.1</v>
      </c>
      <c r="K88" s="1554">
        <v>0.1</v>
      </c>
      <c r="P88" s="1299" t="s">
        <v>1596</v>
      </c>
      <c r="Q88" s="1299" t="s">
        <v>1597</v>
      </c>
      <c r="R88" s="1548">
        <v>0.6</v>
      </c>
      <c r="U88" s="1553">
        <v>0.1</v>
      </c>
      <c r="W88" s="1299">
        <v>175.05</v>
      </c>
    </row>
    <row r="89" spans="3:23" ht="15">
      <c r="C89" s="1299"/>
      <c r="D89" s="1299"/>
      <c r="E89" s="1299"/>
      <c r="F89" s="607">
        <v>0</v>
      </c>
      <c r="G89" s="607">
        <v>0</v>
      </c>
      <c r="H89" s="607">
        <v>0</v>
      </c>
      <c r="I89" s="1357">
        <v>0</v>
      </c>
      <c r="J89" s="1357">
        <v>0</v>
      </c>
      <c r="K89" s="1357">
        <v>0</v>
      </c>
      <c r="P89" s="1311">
        <v>0.82499999999999996</v>
      </c>
      <c r="Q89" s="607" t="s">
        <v>1594</v>
      </c>
      <c r="R89" s="607">
        <v>5.9694497197999432</v>
      </c>
      <c r="S89" s="607">
        <v>0</v>
      </c>
      <c r="T89" s="607">
        <v>5.9694497197999432</v>
      </c>
      <c r="U89" s="607">
        <v>0.24872707165833097</v>
      </c>
      <c r="V89" s="607">
        <v>6.2181767914582746</v>
      </c>
      <c r="W89" s="1555">
        <v>-1</v>
      </c>
    </row>
    <row r="90" spans="3:23" ht="15">
      <c r="C90" s="1299"/>
      <c r="D90" s="1299"/>
      <c r="E90" s="1299"/>
      <c r="F90" s="607">
        <v>0</v>
      </c>
      <c r="G90" s="607">
        <v>0</v>
      </c>
      <c r="H90" s="607">
        <v>0</v>
      </c>
      <c r="I90" s="1357">
        <v>0</v>
      </c>
      <c r="J90" s="1357">
        <v>0</v>
      </c>
      <c r="K90" s="1357">
        <v>0</v>
      </c>
      <c r="P90" s="1311"/>
      <c r="Q90" s="607" t="s">
        <v>1598</v>
      </c>
      <c r="R90" s="607">
        <v>0</v>
      </c>
      <c r="S90" s="607">
        <v>0</v>
      </c>
      <c r="T90" s="607">
        <v>0</v>
      </c>
      <c r="U90" s="607">
        <v>0</v>
      </c>
      <c r="V90" s="607">
        <v>0</v>
      </c>
    </row>
    <row r="91" spans="3:23" ht="15">
      <c r="C91" s="1299"/>
      <c r="D91" s="1299"/>
      <c r="E91" s="1299"/>
      <c r="F91" s="607">
        <v>0</v>
      </c>
      <c r="G91" s="607">
        <v>0</v>
      </c>
      <c r="H91" s="607">
        <v>0</v>
      </c>
      <c r="I91" s="1357">
        <v>0</v>
      </c>
      <c r="J91" s="1357">
        <v>0</v>
      </c>
      <c r="K91" s="1357">
        <v>0</v>
      </c>
      <c r="P91" s="1313">
        <v>0.17499999999999999</v>
      </c>
      <c r="Q91" s="607" t="s">
        <v>180</v>
      </c>
      <c r="R91" s="607">
        <v>1.266246910260594</v>
      </c>
      <c r="S91" s="607">
        <v>0</v>
      </c>
      <c r="T91" s="607">
        <v>1.266246910260594</v>
      </c>
      <c r="U91" s="607">
        <v>0</v>
      </c>
      <c r="V91" s="607">
        <v>1.266246910260594</v>
      </c>
    </row>
    <row r="92" spans="3:23" ht="15">
      <c r="C92" s="1299"/>
      <c r="D92" s="1299"/>
      <c r="E92" s="1299"/>
      <c r="F92" s="607">
        <v>0</v>
      </c>
      <c r="G92" s="607">
        <v>0</v>
      </c>
      <c r="H92" s="607">
        <v>0</v>
      </c>
      <c r="I92" s="1357">
        <v>0</v>
      </c>
      <c r="J92" s="1357">
        <v>0</v>
      </c>
      <c r="K92" s="1357">
        <v>0</v>
      </c>
      <c r="P92" s="1313">
        <v>1</v>
      </c>
      <c r="Q92" s="607" t="s">
        <v>72</v>
      </c>
      <c r="R92" s="607">
        <v>7.235696630060537</v>
      </c>
      <c r="S92" s="607">
        <v>0</v>
      </c>
      <c r="T92" s="607">
        <v>7.235696630060537</v>
      </c>
      <c r="U92" s="607">
        <v>0.24872707165833097</v>
      </c>
      <c r="V92" s="607">
        <v>7.4844237017188684</v>
      </c>
    </row>
    <row r="93" spans="3:23">
      <c r="C93" s="1299"/>
      <c r="D93" s="1299"/>
      <c r="E93" s="1299"/>
      <c r="V93" s="1556">
        <v>12.5162477332068</v>
      </c>
    </row>
    <row r="95" spans="3:23" ht="15">
      <c r="C95" s="1299"/>
      <c r="D95" s="1299"/>
      <c r="E95" s="1299"/>
      <c r="F95" s="607"/>
      <c r="G95" s="607"/>
      <c r="H95" s="607"/>
      <c r="I95" s="1357"/>
      <c r="J95" s="1357"/>
      <c r="K95" s="1357"/>
      <c r="P95" s="605"/>
      <c r="Q95" s="607" t="s">
        <v>868</v>
      </c>
      <c r="R95" s="607"/>
      <c r="S95" s="607"/>
      <c r="T95" s="607"/>
      <c r="U95" s="607"/>
      <c r="V95" s="607">
        <v>0</v>
      </c>
    </row>
    <row r="96" spans="3:23" ht="15">
      <c r="C96" s="1299"/>
      <c r="D96" s="1299"/>
      <c r="E96" s="1299"/>
      <c r="F96" s="607"/>
      <c r="G96" s="607"/>
      <c r="H96" s="607"/>
      <c r="I96" s="1357"/>
      <c r="J96" s="1357"/>
      <c r="K96" s="1357"/>
      <c r="P96" s="605"/>
      <c r="Q96" s="607" t="s">
        <v>1599</v>
      </c>
      <c r="R96" s="607"/>
      <c r="S96" s="607"/>
      <c r="T96" s="607"/>
      <c r="U96" s="607"/>
      <c r="V96" s="607">
        <v>12.5162477332068</v>
      </c>
    </row>
  </sheetData>
  <mergeCells count="18">
    <mergeCell ref="A15:A18"/>
    <mergeCell ref="B15:B18"/>
    <mergeCell ref="A7:U7"/>
    <mergeCell ref="A8:U8"/>
    <mergeCell ref="A9:U9"/>
    <mergeCell ref="A10:U10"/>
    <mergeCell ref="A11:U11"/>
    <mergeCell ref="A12:U12"/>
    <mergeCell ref="C15:E17"/>
    <mergeCell ref="L16:R16"/>
    <mergeCell ref="F16:H17"/>
    <mergeCell ref="F15:U15"/>
    <mergeCell ref="S16:U17"/>
    <mergeCell ref="L17:M17"/>
    <mergeCell ref="N17:O17"/>
    <mergeCell ref="Q17:Q18"/>
    <mergeCell ref="R17:R18"/>
    <mergeCell ref="I16:K17"/>
  </mergeCells>
  <printOptions horizontalCentered="1"/>
  <pageMargins left="0.118110236220472" right="0.118110236220472" top="0.49803149600000002" bottom="0.10433070899999999" header="0.31496062992126" footer="0.31496062992126"/>
  <pageSetup paperSize="8"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CB276"/>
  <sheetViews>
    <sheetView workbookViewId="0">
      <selection activeCell="M17" sqref="M17"/>
    </sheetView>
  </sheetViews>
  <sheetFormatPr defaultRowHeight="15"/>
  <cols>
    <col min="1" max="1" width="4.08984375" customWidth="1"/>
    <col min="2" max="2" width="16.08984375" customWidth="1"/>
    <col min="3" max="3" width="10.81640625" customWidth="1"/>
    <col min="4" max="5" width="10" customWidth="1"/>
    <col min="6" max="6" width="10.81640625" customWidth="1"/>
    <col min="7" max="7" width="10.90625" customWidth="1"/>
    <col min="8" max="9" width="10.08984375" customWidth="1"/>
    <col min="10" max="10" width="10.90625" customWidth="1"/>
    <col min="11" max="17" width="8.90625" customWidth="1"/>
    <col min="66" max="66" width="12.36328125" customWidth="1"/>
    <col min="67" max="67" width="9.90625" customWidth="1"/>
    <col min="68" max="68" width="10.36328125" customWidth="1"/>
    <col min="69" max="69" width="10.08984375" customWidth="1"/>
    <col min="70" max="70" width="15.08984375" customWidth="1"/>
    <col min="71" max="71" width="14.453125" customWidth="1"/>
  </cols>
  <sheetData>
    <row r="1" spans="2:71" ht="18" customHeight="1"/>
    <row r="2" spans="2:71" ht="23.25" customHeight="1" thickBot="1">
      <c r="C2" s="1153" t="s">
        <v>1456</v>
      </c>
    </row>
    <row r="3" spans="2:71" s="33" customFormat="1" ht="16.2" thickBot="1">
      <c r="C3" s="1656" t="s">
        <v>1080</v>
      </c>
      <c r="D3" s="1657"/>
      <c r="E3" s="1657"/>
      <c r="F3" s="1658"/>
      <c r="G3" s="1659" t="s">
        <v>1081</v>
      </c>
      <c r="H3" s="1660"/>
      <c r="I3" s="1660"/>
      <c r="J3" s="1661"/>
      <c r="BP3" s="1154"/>
    </row>
    <row r="4" spans="2:71" s="1163" customFormat="1" ht="60" customHeight="1" thickBot="1">
      <c r="B4" s="1155" t="s">
        <v>1082</v>
      </c>
      <c r="C4" s="1156" t="s">
        <v>1542</v>
      </c>
      <c r="D4" s="1157" t="s">
        <v>1083</v>
      </c>
      <c r="E4" s="1156" t="s">
        <v>1084</v>
      </c>
      <c r="F4" s="1158" t="s">
        <v>1085</v>
      </c>
      <c r="G4" s="1159" t="s">
        <v>1516</v>
      </c>
      <c r="H4" s="1160" t="s">
        <v>1083</v>
      </c>
      <c r="I4" s="1160" t="str">
        <f>E4</f>
        <v>Coal  Blend II (Stamp)</v>
      </c>
      <c r="J4" s="1161" t="s">
        <v>1085</v>
      </c>
      <c r="K4" s="671" t="s">
        <v>1517</v>
      </c>
      <c r="L4" s="671" t="s">
        <v>1518</v>
      </c>
      <c r="M4" s="671" t="s">
        <v>1519</v>
      </c>
      <c r="N4" s="671" t="s">
        <v>892</v>
      </c>
      <c r="O4" s="671" t="s">
        <v>893</v>
      </c>
      <c r="P4" s="671" t="s">
        <v>894</v>
      </c>
      <c r="Q4" s="671" t="s">
        <v>895</v>
      </c>
      <c r="R4" s="671" t="s">
        <v>896</v>
      </c>
      <c r="S4" s="671" t="s">
        <v>904</v>
      </c>
      <c r="T4" s="671" t="s">
        <v>905</v>
      </c>
      <c r="U4" s="671" t="s">
        <v>906</v>
      </c>
      <c r="V4" s="671" t="s">
        <v>907</v>
      </c>
      <c r="W4" s="671" t="s">
        <v>908</v>
      </c>
      <c r="X4" s="671" t="s">
        <v>909</v>
      </c>
      <c r="Y4" s="671" t="s">
        <v>910</v>
      </c>
      <c r="Z4" s="671" t="s">
        <v>911</v>
      </c>
      <c r="AA4" s="671" t="s">
        <v>1520</v>
      </c>
      <c r="AB4" s="671" t="s">
        <v>1521</v>
      </c>
      <c r="AC4" s="671" t="s">
        <v>1522</v>
      </c>
      <c r="AD4" s="671" t="s">
        <v>1523</v>
      </c>
      <c r="AE4" s="671" t="s">
        <v>1524</v>
      </c>
      <c r="AF4" s="671" t="s">
        <v>1525</v>
      </c>
      <c r="AG4" s="671" t="s">
        <v>1526</v>
      </c>
      <c r="AH4" s="671" t="s">
        <v>1527</v>
      </c>
      <c r="AI4" s="671" t="s">
        <v>1528</v>
      </c>
      <c r="AJ4" s="671" t="s">
        <v>1529</v>
      </c>
      <c r="AK4" s="671" t="s">
        <v>1530</v>
      </c>
      <c r="AL4" s="671" t="s">
        <v>1531</v>
      </c>
      <c r="AM4" s="671" t="s">
        <v>1532</v>
      </c>
      <c r="AN4" s="671" t="s">
        <v>1533</v>
      </c>
      <c r="AO4" s="671" t="s">
        <v>1534</v>
      </c>
      <c r="AP4" s="671" t="s">
        <v>1535</v>
      </c>
      <c r="AQ4" s="671" t="s">
        <v>1536</v>
      </c>
      <c r="AR4" s="671" t="s">
        <v>913</v>
      </c>
      <c r="AS4" s="671" t="s">
        <v>914</v>
      </c>
      <c r="AT4" s="671" t="s">
        <v>915</v>
      </c>
      <c r="AU4" s="671" t="s">
        <v>916</v>
      </c>
      <c r="AV4" s="671" t="s">
        <v>1537</v>
      </c>
      <c r="AW4" s="671" t="s">
        <v>917</v>
      </c>
      <c r="AX4" s="671" t="s">
        <v>918</v>
      </c>
      <c r="AY4" s="671" t="s">
        <v>919</v>
      </c>
      <c r="AZ4" s="671" t="s">
        <v>920</v>
      </c>
      <c r="BA4" s="671" t="s">
        <v>921</v>
      </c>
      <c r="BB4" s="671" t="s">
        <v>922</v>
      </c>
      <c r="BC4" s="671" t="s">
        <v>1538</v>
      </c>
      <c r="BD4" s="671" t="s">
        <v>1539</v>
      </c>
      <c r="BE4" s="671" t="s">
        <v>1540</v>
      </c>
      <c r="BF4" s="671" t="s">
        <v>1541</v>
      </c>
      <c r="BN4" s="1162"/>
      <c r="BO4" s="1162"/>
      <c r="BP4" s="1162"/>
      <c r="BQ4" s="1162"/>
      <c r="BR4" s="1162"/>
      <c r="BS4" s="1162"/>
    </row>
    <row r="5" spans="2:71" s="33" customFormat="1" ht="19.5" customHeight="1">
      <c r="B5" s="352" t="s">
        <v>1099</v>
      </c>
      <c r="C5" s="1277">
        <f>AVERAGE(K5:BF5)*'Report '!K7</f>
        <v>14904.727875584345</v>
      </c>
      <c r="D5" s="1228">
        <v>0.21</v>
      </c>
      <c r="E5" s="1234">
        <v>0.21</v>
      </c>
      <c r="F5" s="1164">
        <v>0.42899999999999999</v>
      </c>
      <c r="G5" s="1279">
        <f>AVERAGE(AU5:BF5)*'Report '!K7</f>
        <v>11764.61</v>
      </c>
      <c r="H5" s="1233">
        <f>D5</f>
        <v>0.21</v>
      </c>
      <c r="I5" s="1233">
        <f>E5</f>
        <v>0.21</v>
      </c>
      <c r="J5" s="1165">
        <f>F5</f>
        <v>0.42899999999999999</v>
      </c>
      <c r="K5" s="1269">
        <v>13285</v>
      </c>
      <c r="L5" s="1269">
        <v>14218</v>
      </c>
      <c r="M5" s="1269">
        <v>15269</v>
      </c>
      <c r="N5" s="1269">
        <v>16094</v>
      </c>
      <c r="O5" s="1269">
        <v>14875</v>
      </c>
      <c r="P5" s="1269">
        <v>15383</v>
      </c>
      <c r="Q5" s="1269">
        <v>18280</v>
      </c>
      <c r="R5" s="1269">
        <v>18135</v>
      </c>
      <c r="S5" s="1273">
        <v>18082</v>
      </c>
      <c r="T5" s="1178">
        <v>17471</v>
      </c>
      <c r="U5" s="1178">
        <v>16811</v>
      </c>
      <c r="V5" s="1178">
        <v>16357</v>
      </c>
      <c r="W5" s="1178">
        <v>16140</v>
      </c>
      <c r="X5" s="1178">
        <v>16159</v>
      </c>
      <c r="Y5" s="1178">
        <v>16189</v>
      </c>
      <c r="Z5" s="1178">
        <v>17870</v>
      </c>
      <c r="AA5" s="1178">
        <v>19192</v>
      </c>
      <c r="AB5" s="1178">
        <v>19291</v>
      </c>
      <c r="AC5" s="1178">
        <v>18765</v>
      </c>
      <c r="AD5" s="1178">
        <v>17813</v>
      </c>
      <c r="AE5" s="1273">
        <v>17816</v>
      </c>
      <c r="AF5" s="1273">
        <v>17421.776224750869</v>
      </c>
      <c r="AG5" s="1273">
        <v>17631</v>
      </c>
      <c r="AH5" s="1273">
        <v>17615</v>
      </c>
      <c r="AI5" s="1273">
        <v>17624.762452489424</v>
      </c>
      <c r="AJ5" s="1273">
        <v>15551.727532237424</v>
      </c>
      <c r="AK5" s="1273">
        <v>14580.468687598377</v>
      </c>
      <c r="AL5" s="1273">
        <v>13592.217997685924</v>
      </c>
      <c r="AM5" s="1273">
        <v>13381.410722126999</v>
      </c>
      <c r="AN5" s="1273">
        <v>13144.267944291909</v>
      </c>
      <c r="AO5" s="1273">
        <v>12868.418971435491</v>
      </c>
      <c r="AP5" s="1273">
        <v>13623.502828565364</v>
      </c>
      <c r="AQ5" s="1179">
        <v>14032.624666866945</v>
      </c>
      <c r="AR5" s="1179">
        <v>14797.98</v>
      </c>
      <c r="AS5" s="1179">
        <v>13520.62</v>
      </c>
      <c r="AT5" s="1179">
        <v>11370.84</v>
      </c>
      <c r="AU5" s="1179">
        <v>11360.099999999999</v>
      </c>
      <c r="AV5" s="1179">
        <v>11390.720000000001</v>
      </c>
      <c r="AW5" s="1179">
        <v>11123.32</v>
      </c>
      <c r="AX5" s="1179">
        <v>11300.04</v>
      </c>
      <c r="AY5" s="1179">
        <v>11245.970000000001</v>
      </c>
      <c r="AZ5" s="1178">
        <v>10590.79</v>
      </c>
      <c r="BA5" s="1178">
        <v>11031.92</v>
      </c>
      <c r="BB5" s="1178">
        <v>12014.529999999999</v>
      </c>
      <c r="BC5" s="1179">
        <v>11315.050000000001</v>
      </c>
      <c r="BD5" s="1179">
        <v>11729.19</v>
      </c>
      <c r="BE5" s="1179">
        <v>12638.98</v>
      </c>
      <c r="BF5" s="1179">
        <v>15434.710000000001</v>
      </c>
      <c r="BN5" s="1168"/>
      <c r="BO5" s="1168"/>
      <c r="BP5" s="1168"/>
      <c r="BQ5" s="1168"/>
      <c r="BR5" s="1168"/>
      <c r="BS5" s="1168"/>
    </row>
    <row r="6" spans="2:71" s="33" customFormat="1" ht="15.6">
      <c r="B6" s="1169" t="s">
        <v>1100</v>
      </c>
      <c r="C6" s="1277">
        <f>AVERAGE(K6:BF6)*'Report '!K7</f>
        <v>14257.655989914838</v>
      </c>
      <c r="D6" s="1229">
        <v>0.08</v>
      </c>
      <c r="E6" s="1235">
        <v>0.08</v>
      </c>
      <c r="F6" s="1164">
        <v>0.108</v>
      </c>
      <c r="G6" s="1279">
        <f>AVERAGE(AU6:BF6)*'Report '!K7</f>
        <v>11338.29</v>
      </c>
      <c r="H6" s="1233">
        <f>D6</f>
        <v>0.08</v>
      </c>
      <c r="I6" s="1233">
        <f>E6</f>
        <v>0.08</v>
      </c>
      <c r="J6" s="1165">
        <f t="shared" ref="J6:J14" si="0">F6</f>
        <v>0.108</v>
      </c>
      <c r="K6" s="1174">
        <v>15273</v>
      </c>
      <c r="L6" s="1174">
        <v>14724</v>
      </c>
      <c r="M6" s="1174">
        <v>15798</v>
      </c>
      <c r="N6" s="1174">
        <v>15715</v>
      </c>
      <c r="O6" s="1174">
        <v>15759</v>
      </c>
      <c r="P6" s="1263">
        <v>15189</v>
      </c>
      <c r="Q6" s="1174">
        <v>15893</v>
      </c>
      <c r="R6" s="1174">
        <v>16869</v>
      </c>
      <c r="S6" s="1273">
        <v>18084</v>
      </c>
      <c r="T6" s="1178">
        <v>17748</v>
      </c>
      <c r="U6" s="1178">
        <v>17750</v>
      </c>
      <c r="V6" s="1178">
        <v>17717</v>
      </c>
      <c r="W6" s="1178">
        <v>16898</v>
      </c>
      <c r="X6" s="1178">
        <v>16501</v>
      </c>
      <c r="Y6" s="1178">
        <v>16846</v>
      </c>
      <c r="Z6" s="1178">
        <v>17201</v>
      </c>
      <c r="AA6" s="1178">
        <v>17514</v>
      </c>
      <c r="AB6" s="1178"/>
      <c r="AC6" s="1178"/>
      <c r="AD6" s="1178"/>
      <c r="AE6" s="1248"/>
      <c r="AF6" s="1248"/>
      <c r="AG6" s="1248"/>
      <c r="AH6" s="1248"/>
      <c r="AI6" s="1248">
        <v>16088.217056861793</v>
      </c>
      <c r="AJ6" s="1248">
        <v>16227.630259198648</v>
      </c>
      <c r="AK6" s="1248">
        <v>13969.577072208924</v>
      </c>
      <c r="AL6" s="1248">
        <v>12977.878519083817</v>
      </c>
      <c r="AM6" s="1248">
        <v>13043.395832938366</v>
      </c>
      <c r="AN6" s="1248">
        <v>12229.118876472327</v>
      </c>
      <c r="AO6" s="1248"/>
      <c r="AP6" s="1248"/>
      <c r="AQ6" s="1167"/>
      <c r="AR6" s="1167">
        <v>13449.54</v>
      </c>
      <c r="AS6" s="1167">
        <v>12844.43</v>
      </c>
      <c r="AT6" s="1167">
        <v>13422.660000000002</v>
      </c>
      <c r="AU6" s="1167">
        <v>11678.88</v>
      </c>
      <c r="AV6" s="1167">
        <v>11266.46</v>
      </c>
      <c r="AW6" s="1167">
        <v>10961.91</v>
      </c>
      <c r="AX6" s="1167">
        <v>11637.5</v>
      </c>
      <c r="AY6" s="1167">
        <v>10756.48</v>
      </c>
      <c r="AZ6" s="1166">
        <v>10197.1</v>
      </c>
      <c r="BA6" s="1166">
        <v>10209.400000000001</v>
      </c>
      <c r="BB6" s="1166">
        <v>10772.449999999999</v>
      </c>
      <c r="BC6" s="1179">
        <v>12222.14</v>
      </c>
      <c r="BD6" s="1179">
        <v>11731.630000000001</v>
      </c>
      <c r="BE6" s="1179">
        <v>12084.31</v>
      </c>
      <c r="BF6" s="1179">
        <v>12541.220000000001</v>
      </c>
      <c r="BN6" s="1168"/>
      <c r="BO6" s="1168"/>
      <c r="BP6" s="1168"/>
      <c r="BQ6" s="1168"/>
      <c r="BR6" s="1168"/>
      <c r="BS6" s="1168"/>
    </row>
    <row r="7" spans="2:71" s="33" customFormat="1" ht="15.6">
      <c r="B7" s="1169" t="s">
        <v>1086</v>
      </c>
      <c r="C7" s="1277">
        <f>AVERAGE(K7:BF7)*'Report '!K7</f>
        <v>13390.67932953902</v>
      </c>
      <c r="D7" s="1229"/>
      <c r="E7" s="1235"/>
      <c r="F7" s="1164">
        <v>4.3999999999999997E-2</v>
      </c>
      <c r="G7" s="1279">
        <f>AVERAGE(AU7:BF7)*'Report '!K7</f>
        <v>10162.070000000002</v>
      </c>
      <c r="H7" s="1233"/>
      <c r="I7" s="1233"/>
      <c r="J7" s="1165">
        <f t="shared" si="0"/>
        <v>4.3999999999999997E-2</v>
      </c>
      <c r="K7" s="1174"/>
      <c r="L7" s="1174"/>
      <c r="M7" s="1174">
        <v>14099</v>
      </c>
      <c r="N7" s="1174">
        <v>13154</v>
      </c>
      <c r="O7" s="1174">
        <v>14495</v>
      </c>
      <c r="P7" s="1263">
        <v>14710</v>
      </c>
      <c r="Q7" s="1174"/>
      <c r="R7" s="1174">
        <v>13795</v>
      </c>
      <c r="S7" s="1248"/>
      <c r="T7" s="1166"/>
      <c r="U7" s="1166"/>
      <c r="V7" s="1166"/>
      <c r="W7" s="1166"/>
      <c r="X7" s="1166"/>
      <c r="Y7" s="1166"/>
      <c r="Z7" s="1166"/>
      <c r="AA7" s="1166">
        <v>17091</v>
      </c>
      <c r="AB7" s="1166">
        <v>16939</v>
      </c>
      <c r="AC7" s="1166">
        <v>17242</v>
      </c>
      <c r="AD7" s="1254">
        <v>16244</v>
      </c>
      <c r="AE7" s="1274">
        <v>15472.928897586431</v>
      </c>
      <c r="AF7" s="1274">
        <v>16250.676654328392</v>
      </c>
      <c r="AG7" s="1274">
        <v>15863.574351978172</v>
      </c>
      <c r="AH7" s="1274">
        <v>15382</v>
      </c>
      <c r="AI7" s="1274">
        <v>15708.231930427681</v>
      </c>
      <c r="AJ7" s="1274">
        <v>14741.810105496945</v>
      </c>
      <c r="AK7" s="1274"/>
      <c r="AL7" s="1274">
        <v>15128.413181038659</v>
      </c>
      <c r="AM7" s="1274">
        <v>15091.328557303683</v>
      </c>
      <c r="AN7" s="1274">
        <v>11276.649718341951</v>
      </c>
      <c r="AO7" s="1274">
        <v>10421.322979017168</v>
      </c>
      <c r="AP7" s="1274">
        <v>11022.537669654022</v>
      </c>
      <c r="AQ7" s="1179">
        <v>11107.905840997515</v>
      </c>
      <c r="AR7" s="1179">
        <v>13280.37</v>
      </c>
      <c r="AS7" s="1179">
        <v>11082.7</v>
      </c>
      <c r="AT7" s="1179">
        <v>11148.51</v>
      </c>
      <c r="AU7" s="1179">
        <v>11139.94</v>
      </c>
      <c r="AV7" s="1179">
        <v>9843.4599999999991</v>
      </c>
      <c r="AW7" s="1179">
        <v>10330.790000000001</v>
      </c>
      <c r="AX7" s="1179">
        <v>10170.02</v>
      </c>
      <c r="AY7" s="1179">
        <v>9893.68</v>
      </c>
      <c r="AZ7" s="1178">
        <v>9594.5299999999988</v>
      </c>
      <c r="BA7" s="1178"/>
      <c r="BB7" s="1178"/>
      <c r="BC7" s="1166"/>
      <c r="BD7" s="1166"/>
      <c r="BE7" s="1166"/>
      <c r="BF7" s="1167"/>
      <c r="BN7" s="1168"/>
      <c r="BO7" s="1168"/>
      <c r="BP7" s="1168"/>
      <c r="BQ7" s="1168"/>
      <c r="BR7" s="1168"/>
      <c r="BS7" s="1168"/>
    </row>
    <row r="8" spans="2:71" s="33" customFormat="1" ht="15.6">
      <c r="B8" s="1169" t="s">
        <v>1457</v>
      </c>
      <c r="C8" s="1277">
        <f>AVERAGE(K8:BF8)*'Report '!K7</f>
        <v>12539.877015858585</v>
      </c>
      <c r="D8" s="1229">
        <v>0.38</v>
      </c>
      <c r="E8" s="1235">
        <v>0.4</v>
      </c>
      <c r="F8" s="1171">
        <v>0.254</v>
      </c>
      <c r="G8" s="1279">
        <f>AVERAGE(AU8:BF8)*'Report '!K7</f>
        <v>10279.877500000001</v>
      </c>
      <c r="H8" s="1233">
        <f>D8</f>
        <v>0.38</v>
      </c>
      <c r="I8" s="1233">
        <f>E8</f>
        <v>0.4</v>
      </c>
      <c r="J8" s="1165">
        <f t="shared" si="0"/>
        <v>0.254</v>
      </c>
      <c r="K8" s="1174">
        <v>11229</v>
      </c>
      <c r="L8" s="1174">
        <v>12626</v>
      </c>
      <c r="M8" s="1174">
        <v>13087</v>
      </c>
      <c r="N8" s="1174">
        <v>13115</v>
      </c>
      <c r="O8" s="1174">
        <v>12258</v>
      </c>
      <c r="P8" s="1263">
        <v>12881</v>
      </c>
      <c r="Q8" s="1174">
        <v>12632</v>
      </c>
      <c r="R8" s="1174">
        <v>15160</v>
      </c>
      <c r="S8" s="1248">
        <v>14374</v>
      </c>
      <c r="T8" s="1166">
        <v>14459</v>
      </c>
      <c r="U8" s="1166">
        <v>14180</v>
      </c>
      <c r="V8" s="1166">
        <v>13835</v>
      </c>
      <c r="W8" s="1166">
        <v>14586</v>
      </c>
      <c r="X8" s="1166">
        <v>13841</v>
      </c>
      <c r="Y8" s="1166">
        <v>13721</v>
      </c>
      <c r="Z8" s="1166">
        <v>13716</v>
      </c>
      <c r="AA8" s="1166">
        <v>14784</v>
      </c>
      <c r="AB8" s="1166">
        <v>15692</v>
      </c>
      <c r="AC8" s="1166">
        <v>15287</v>
      </c>
      <c r="AD8" s="1254">
        <v>15039</v>
      </c>
      <c r="AE8" s="1273">
        <v>14784</v>
      </c>
      <c r="AF8" s="1273">
        <v>15053.301986179107</v>
      </c>
      <c r="AG8" s="1273">
        <v>14652</v>
      </c>
      <c r="AH8" s="1273">
        <v>14666</v>
      </c>
      <c r="AI8" s="1273">
        <v>13115.85564805572</v>
      </c>
      <c r="AJ8" s="1273">
        <v>12984.78918341932</v>
      </c>
      <c r="AK8" s="1273">
        <v>12025.560852442337</v>
      </c>
      <c r="AL8" s="1273">
        <v>12056.505081445021</v>
      </c>
      <c r="AM8" s="1273">
        <v>11705.066147713165</v>
      </c>
      <c r="AN8" s="1273">
        <v>11278.678708247113</v>
      </c>
      <c r="AO8" s="1273">
        <v>11683.823319630395</v>
      </c>
      <c r="AP8" s="1273">
        <v>11625.334292138667</v>
      </c>
      <c r="AQ8" s="1179">
        <v>12541.781541941045</v>
      </c>
      <c r="AR8" s="1179">
        <v>12519.41</v>
      </c>
      <c r="AS8" s="1179">
        <v>11947.28</v>
      </c>
      <c r="AT8" s="1179">
        <v>9414.18</v>
      </c>
      <c r="AU8" s="1179">
        <v>9816</v>
      </c>
      <c r="AV8" s="1179">
        <v>9369.7899999999991</v>
      </c>
      <c r="AW8" s="1179">
        <v>9644.33</v>
      </c>
      <c r="AX8" s="1179">
        <v>10068.870000000001</v>
      </c>
      <c r="AY8" s="1179">
        <v>9822.43</v>
      </c>
      <c r="AZ8" s="1178">
        <v>9063.02</v>
      </c>
      <c r="BA8" s="1178">
        <v>9883.9399999999987</v>
      </c>
      <c r="BB8" s="1178">
        <v>10748.14</v>
      </c>
      <c r="BC8" s="1179">
        <v>10262.310000000001</v>
      </c>
      <c r="BD8" s="1179">
        <v>10925.9</v>
      </c>
      <c r="BE8" s="1179">
        <v>11302.56</v>
      </c>
      <c r="BF8" s="1179">
        <v>12451.24</v>
      </c>
      <c r="BN8" s="1168"/>
      <c r="BO8" s="1168"/>
      <c r="BP8" s="1168"/>
      <c r="BQ8" s="1168"/>
      <c r="BR8" s="1168"/>
      <c r="BS8" s="1168"/>
    </row>
    <row r="9" spans="2:71" s="33" customFormat="1" ht="15.6">
      <c r="B9" s="352" t="s">
        <v>1101</v>
      </c>
      <c r="C9" s="1277">
        <f>AVERAGE(K9:BF9)*'Report '!K7</f>
        <v>13599.687280258206</v>
      </c>
      <c r="D9" s="1230"/>
      <c r="E9" s="1236"/>
      <c r="F9" s="1164">
        <v>0.08</v>
      </c>
      <c r="G9" s="1279">
        <f>AVERAGE(AU9:BF9)*'Report '!K7</f>
        <v>10821.545833333334</v>
      </c>
      <c r="H9" s="1233"/>
      <c r="I9" s="1233"/>
      <c r="J9" s="1165">
        <f t="shared" si="0"/>
        <v>0.08</v>
      </c>
      <c r="K9" s="1270">
        <v>15408</v>
      </c>
      <c r="L9" s="1271"/>
      <c r="M9" s="1271"/>
      <c r="N9" s="1270">
        <v>13989</v>
      </c>
      <c r="O9" s="1270">
        <v>13784</v>
      </c>
      <c r="P9" s="1272">
        <v>14443</v>
      </c>
      <c r="Q9" s="1271"/>
      <c r="R9" s="1271"/>
      <c r="S9" s="1248"/>
      <c r="T9" s="1166"/>
      <c r="U9" s="1166"/>
      <c r="V9" s="1166"/>
      <c r="W9" s="1166">
        <v>14522</v>
      </c>
      <c r="X9" s="1166"/>
      <c r="Y9" s="1166">
        <v>17037</v>
      </c>
      <c r="Z9" s="1166">
        <v>15099</v>
      </c>
      <c r="AA9" s="1166">
        <v>15671</v>
      </c>
      <c r="AB9" s="1166">
        <v>15376</v>
      </c>
      <c r="AC9" s="1166">
        <v>15168</v>
      </c>
      <c r="AD9" s="1254">
        <v>15472</v>
      </c>
      <c r="AE9" s="1275">
        <v>15936</v>
      </c>
      <c r="AF9" s="1275">
        <v>16448.446448914619</v>
      </c>
      <c r="AG9" s="1275">
        <v>16703.908861550499</v>
      </c>
      <c r="AH9" s="1275">
        <v>18226</v>
      </c>
      <c r="AI9" s="1275">
        <v>16608.483662665214</v>
      </c>
      <c r="AJ9" s="1275">
        <v>14938.901956284781</v>
      </c>
      <c r="AK9" s="1275">
        <v>15384.543255883735</v>
      </c>
      <c r="AL9" s="1275">
        <v>15149.810575603076</v>
      </c>
      <c r="AM9" s="1275">
        <v>13405.476992062877</v>
      </c>
      <c r="AN9" s="1275">
        <v>13822.709889367934</v>
      </c>
      <c r="AO9" s="1275">
        <v>12140.978262188506</v>
      </c>
      <c r="AP9" s="1275">
        <v>12145.013147704682</v>
      </c>
      <c r="AQ9" s="1179">
        <v>13327.970877844082</v>
      </c>
      <c r="AR9" s="1179">
        <v>13681.39</v>
      </c>
      <c r="AS9" s="1179">
        <v>13925.38</v>
      </c>
      <c r="AT9" s="1179">
        <v>12715.24</v>
      </c>
      <c r="AU9" s="1179">
        <v>11040.789999999999</v>
      </c>
      <c r="AV9" s="1179">
        <v>10857.740000000002</v>
      </c>
      <c r="AW9" s="1179">
        <v>10400.539999999999</v>
      </c>
      <c r="AX9" s="1179">
        <v>11086.65</v>
      </c>
      <c r="AY9" s="1179">
        <v>10809.64</v>
      </c>
      <c r="AZ9" s="1178">
        <v>9746.33</v>
      </c>
      <c r="BA9" s="1178">
        <v>9724.24</v>
      </c>
      <c r="BB9" s="1178">
        <v>9933.0499999999993</v>
      </c>
      <c r="BC9" s="1179">
        <v>11667.58</v>
      </c>
      <c r="BD9" s="1179">
        <v>10399.73</v>
      </c>
      <c r="BE9" s="1179">
        <v>10905.529999999999</v>
      </c>
      <c r="BF9" s="1179">
        <v>13286.73</v>
      </c>
      <c r="BN9" s="1168"/>
      <c r="BO9" s="1168"/>
      <c r="BP9" s="1168"/>
      <c r="BQ9" s="1168"/>
      <c r="BR9" s="1168"/>
      <c r="BS9" s="1168"/>
    </row>
    <row r="10" spans="2:71" s="33" customFormat="1" ht="15.6">
      <c r="B10" s="1172" t="s">
        <v>925</v>
      </c>
      <c r="C10" s="1277">
        <f>AVERAGE(K10:BF10)*'Report '!K7</f>
        <v>10433.223008919662</v>
      </c>
      <c r="D10" s="1229">
        <v>0.1</v>
      </c>
      <c r="E10" s="1229"/>
      <c r="F10" s="1164"/>
      <c r="G10" s="1279">
        <f>AVERAGE(AU10:BF10)*'Report '!K7</f>
        <v>9313.6041666666661</v>
      </c>
      <c r="H10" s="1233">
        <f>D10</f>
        <v>0.1</v>
      </c>
      <c r="I10" s="1233"/>
      <c r="J10" s="1165"/>
      <c r="K10" s="1174">
        <v>10455</v>
      </c>
      <c r="L10" s="1174">
        <v>9605</v>
      </c>
      <c r="M10" s="1174">
        <v>9710</v>
      </c>
      <c r="N10" s="1174">
        <v>10458</v>
      </c>
      <c r="O10" s="1174">
        <v>10636</v>
      </c>
      <c r="P10" s="1263">
        <v>11004</v>
      </c>
      <c r="Q10" s="1174">
        <v>10771</v>
      </c>
      <c r="R10" s="1174">
        <v>11103</v>
      </c>
      <c r="S10" s="1248">
        <v>11777</v>
      </c>
      <c r="T10" s="1166">
        <v>12016</v>
      </c>
      <c r="U10" s="1166">
        <v>11862</v>
      </c>
      <c r="V10" s="1166">
        <v>12433</v>
      </c>
      <c r="W10" s="1166">
        <v>12127</v>
      </c>
      <c r="X10" s="1166">
        <v>12412</v>
      </c>
      <c r="Y10" s="1166">
        <v>11788</v>
      </c>
      <c r="Z10" s="1166">
        <v>12217</v>
      </c>
      <c r="AA10" s="1166">
        <v>12201</v>
      </c>
      <c r="AB10" s="1166">
        <v>12537</v>
      </c>
      <c r="AC10" s="1166">
        <v>11172</v>
      </c>
      <c r="AD10" s="1254">
        <v>11559</v>
      </c>
      <c r="AE10" s="1275">
        <v>11368</v>
      </c>
      <c r="AF10" s="1275">
        <v>11361.138976413462</v>
      </c>
      <c r="AG10" s="1275">
        <v>11557.406242125549</v>
      </c>
      <c r="AH10" s="1275">
        <v>11590</v>
      </c>
      <c r="AI10" s="1275">
        <v>10939.70196881724</v>
      </c>
      <c r="AJ10" s="1275">
        <v>10472.205001033271</v>
      </c>
      <c r="AK10" s="1275">
        <v>10082.986675676246</v>
      </c>
      <c r="AL10" s="1275">
        <v>9692.0009477503136</v>
      </c>
      <c r="AM10" s="1275">
        <v>9840.9119647578627</v>
      </c>
      <c r="AN10" s="1275">
        <v>9337.0165915378948</v>
      </c>
      <c r="AO10" s="1275">
        <v>9155.7494715663106</v>
      </c>
      <c r="AP10" s="1275">
        <v>9525.9129800167084</v>
      </c>
      <c r="AQ10" s="1179">
        <v>10177.223608448878</v>
      </c>
      <c r="AR10" s="1179">
        <v>9962.4699999999993</v>
      </c>
      <c r="AS10" s="1179">
        <v>8631.34</v>
      </c>
      <c r="AT10" s="1179">
        <v>7494.39</v>
      </c>
      <c r="AU10" s="1179">
        <v>7853.51</v>
      </c>
      <c r="AV10" s="1179">
        <v>7984.82</v>
      </c>
      <c r="AW10" s="1179">
        <v>7918.2000000000007</v>
      </c>
      <c r="AX10" s="1179">
        <v>8619.64</v>
      </c>
      <c r="AY10" s="1179">
        <v>8525.89</v>
      </c>
      <c r="AZ10" s="1178">
        <v>8417.27</v>
      </c>
      <c r="BA10" s="1178">
        <v>8906.91</v>
      </c>
      <c r="BB10" s="1178">
        <v>9503.82</v>
      </c>
      <c r="BC10" s="1179">
        <v>10407.84</v>
      </c>
      <c r="BD10" s="1179">
        <v>11067.81</v>
      </c>
      <c r="BE10" s="1179">
        <v>11156.6</v>
      </c>
      <c r="BF10" s="1179">
        <v>11400.94</v>
      </c>
      <c r="BN10" s="1168"/>
      <c r="BO10" s="1168"/>
      <c r="BP10" s="1168"/>
      <c r="BQ10" s="1168"/>
      <c r="BR10" s="1168"/>
      <c r="BS10" s="1168"/>
    </row>
    <row r="11" spans="2:71" s="33" customFormat="1" ht="24.75" customHeight="1">
      <c r="B11" s="1172" t="s">
        <v>924</v>
      </c>
      <c r="C11" s="1277">
        <f>AVERAGE(K11:BF11)</f>
        <v>9020</v>
      </c>
      <c r="D11" s="1231">
        <v>0.2</v>
      </c>
      <c r="E11" s="1170"/>
      <c r="F11" s="1176">
        <v>0.06</v>
      </c>
      <c r="G11" s="1279">
        <f>AVERAGE(AU11:BF11)</f>
        <v>8519</v>
      </c>
      <c r="H11" s="1233">
        <f>D11</f>
        <v>0.2</v>
      </c>
      <c r="I11" s="1233"/>
      <c r="J11" s="1165">
        <f t="shared" si="0"/>
        <v>0.06</v>
      </c>
      <c r="K11" s="1269">
        <v>8993</v>
      </c>
      <c r="L11" s="1269">
        <v>8993</v>
      </c>
      <c r="M11" s="1269">
        <v>8993</v>
      </c>
      <c r="N11" s="1269">
        <v>8993</v>
      </c>
      <c r="O11" s="1269">
        <v>8993</v>
      </c>
      <c r="P11" s="1269">
        <v>8993</v>
      </c>
      <c r="Q11" s="1269">
        <v>8993</v>
      </c>
      <c r="R11" s="1269">
        <v>8993</v>
      </c>
      <c r="S11" s="1273">
        <v>8864</v>
      </c>
      <c r="T11" s="1273">
        <v>8864</v>
      </c>
      <c r="U11" s="1273">
        <v>8864</v>
      </c>
      <c r="V11" s="1273">
        <v>8864</v>
      </c>
      <c r="W11" s="1273">
        <v>8864</v>
      </c>
      <c r="X11" s="1273">
        <v>8864</v>
      </c>
      <c r="Y11" s="1273">
        <v>8864</v>
      </c>
      <c r="Z11" s="1273">
        <v>8864</v>
      </c>
      <c r="AA11" s="1273">
        <v>8864</v>
      </c>
      <c r="AB11" s="1273">
        <v>8864</v>
      </c>
      <c r="AC11" s="1273">
        <v>8864</v>
      </c>
      <c r="AD11" s="1273">
        <v>8864</v>
      </c>
      <c r="AE11" s="1276">
        <v>9695</v>
      </c>
      <c r="AF11" s="1276">
        <v>9695</v>
      </c>
      <c r="AG11" s="1276">
        <v>9695</v>
      </c>
      <c r="AH11" s="1276">
        <v>9695</v>
      </c>
      <c r="AI11" s="1276">
        <v>9695</v>
      </c>
      <c r="AJ11" s="1276">
        <v>9695</v>
      </c>
      <c r="AK11" s="1276">
        <v>9695</v>
      </c>
      <c r="AL11" s="1276">
        <v>9695</v>
      </c>
      <c r="AM11" s="1276">
        <v>9695</v>
      </c>
      <c r="AN11" s="1276">
        <v>9695</v>
      </c>
      <c r="AO11" s="1276">
        <v>9695</v>
      </c>
      <c r="AP11" s="1276">
        <v>9695</v>
      </c>
      <c r="AQ11" s="1179">
        <v>8519</v>
      </c>
      <c r="AR11" s="1179">
        <v>8519</v>
      </c>
      <c r="AS11" s="1179">
        <v>8519</v>
      </c>
      <c r="AT11" s="1179">
        <v>8519</v>
      </c>
      <c r="AU11" s="1179">
        <v>8519</v>
      </c>
      <c r="AV11" s="1179">
        <v>8519</v>
      </c>
      <c r="AW11" s="1179">
        <v>8519</v>
      </c>
      <c r="AX11" s="1179">
        <v>8519</v>
      </c>
      <c r="AY11" s="1179">
        <v>8519</v>
      </c>
      <c r="AZ11" s="1179">
        <v>8519</v>
      </c>
      <c r="BA11" s="1179">
        <v>8519</v>
      </c>
      <c r="BB11" s="1179">
        <v>8519</v>
      </c>
      <c r="BC11" s="1174"/>
      <c r="BD11" s="1174"/>
      <c r="BE11" s="1174"/>
      <c r="BF11" s="1174"/>
      <c r="BN11" s="1168"/>
      <c r="BO11" s="1168"/>
      <c r="BP11" s="1168"/>
      <c r="BQ11" s="1168"/>
      <c r="BR11" s="1168"/>
      <c r="BS11" s="1168"/>
    </row>
    <row r="12" spans="2:71" s="33" customFormat="1" ht="32.25" customHeight="1">
      <c r="B12" s="1172" t="s">
        <v>1494</v>
      </c>
      <c r="C12" s="1278">
        <f>C11*18/14</f>
        <v>11597.142857142857</v>
      </c>
      <c r="D12" s="1231"/>
      <c r="E12" s="1175">
        <v>0.31</v>
      </c>
      <c r="F12" s="1176"/>
      <c r="G12" s="1278">
        <f>G11*18/14</f>
        <v>10953</v>
      </c>
      <c r="H12" s="1233"/>
      <c r="I12" s="1233">
        <f>E12</f>
        <v>0.31</v>
      </c>
      <c r="J12" s="1165"/>
      <c r="K12" s="1173"/>
      <c r="L12" s="1173"/>
      <c r="M12" s="1173"/>
      <c r="N12" s="1173"/>
      <c r="O12" s="1173"/>
      <c r="P12" s="1173"/>
      <c r="Q12" s="1173"/>
      <c r="R12" s="1173"/>
      <c r="S12" s="1173"/>
      <c r="T12" s="1173"/>
      <c r="U12" s="1173"/>
      <c r="V12" s="1173"/>
      <c r="W12" s="1173"/>
      <c r="X12" s="1173"/>
      <c r="Y12" s="1173"/>
      <c r="Z12" s="1173"/>
      <c r="AA12" s="1173"/>
      <c r="AB12" s="1173"/>
      <c r="AC12" s="1173"/>
      <c r="AD12" s="1173"/>
      <c r="AE12" s="1173"/>
      <c r="AF12" s="1173"/>
      <c r="AG12" s="1173"/>
      <c r="AH12" s="1173"/>
      <c r="AI12" s="1173"/>
      <c r="AJ12" s="1173"/>
      <c r="AK12" s="1173"/>
      <c r="AL12" s="1173"/>
      <c r="AM12" s="1173"/>
      <c r="AN12" s="1173"/>
      <c r="AO12" s="1173"/>
      <c r="AP12" s="1173"/>
      <c r="AQ12" s="1173"/>
      <c r="AR12" s="1173"/>
      <c r="AS12" s="1173"/>
      <c r="AT12" s="1173"/>
      <c r="AU12" s="1173"/>
      <c r="AV12" s="1173"/>
      <c r="AW12" s="1173"/>
      <c r="AX12" s="1173"/>
      <c r="AY12" s="1173"/>
      <c r="AZ12" s="1173"/>
      <c r="BA12" s="1173"/>
      <c r="BB12" s="1173"/>
      <c r="BC12" s="1174"/>
      <c r="BD12" s="1174"/>
      <c r="BE12" s="1174"/>
      <c r="BF12" s="1174"/>
      <c r="BN12" s="1168"/>
      <c r="BO12" s="1168"/>
      <c r="BP12" s="1168"/>
      <c r="BQ12" s="1168"/>
      <c r="BR12" s="1168"/>
      <c r="BS12" s="1168"/>
    </row>
    <row r="13" spans="2:71" s="33" customFormat="1" ht="18.75" customHeight="1">
      <c r="B13" s="1169" t="s">
        <v>1102</v>
      </c>
      <c r="C13" s="1277">
        <f>AVERAGE(K13:BF13)</f>
        <v>7308.272727272727</v>
      </c>
      <c r="D13" s="1231">
        <v>0.03</v>
      </c>
      <c r="E13" s="1210"/>
      <c r="F13" s="1176"/>
      <c r="G13" s="1279">
        <f>AVERAGE(AU13:BF13)</f>
        <v>6965</v>
      </c>
      <c r="H13" s="1233">
        <f>D13</f>
        <v>0.03</v>
      </c>
      <c r="I13" s="1233"/>
      <c r="J13" s="1165"/>
      <c r="K13" s="1269">
        <v>6717</v>
      </c>
      <c r="L13" s="1269">
        <v>6717</v>
      </c>
      <c r="M13" s="1269">
        <v>6717</v>
      </c>
      <c r="N13" s="1269">
        <v>6717</v>
      </c>
      <c r="O13" s="1269">
        <v>6717</v>
      </c>
      <c r="P13" s="1269">
        <v>6717</v>
      </c>
      <c r="Q13" s="1269">
        <v>6717</v>
      </c>
      <c r="R13" s="1269">
        <v>6717</v>
      </c>
      <c r="S13" s="1273">
        <v>6558</v>
      </c>
      <c r="T13" s="1273">
        <v>6558</v>
      </c>
      <c r="U13" s="1273">
        <v>6558</v>
      </c>
      <c r="V13" s="1273">
        <v>6558</v>
      </c>
      <c r="W13" s="1273">
        <v>6558</v>
      </c>
      <c r="X13" s="1273">
        <v>6558</v>
      </c>
      <c r="Y13" s="1273">
        <v>6558</v>
      </c>
      <c r="Z13" s="1273">
        <v>6558</v>
      </c>
      <c r="AA13" s="1273">
        <v>6558</v>
      </c>
      <c r="AB13" s="1273">
        <v>6558</v>
      </c>
      <c r="AC13" s="1273">
        <v>6558</v>
      </c>
      <c r="AD13" s="1273">
        <v>6558</v>
      </c>
      <c r="AE13" s="1276">
        <v>8796</v>
      </c>
      <c r="AF13" s="1276">
        <v>8796</v>
      </c>
      <c r="AG13" s="1276">
        <v>8796</v>
      </c>
      <c r="AH13" s="1276">
        <v>8796</v>
      </c>
      <c r="AI13" s="1276">
        <v>8796</v>
      </c>
      <c r="AJ13" s="1276">
        <v>8796</v>
      </c>
      <c r="AK13" s="1276">
        <v>8796</v>
      </c>
      <c r="AL13" s="1276">
        <v>8796</v>
      </c>
      <c r="AM13" s="1276">
        <v>8796</v>
      </c>
      <c r="AN13" s="1276">
        <v>8796</v>
      </c>
      <c r="AO13" s="1276">
        <v>8796</v>
      </c>
      <c r="AP13" s="1276">
        <v>8796</v>
      </c>
      <c r="AQ13" s="1179">
        <v>6965</v>
      </c>
      <c r="AR13" s="1179">
        <v>6965</v>
      </c>
      <c r="AS13" s="1179">
        <v>6965</v>
      </c>
      <c r="AT13" s="1179">
        <v>6965</v>
      </c>
      <c r="AU13" s="1179">
        <v>6965</v>
      </c>
      <c r="AV13" s="1179">
        <v>6965</v>
      </c>
      <c r="AW13" s="1179">
        <v>6965</v>
      </c>
      <c r="AX13" s="1179">
        <v>6965</v>
      </c>
      <c r="AY13" s="1179">
        <v>6965</v>
      </c>
      <c r="AZ13" s="1179">
        <v>6965</v>
      </c>
      <c r="BA13" s="1179">
        <v>6965</v>
      </c>
      <c r="BB13" s="1179">
        <v>6965</v>
      </c>
      <c r="BC13" s="1174"/>
      <c r="BD13" s="1174"/>
      <c r="BE13" s="1174"/>
      <c r="BF13" s="1174"/>
      <c r="BN13" s="1168"/>
      <c r="BO13" s="1168"/>
      <c r="BP13" s="1168"/>
      <c r="BQ13" s="1168"/>
      <c r="BR13" s="1168"/>
      <c r="BS13" s="1168"/>
    </row>
    <row r="14" spans="2:71" ht="35.25" customHeight="1" thickBot="1">
      <c r="B14" s="1172" t="s">
        <v>1087</v>
      </c>
      <c r="C14" s="1277">
        <f>AVERAGE(K14:BF14)*'Report '!K7</f>
        <v>15672.888273594643</v>
      </c>
      <c r="D14" s="1232"/>
      <c r="E14" s="1177"/>
      <c r="F14" s="1164">
        <v>2.5000000000000001E-2</v>
      </c>
      <c r="G14" s="1279">
        <f>AVERAGE(AU14:BF14)*'Report '!K7</f>
        <v>12529.936666666666</v>
      </c>
      <c r="H14" s="1233"/>
      <c r="I14" s="1233"/>
      <c r="J14" s="1165">
        <f t="shared" si="0"/>
        <v>2.5000000000000001E-2</v>
      </c>
      <c r="K14" s="1269">
        <v>12498</v>
      </c>
      <c r="L14" s="1269">
        <v>14377</v>
      </c>
      <c r="M14" s="1269">
        <v>15911</v>
      </c>
      <c r="N14" s="1269">
        <v>17040</v>
      </c>
      <c r="O14" s="1269">
        <v>14576</v>
      </c>
      <c r="P14" s="1267"/>
      <c r="Q14" s="1269">
        <v>15784</v>
      </c>
      <c r="R14" s="1269">
        <v>16019</v>
      </c>
      <c r="S14" s="1273"/>
      <c r="T14" s="1178"/>
      <c r="U14" s="1178"/>
      <c r="V14" s="1178"/>
      <c r="W14" s="1178"/>
      <c r="X14" s="1178"/>
      <c r="Y14" s="1178"/>
      <c r="Z14" s="1178"/>
      <c r="AA14" s="1178">
        <v>19353</v>
      </c>
      <c r="AB14" s="1178">
        <v>19747</v>
      </c>
      <c r="AC14" s="1178">
        <v>19706</v>
      </c>
      <c r="AD14" s="1178">
        <v>18518</v>
      </c>
      <c r="AE14" s="1274">
        <v>17825</v>
      </c>
      <c r="AF14" s="1274">
        <v>18364.559927285838</v>
      </c>
      <c r="AG14" s="1274">
        <v>18699.659342368857</v>
      </c>
      <c r="AH14" s="1274"/>
      <c r="AI14" s="1274">
        <v>17070.87824492954</v>
      </c>
      <c r="AJ14" s="1274">
        <v>16029.559699760117</v>
      </c>
      <c r="AK14" s="1274">
        <v>16002.512041764374</v>
      </c>
      <c r="AL14" s="1274">
        <v>14363.181269382196</v>
      </c>
      <c r="AM14" s="1274">
        <v>13618.135959414118</v>
      </c>
      <c r="AN14" s="1274">
        <v>13747.955738755369</v>
      </c>
      <c r="AO14" s="1274">
        <v>13312.204449662284</v>
      </c>
      <c r="AP14" s="1274">
        <v>14407.900062056498</v>
      </c>
      <c r="AQ14" s="1179">
        <v>14773.734925270865</v>
      </c>
      <c r="AR14" s="1179">
        <v>14753.3</v>
      </c>
      <c r="AS14" s="1179">
        <v>14753.48</v>
      </c>
      <c r="AT14" s="1179"/>
      <c r="AU14" s="1179"/>
      <c r="AV14" s="1179"/>
      <c r="AW14" s="1179"/>
      <c r="AX14" s="1179"/>
      <c r="AY14" s="1179"/>
      <c r="AZ14" s="1178"/>
      <c r="BA14" s="1178"/>
      <c r="BB14" s="1178"/>
      <c r="BC14" s="1179"/>
      <c r="BD14" s="1179">
        <v>12365.989999999998</v>
      </c>
      <c r="BE14" s="1179">
        <v>12457.269999999999</v>
      </c>
      <c r="BF14" s="1179">
        <v>12766.55</v>
      </c>
      <c r="BN14" s="1180"/>
      <c r="BO14" s="1180"/>
      <c r="BP14" s="1180"/>
      <c r="BQ14" s="1180"/>
      <c r="BR14" s="1180"/>
      <c r="BS14" s="1180"/>
    </row>
    <row r="15" spans="2:71" s="21" customFormat="1" ht="21.75" customHeight="1" thickBot="1">
      <c r="B15" s="1181" t="s">
        <v>1088</v>
      </c>
      <c r="C15" s="1182"/>
      <c r="D15" s="1183">
        <f>SUMPRODUCT(C5:C14,D5:D14)</f>
        <v>12102.329081802311</v>
      </c>
      <c r="E15" s="1183">
        <f>SUMPRODUCT(C5:C14,E5:E14)</f>
        <v>12881.670425123621</v>
      </c>
      <c r="F15" s="1183">
        <f>SUMPRODUCT(C5:C14,F5:F14)</f>
        <v>13729.270947324805</v>
      </c>
      <c r="G15" s="1184"/>
      <c r="H15" s="1185">
        <f>SUMPRODUCT(G5:G14,H5:H14)</f>
        <v>10128.095166666666</v>
      </c>
      <c r="I15" s="1185">
        <f>SUMPRODUCT(G5:G14,I5:I14)</f>
        <v>10885.0123</v>
      </c>
      <c r="J15" s="1185">
        <f>SUMPRODUCT(G5:G14,J5:J14)</f>
        <v>11019.885058333333</v>
      </c>
    </row>
    <row r="16" spans="2:71" ht="15.6" thickBot="1">
      <c r="C16" s="1186"/>
      <c r="D16" s="36"/>
      <c r="E16" s="36"/>
      <c r="F16" s="36"/>
      <c r="G16" s="1187"/>
      <c r="H16" s="36"/>
      <c r="I16" s="36"/>
      <c r="J16" s="36"/>
    </row>
    <row r="17" spans="2:80" s="21" customFormat="1" ht="60.75" customHeight="1">
      <c r="B17" s="1188" t="s">
        <v>1458</v>
      </c>
      <c r="C17" s="1159" t="str">
        <f>C4</f>
        <v xml:space="preserve">Avg (Aug'17 to July'21) </v>
      </c>
      <c r="D17" s="1189"/>
      <c r="E17" s="1189"/>
      <c r="F17" s="1189"/>
      <c r="G17" s="1161" t="str">
        <f>G4</f>
        <v xml:space="preserve">Avg (Aug'20 to July'21) </v>
      </c>
      <c r="H17" s="1190"/>
      <c r="I17" s="1190"/>
      <c r="J17" s="1190"/>
      <c r="K17" s="699"/>
      <c r="L17" s="699"/>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699"/>
      <c r="AJ17" s="699"/>
      <c r="AK17" s="699"/>
      <c r="AL17" s="699"/>
      <c r="AM17" s="699"/>
      <c r="AN17" s="699"/>
      <c r="AO17" s="699"/>
      <c r="AP17" s="699"/>
      <c r="AQ17" s="699"/>
      <c r="AR17" s="699"/>
      <c r="AS17" s="699"/>
      <c r="AT17" s="699"/>
      <c r="AU17" s="699"/>
      <c r="AV17" s="699"/>
      <c r="AW17" s="699"/>
      <c r="AX17" s="699"/>
      <c r="AY17" s="699"/>
      <c r="AZ17" s="699"/>
      <c r="BA17" s="699"/>
      <c r="BB17" s="699"/>
      <c r="BC17" s="699"/>
      <c r="BD17" s="699"/>
      <c r="BE17" s="699"/>
      <c r="BF17" s="699"/>
      <c r="BG17" s="699"/>
      <c r="BH17" s="699"/>
      <c r="BI17" s="699"/>
      <c r="BJ17" s="699"/>
      <c r="BK17" s="699"/>
      <c r="BL17" s="699"/>
      <c r="BM17" s="699"/>
      <c r="CB17" s="696" t="s">
        <v>1089</v>
      </c>
    </row>
    <row r="18" spans="2:80" s="21" customFormat="1" ht="21.75" customHeight="1">
      <c r="C18" s="1191">
        <f>AVERAGE(G32:G204)+2000</f>
        <v>28023.843930635838</v>
      </c>
      <c r="D18" s="1192"/>
      <c r="E18" s="1192"/>
      <c r="F18" s="1192"/>
      <c r="G18" s="1193">
        <f>AVERAGE(G183:G204)+2000</f>
        <v>25545.454545454544</v>
      </c>
      <c r="H18" s="1192"/>
      <c r="I18" s="1192"/>
      <c r="J18" s="1192"/>
      <c r="K18" s="476"/>
      <c r="L18" s="476"/>
      <c r="M18" s="476"/>
      <c r="N18" s="476"/>
      <c r="O18" s="476"/>
      <c r="P18" s="476"/>
      <c r="Q18" s="476"/>
      <c r="R18" s="754"/>
      <c r="S18" s="754"/>
      <c r="T18" s="754"/>
      <c r="U18" s="476"/>
      <c r="V18" s="476"/>
      <c r="W18" s="476"/>
      <c r="X18" s="476"/>
      <c r="Y18" s="476"/>
      <c r="Z18" s="476"/>
      <c r="AA18" s="476"/>
      <c r="AB18" s="754"/>
      <c r="AC18" s="754"/>
      <c r="AD18" s="754"/>
      <c r="AE18" s="754"/>
      <c r="AF18" s="476"/>
      <c r="AG18" s="476"/>
      <c r="AH18" s="754"/>
      <c r="AI18" s="754"/>
      <c r="AJ18" s="754"/>
      <c r="AK18" s="754"/>
      <c r="AL18" s="677"/>
      <c r="AM18" s="677"/>
      <c r="AN18" s="677"/>
      <c r="AO18" s="677"/>
      <c r="AP18" s="677"/>
      <c r="AQ18" s="476"/>
      <c r="AR18" s="476"/>
      <c r="AS18" s="476"/>
      <c r="AT18" s="476"/>
      <c r="AU18" s="476"/>
      <c r="AV18" s="476"/>
      <c r="AW18" s="476"/>
      <c r="AX18" s="476"/>
      <c r="AY18" s="754"/>
      <c r="AZ18" s="754"/>
      <c r="BA18" s="754"/>
      <c r="BB18" s="754"/>
      <c r="BC18" s="754"/>
      <c r="BD18" s="754"/>
      <c r="BE18" s="754"/>
      <c r="BF18" s="754"/>
      <c r="BG18" s="754"/>
      <c r="BH18" s="754"/>
      <c r="BI18" s="754"/>
      <c r="BJ18" s="754"/>
      <c r="BK18" s="754"/>
      <c r="BL18" s="754"/>
      <c r="BM18" s="754"/>
    </row>
    <row r="19" spans="2:80" ht="26.25" customHeight="1" thickBot="1">
      <c r="B19" s="1194" t="s">
        <v>1090</v>
      </c>
      <c r="C19" s="1195" t="s">
        <v>1091</v>
      </c>
      <c r="D19" s="1196"/>
      <c r="E19" s="1196"/>
      <c r="F19" s="1196"/>
      <c r="G19" s="1197" t="str">
        <f>C19</f>
        <v>SteelMint</v>
      </c>
      <c r="H19" s="1198"/>
      <c r="I19" s="1198"/>
      <c r="J19" s="1198"/>
      <c r="K19" s="181"/>
      <c r="L19" s="1199"/>
      <c r="M19" s="1199"/>
      <c r="N19" s="1199"/>
      <c r="O19" s="1199"/>
      <c r="P19" s="1199"/>
      <c r="Q19" s="1199"/>
      <c r="R19" s="36"/>
      <c r="S19" s="36"/>
      <c r="T19" s="36"/>
      <c r="U19" s="1199"/>
      <c r="V19" s="1199"/>
      <c r="W19" s="1199"/>
      <c r="X19" s="1199"/>
      <c r="Y19" s="1199"/>
      <c r="Z19" s="1199"/>
      <c r="AA19" s="1199"/>
      <c r="AB19" s="36"/>
      <c r="AC19" s="36"/>
      <c r="AD19" s="36"/>
      <c r="AE19" s="36"/>
      <c r="AF19" s="1199"/>
      <c r="AG19" s="1199"/>
      <c r="AH19" s="36"/>
      <c r="AI19" s="36"/>
      <c r="AJ19" s="36"/>
      <c r="AK19" s="36"/>
      <c r="AL19" s="36"/>
      <c r="AM19" s="36"/>
      <c r="AN19" s="36"/>
      <c r="AO19" s="36"/>
      <c r="AP19" s="36"/>
      <c r="AQ19" s="1199"/>
      <c r="AR19" s="1199"/>
      <c r="AS19" s="1199"/>
      <c r="AT19" s="1199"/>
      <c r="AU19" s="1199"/>
      <c r="AV19" s="1199"/>
      <c r="AW19" s="1199"/>
      <c r="AX19" s="1199"/>
      <c r="AY19" s="36"/>
      <c r="AZ19" s="36"/>
      <c r="BA19" s="36"/>
      <c r="BB19" s="36"/>
      <c r="BC19" s="36"/>
      <c r="BD19" s="36"/>
      <c r="BE19" s="36"/>
      <c r="BF19" s="36"/>
      <c r="BG19" s="36"/>
      <c r="BH19" s="36"/>
      <c r="BI19" s="36"/>
      <c r="BJ19" s="36"/>
      <c r="BK19" s="36"/>
      <c r="BL19" s="36"/>
      <c r="BM19" s="38"/>
    </row>
    <row r="22" spans="2:80" s="33" customFormat="1">
      <c r="B22" s="114" t="s">
        <v>1092</v>
      </c>
      <c r="C22" s="17" t="s">
        <v>1543</v>
      </c>
    </row>
    <row r="23" spans="2:80" s="33" customFormat="1">
      <c r="B23" s="114" t="s">
        <v>1093</v>
      </c>
      <c r="C23" s="17" t="s">
        <v>1544</v>
      </c>
    </row>
    <row r="24" spans="2:80" s="33" customFormat="1">
      <c r="B24" s="20" t="s">
        <v>1094</v>
      </c>
      <c r="C24" s="114" t="s">
        <v>1460</v>
      </c>
    </row>
    <row r="26" spans="2:80" hidden="1"/>
    <row r="27" spans="2:80" hidden="1"/>
    <row r="28" spans="2:80" ht="17.399999999999999" hidden="1">
      <c r="C28" s="1200" t="s">
        <v>1103</v>
      </c>
      <c r="D28" s="1201"/>
      <c r="E28" s="1202" t="s">
        <v>1104</v>
      </c>
      <c r="F28" s="1201"/>
      <c r="G28" s="1201"/>
    </row>
    <row r="29" spans="2:80" hidden="1"/>
    <row r="30" spans="2:80" s="21" customFormat="1" ht="31.2" hidden="1">
      <c r="C30" s="1203" t="s">
        <v>1105</v>
      </c>
      <c r="D30" s="1204" t="s">
        <v>1106</v>
      </c>
      <c r="E30" s="1204" t="s">
        <v>1107</v>
      </c>
      <c r="F30" s="1204" t="s">
        <v>1108</v>
      </c>
      <c r="G30" s="1205" t="s">
        <v>1109</v>
      </c>
    </row>
    <row r="31" spans="2:80" ht="15.6" hidden="1">
      <c r="C31" s="1206"/>
      <c r="D31" s="1207"/>
      <c r="E31" s="1207"/>
      <c r="F31" s="1207"/>
      <c r="G31" s="1207" t="s">
        <v>1110</v>
      </c>
    </row>
    <row r="32" spans="2:80" ht="15.6" hidden="1">
      <c r="C32" s="1208">
        <v>2017</v>
      </c>
      <c r="D32" s="1208">
        <v>33</v>
      </c>
      <c r="E32" s="1208" t="s">
        <v>1111</v>
      </c>
      <c r="F32" s="1208" t="s">
        <v>1112</v>
      </c>
      <c r="G32" s="1209">
        <v>28000</v>
      </c>
    </row>
    <row r="33" spans="3:7" ht="15.6" hidden="1">
      <c r="C33" s="1208">
        <v>2017</v>
      </c>
      <c r="D33" s="1208">
        <v>34</v>
      </c>
      <c r="E33" s="1208" t="s">
        <v>1113</v>
      </c>
      <c r="F33" s="1208" t="s">
        <v>1114</v>
      </c>
      <c r="G33" s="1209">
        <v>28000</v>
      </c>
    </row>
    <row r="34" spans="3:7" ht="15.6" hidden="1">
      <c r="C34" s="1208">
        <v>2017</v>
      </c>
      <c r="D34" s="1208">
        <v>35</v>
      </c>
      <c r="E34" s="1208" t="s">
        <v>1115</v>
      </c>
      <c r="F34" s="1208" t="s">
        <v>1116</v>
      </c>
      <c r="G34" s="1209">
        <v>28000</v>
      </c>
    </row>
    <row r="35" spans="3:7" ht="15.6" hidden="1">
      <c r="C35" s="1208">
        <v>2017</v>
      </c>
      <c r="D35" s="1208">
        <v>36</v>
      </c>
      <c r="E35" s="1208" t="s">
        <v>1117</v>
      </c>
      <c r="F35" s="1208" t="s">
        <v>1118</v>
      </c>
      <c r="G35" s="1209">
        <v>28000</v>
      </c>
    </row>
    <row r="36" spans="3:7" ht="15.6" hidden="1">
      <c r="C36" s="1208">
        <v>2017</v>
      </c>
      <c r="D36" s="1208">
        <v>37</v>
      </c>
      <c r="E36" s="1208" t="s">
        <v>1119</v>
      </c>
      <c r="F36" s="1208" t="s">
        <v>1120</v>
      </c>
      <c r="G36" s="1209">
        <v>28500</v>
      </c>
    </row>
    <row r="37" spans="3:7" ht="15.6" hidden="1">
      <c r="C37" s="1208">
        <v>2017</v>
      </c>
      <c r="D37" s="1208">
        <v>38</v>
      </c>
      <c r="E37" s="1208" t="s">
        <v>1121</v>
      </c>
      <c r="F37" s="1208" t="s">
        <v>1122</v>
      </c>
      <c r="G37" s="1209">
        <v>29500</v>
      </c>
    </row>
    <row r="38" spans="3:7" ht="15.6" hidden="1">
      <c r="C38" s="1208">
        <v>2017</v>
      </c>
      <c r="D38" s="1208">
        <v>39</v>
      </c>
      <c r="E38" s="1208" t="s">
        <v>1123</v>
      </c>
      <c r="F38" s="1208" t="s">
        <v>1124</v>
      </c>
      <c r="G38" s="1209">
        <v>30000</v>
      </c>
    </row>
    <row r="39" spans="3:7" ht="15.6" hidden="1">
      <c r="C39" s="1208">
        <v>2017</v>
      </c>
      <c r="D39" s="1208">
        <v>40</v>
      </c>
      <c r="E39" s="1208" t="s">
        <v>1125</v>
      </c>
      <c r="F39" s="1208" t="s">
        <v>1126</v>
      </c>
      <c r="G39" s="1209">
        <v>30000</v>
      </c>
    </row>
    <row r="40" spans="3:7" ht="15.6" hidden="1">
      <c r="C40" s="1208">
        <v>2017</v>
      </c>
      <c r="D40" s="1208">
        <v>41</v>
      </c>
      <c r="E40" s="1208" t="s">
        <v>1127</v>
      </c>
      <c r="F40" s="1208" t="s">
        <v>1128</v>
      </c>
      <c r="G40" s="1209">
        <v>30000</v>
      </c>
    </row>
    <row r="41" spans="3:7" ht="15.6" hidden="1">
      <c r="C41" s="1208">
        <v>2017</v>
      </c>
      <c r="D41" s="1208">
        <v>42</v>
      </c>
      <c r="E41" s="1208" t="s">
        <v>1129</v>
      </c>
      <c r="F41" s="1208" t="s">
        <v>1130</v>
      </c>
      <c r="G41" s="1209">
        <v>30000</v>
      </c>
    </row>
    <row r="42" spans="3:7" ht="15.6" hidden="1">
      <c r="C42" s="1208">
        <v>2017</v>
      </c>
      <c r="D42" s="1208">
        <v>43</v>
      </c>
      <c r="E42" s="1208" t="s">
        <v>1131</v>
      </c>
      <c r="F42" s="1208" t="s">
        <v>1132</v>
      </c>
      <c r="G42" s="1209">
        <v>30000</v>
      </c>
    </row>
    <row r="43" spans="3:7" ht="15.6" hidden="1">
      <c r="C43" s="1208">
        <v>2017</v>
      </c>
      <c r="D43" s="1208">
        <v>44</v>
      </c>
      <c r="E43" s="1208" t="s">
        <v>1133</v>
      </c>
      <c r="F43" s="1208" t="s">
        <v>1134</v>
      </c>
      <c r="G43" s="1209">
        <v>30000</v>
      </c>
    </row>
    <row r="44" spans="3:7" ht="15.6" hidden="1">
      <c r="C44" s="1208">
        <v>2017</v>
      </c>
      <c r="D44" s="1208">
        <v>45</v>
      </c>
      <c r="E44" s="1208" t="s">
        <v>1135</v>
      </c>
      <c r="F44" s="1208" t="s">
        <v>1136</v>
      </c>
      <c r="G44" s="1209">
        <v>30000</v>
      </c>
    </row>
    <row r="45" spans="3:7" ht="15.6" hidden="1">
      <c r="C45" s="1208">
        <v>2017</v>
      </c>
      <c r="D45" s="1208">
        <v>46</v>
      </c>
      <c r="E45" s="1208" t="s">
        <v>1137</v>
      </c>
      <c r="F45" s="1208" t="s">
        <v>1138</v>
      </c>
      <c r="G45" s="1209">
        <v>30000</v>
      </c>
    </row>
    <row r="46" spans="3:7" ht="15.6" hidden="1">
      <c r="C46" s="1208">
        <v>2017</v>
      </c>
      <c r="D46" s="1208">
        <v>47</v>
      </c>
      <c r="E46" s="1208" t="s">
        <v>1139</v>
      </c>
      <c r="F46" s="1208" t="s">
        <v>1140</v>
      </c>
      <c r="G46" s="1209">
        <v>30000</v>
      </c>
    </row>
    <row r="47" spans="3:7" ht="15.6" hidden="1">
      <c r="C47" s="1208">
        <v>2017</v>
      </c>
      <c r="D47" s="1208">
        <v>48</v>
      </c>
      <c r="E47" s="1208" t="s">
        <v>1141</v>
      </c>
      <c r="F47" s="1208" t="s">
        <v>1142</v>
      </c>
      <c r="G47" s="1209">
        <v>30000</v>
      </c>
    </row>
    <row r="48" spans="3:7" ht="15.6" hidden="1">
      <c r="C48" s="1208">
        <v>2017</v>
      </c>
      <c r="D48" s="1208">
        <v>49</v>
      </c>
      <c r="E48" s="1208" t="s">
        <v>1143</v>
      </c>
      <c r="F48" s="1208" t="s">
        <v>1144</v>
      </c>
      <c r="G48" s="1209">
        <v>29000</v>
      </c>
    </row>
    <row r="49" spans="3:7" ht="15.6" hidden="1">
      <c r="C49" s="1208">
        <v>2017</v>
      </c>
      <c r="D49" s="1208">
        <v>50</v>
      </c>
      <c r="E49" s="1208" t="s">
        <v>1145</v>
      </c>
      <c r="F49" s="1208" t="s">
        <v>1146</v>
      </c>
      <c r="G49" s="1209">
        <v>29500</v>
      </c>
    </row>
    <row r="50" spans="3:7" ht="15.6" hidden="1">
      <c r="C50" s="1208">
        <v>2017</v>
      </c>
      <c r="D50" s="1208">
        <v>51</v>
      </c>
      <c r="E50" s="1208" t="s">
        <v>1147</v>
      </c>
      <c r="F50" s="1208" t="s">
        <v>1148</v>
      </c>
      <c r="G50" s="1209">
        <v>31500</v>
      </c>
    </row>
    <row r="51" spans="3:7" ht="15.6" hidden="1">
      <c r="C51" s="1208">
        <v>2017</v>
      </c>
      <c r="D51" s="1208">
        <v>52</v>
      </c>
      <c r="E51" s="1208" t="s">
        <v>1149</v>
      </c>
      <c r="F51" s="1208" t="s">
        <v>1150</v>
      </c>
      <c r="G51" s="1209">
        <v>32250</v>
      </c>
    </row>
    <row r="52" spans="3:7" ht="15.6" hidden="1">
      <c r="C52" s="1208">
        <v>2017</v>
      </c>
      <c r="D52" s="1208">
        <v>53</v>
      </c>
      <c r="E52" s="1208" t="s">
        <v>1151</v>
      </c>
      <c r="F52" s="1208" t="s">
        <v>1152</v>
      </c>
      <c r="G52" s="1209">
        <v>32500</v>
      </c>
    </row>
    <row r="53" spans="3:7" ht="15.6" hidden="1">
      <c r="C53" s="1208">
        <v>2018</v>
      </c>
      <c r="D53" s="1208">
        <v>1</v>
      </c>
      <c r="E53" s="1208" t="s">
        <v>1153</v>
      </c>
      <c r="F53" s="1208" t="s">
        <v>1154</v>
      </c>
      <c r="G53" s="1209">
        <v>32500</v>
      </c>
    </row>
    <row r="54" spans="3:7" ht="15.6" hidden="1">
      <c r="C54" s="1208">
        <v>2018</v>
      </c>
      <c r="D54" s="1208">
        <v>2</v>
      </c>
      <c r="E54" s="1208" t="s">
        <v>1155</v>
      </c>
      <c r="F54" s="1208" t="s">
        <v>1156</v>
      </c>
      <c r="G54" s="1209">
        <v>32500</v>
      </c>
    </row>
    <row r="55" spans="3:7" ht="15.6" hidden="1">
      <c r="C55" s="1208">
        <v>2018</v>
      </c>
      <c r="D55" s="1208">
        <v>3</v>
      </c>
      <c r="E55" s="1208" t="s">
        <v>1157</v>
      </c>
      <c r="F55" s="1208" t="s">
        <v>1158</v>
      </c>
      <c r="G55" s="1209">
        <v>32500</v>
      </c>
    </row>
    <row r="56" spans="3:7" ht="15.6" hidden="1">
      <c r="C56" s="1208">
        <v>2018</v>
      </c>
      <c r="D56" s="1208">
        <v>4</v>
      </c>
      <c r="E56" s="1208" t="s">
        <v>1159</v>
      </c>
      <c r="F56" s="1208" t="s">
        <v>1160</v>
      </c>
      <c r="G56" s="1209">
        <v>29750</v>
      </c>
    </row>
    <row r="57" spans="3:7" ht="15.6" hidden="1">
      <c r="C57" s="1208">
        <v>2018</v>
      </c>
      <c r="D57" s="1208">
        <v>5</v>
      </c>
      <c r="E57" s="1208" t="s">
        <v>1161</v>
      </c>
      <c r="F57" s="1208" t="s">
        <v>1162</v>
      </c>
      <c r="G57" s="1209">
        <v>27000</v>
      </c>
    </row>
    <row r="58" spans="3:7" ht="15.6" hidden="1">
      <c r="C58" s="1208">
        <v>2018</v>
      </c>
      <c r="D58" s="1208">
        <v>6</v>
      </c>
      <c r="E58" s="1208" t="s">
        <v>1163</v>
      </c>
      <c r="F58" s="1208" t="s">
        <v>1164</v>
      </c>
      <c r="G58" s="1209">
        <v>26500</v>
      </c>
    </row>
    <row r="59" spans="3:7" ht="15.6" hidden="1">
      <c r="C59" s="1208">
        <v>2018</v>
      </c>
      <c r="D59" s="1208">
        <v>7</v>
      </c>
      <c r="E59" s="1208" t="s">
        <v>1165</v>
      </c>
      <c r="F59" s="1208" t="s">
        <v>1166</v>
      </c>
      <c r="G59" s="1209">
        <v>26500</v>
      </c>
    </row>
    <row r="60" spans="3:7" ht="15.6" hidden="1">
      <c r="C60" s="1208">
        <v>2018</v>
      </c>
      <c r="D60" s="1208">
        <v>8</v>
      </c>
      <c r="E60" s="1208" t="s">
        <v>1167</v>
      </c>
      <c r="F60" s="1208" t="s">
        <v>1168</v>
      </c>
      <c r="G60" s="1209">
        <v>27000</v>
      </c>
    </row>
    <row r="61" spans="3:7" ht="15.6" hidden="1">
      <c r="C61" s="1208">
        <v>2018</v>
      </c>
      <c r="D61" s="1208">
        <v>9</v>
      </c>
      <c r="E61" s="1208" t="s">
        <v>1169</v>
      </c>
      <c r="F61" s="1208" t="s">
        <v>1170</v>
      </c>
      <c r="G61" s="1209">
        <v>27000</v>
      </c>
    </row>
    <row r="62" spans="3:7" ht="15.6" hidden="1">
      <c r="C62" s="1208">
        <v>2018</v>
      </c>
      <c r="D62" s="1208">
        <v>10</v>
      </c>
      <c r="E62" s="1208" t="s">
        <v>1171</v>
      </c>
      <c r="F62" s="1208" t="s">
        <v>1172</v>
      </c>
      <c r="G62" s="1209">
        <v>27000</v>
      </c>
    </row>
    <row r="63" spans="3:7" ht="15.6" hidden="1">
      <c r="C63" s="1208">
        <v>2018</v>
      </c>
      <c r="D63" s="1208">
        <v>11</v>
      </c>
      <c r="E63" s="1208" t="s">
        <v>1173</v>
      </c>
      <c r="F63" s="1208" t="s">
        <v>1174</v>
      </c>
      <c r="G63" s="1209">
        <v>27000</v>
      </c>
    </row>
    <row r="64" spans="3:7" ht="15.6" hidden="1">
      <c r="C64" s="1208">
        <v>2018</v>
      </c>
      <c r="D64" s="1208">
        <v>12</v>
      </c>
      <c r="E64" s="1208" t="s">
        <v>1175</v>
      </c>
      <c r="F64" s="1208" t="s">
        <v>1176</v>
      </c>
      <c r="G64" s="1209">
        <v>27250</v>
      </c>
    </row>
    <row r="65" spans="3:7" ht="15.6" hidden="1">
      <c r="C65" s="1208">
        <v>2018</v>
      </c>
      <c r="D65" s="1208">
        <v>13</v>
      </c>
      <c r="E65" s="1208" t="s">
        <v>1177</v>
      </c>
      <c r="F65" s="1208" t="s">
        <v>1178</v>
      </c>
      <c r="G65" s="1209">
        <v>27500</v>
      </c>
    </row>
    <row r="66" spans="3:7" ht="15.6" hidden="1">
      <c r="C66" s="1208">
        <v>2018</v>
      </c>
      <c r="D66" s="1208">
        <v>14</v>
      </c>
      <c r="E66" s="1208" t="s">
        <v>1179</v>
      </c>
      <c r="F66" s="1208" t="s">
        <v>1180</v>
      </c>
      <c r="G66" s="1209">
        <v>27500</v>
      </c>
    </row>
    <row r="67" spans="3:7" ht="15.6" hidden="1">
      <c r="C67" s="1208">
        <v>2018</v>
      </c>
      <c r="D67" s="1208">
        <v>15</v>
      </c>
      <c r="E67" s="1208" t="s">
        <v>1181</v>
      </c>
      <c r="F67" s="1208" t="s">
        <v>1182</v>
      </c>
      <c r="G67" s="1209">
        <v>27500</v>
      </c>
    </row>
    <row r="68" spans="3:7" ht="15.6" hidden="1">
      <c r="C68" s="1208">
        <v>2018</v>
      </c>
      <c r="D68" s="1208">
        <v>16</v>
      </c>
      <c r="E68" s="1208" t="s">
        <v>1183</v>
      </c>
      <c r="F68" s="1208" t="s">
        <v>1184</v>
      </c>
      <c r="G68" s="1209">
        <v>27500</v>
      </c>
    </row>
    <row r="69" spans="3:7" ht="15.6" hidden="1">
      <c r="C69" s="1208">
        <v>2018</v>
      </c>
      <c r="D69" s="1208">
        <v>17</v>
      </c>
      <c r="E69" s="1208" t="s">
        <v>1185</v>
      </c>
      <c r="F69" s="1208" t="s">
        <v>1186</v>
      </c>
      <c r="G69" s="1209">
        <v>27500</v>
      </c>
    </row>
    <row r="70" spans="3:7" ht="15.6" hidden="1">
      <c r="C70" s="1208">
        <v>2018</v>
      </c>
      <c r="D70" s="1208">
        <v>18</v>
      </c>
      <c r="E70" s="1208" t="s">
        <v>1187</v>
      </c>
      <c r="F70" s="1208" t="s">
        <v>1188</v>
      </c>
      <c r="G70" s="1209">
        <v>27500</v>
      </c>
    </row>
    <row r="71" spans="3:7" ht="15.6" hidden="1">
      <c r="C71" s="1208">
        <v>2018</v>
      </c>
      <c r="D71" s="1208">
        <v>19</v>
      </c>
      <c r="E71" s="1208" t="s">
        <v>1189</v>
      </c>
      <c r="F71" s="1208" t="s">
        <v>1190</v>
      </c>
      <c r="G71" s="1209">
        <v>27500</v>
      </c>
    </row>
    <row r="72" spans="3:7" ht="15.6" hidden="1">
      <c r="C72" s="1208">
        <v>2018</v>
      </c>
      <c r="D72" s="1208">
        <v>20</v>
      </c>
      <c r="E72" s="1208" t="s">
        <v>1191</v>
      </c>
      <c r="F72" s="1208" t="s">
        <v>1192</v>
      </c>
      <c r="G72" s="1209">
        <v>27500</v>
      </c>
    </row>
    <row r="73" spans="3:7" ht="15.6" hidden="1">
      <c r="C73" s="1208">
        <v>2018</v>
      </c>
      <c r="D73" s="1208">
        <v>21</v>
      </c>
      <c r="E73" s="1208" t="s">
        <v>1193</v>
      </c>
      <c r="F73" s="1208" t="s">
        <v>1194</v>
      </c>
      <c r="G73" s="1209">
        <v>27500</v>
      </c>
    </row>
    <row r="74" spans="3:7" ht="15.6" hidden="1">
      <c r="C74" s="1208">
        <v>2018</v>
      </c>
      <c r="D74" s="1208">
        <v>22</v>
      </c>
      <c r="E74" s="1208" t="s">
        <v>1195</v>
      </c>
      <c r="F74" s="1208" t="s">
        <v>1196</v>
      </c>
      <c r="G74" s="1209">
        <v>27500</v>
      </c>
    </row>
    <row r="75" spans="3:7" ht="15.6" hidden="1">
      <c r="C75" s="1208">
        <v>2018</v>
      </c>
      <c r="D75" s="1208">
        <v>23</v>
      </c>
      <c r="E75" s="1208" t="s">
        <v>1197</v>
      </c>
      <c r="F75" s="1208" t="s">
        <v>1198</v>
      </c>
      <c r="G75" s="1209">
        <v>27500</v>
      </c>
    </row>
    <row r="76" spans="3:7" ht="15.6" hidden="1">
      <c r="C76" s="1208">
        <v>2018</v>
      </c>
      <c r="D76" s="1208">
        <v>24</v>
      </c>
      <c r="E76" s="1208" t="s">
        <v>1199</v>
      </c>
      <c r="F76" s="1208" t="s">
        <v>1200</v>
      </c>
      <c r="G76" s="1209">
        <v>27500</v>
      </c>
    </row>
    <row r="77" spans="3:7" ht="15.6" hidden="1">
      <c r="C77" s="1208">
        <v>2018</v>
      </c>
      <c r="D77" s="1208">
        <v>25</v>
      </c>
      <c r="E77" s="1208" t="s">
        <v>1201</v>
      </c>
      <c r="F77" s="1208" t="s">
        <v>1202</v>
      </c>
      <c r="G77" s="1209">
        <v>27500</v>
      </c>
    </row>
    <row r="78" spans="3:7" ht="15.6" hidden="1">
      <c r="C78" s="1208">
        <v>2018</v>
      </c>
      <c r="D78" s="1208">
        <v>26</v>
      </c>
      <c r="E78" s="1208" t="s">
        <v>1203</v>
      </c>
      <c r="F78" s="1208" t="s">
        <v>1204</v>
      </c>
      <c r="G78" s="1209">
        <v>27500</v>
      </c>
    </row>
    <row r="79" spans="3:7" ht="15.6" hidden="1">
      <c r="C79" s="1208">
        <v>2018</v>
      </c>
      <c r="D79" s="1208">
        <v>27</v>
      </c>
      <c r="E79" s="1208" t="s">
        <v>1205</v>
      </c>
      <c r="F79" s="1208" t="s">
        <v>1206</v>
      </c>
      <c r="G79" s="1209">
        <v>27500</v>
      </c>
    </row>
    <row r="80" spans="3:7" ht="15.6" hidden="1">
      <c r="C80" s="1208">
        <v>2018</v>
      </c>
      <c r="D80" s="1208">
        <v>28</v>
      </c>
      <c r="E80" s="1208" t="s">
        <v>1207</v>
      </c>
      <c r="F80" s="1208" t="s">
        <v>1208</v>
      </c>
      <c r="G80" s="1209">
        <v>27500</v>
      </c>
    </row>
    <row r="81" spans="3:7" ht="15.6" hidden="1">
      <c r="C81" s="1208">
        <v>2018</v>
      </c>
      <c r="D81" s="1208">
        <v>29</v>
      </c>
      <c r="E81" s="1208" t="s">
        <v>1209</v>
      </c>
      <c r="F81" s="1208" t="s">
        <v>1210</v>
      </c>
      <c r="G81" s="1209">
        <v>27500</v>
      </c>
    </row>
    <row r="82" spans="3:7" ht="15.6" hidden="1">
      <c r="C82" s="1208">
        <v>2018</v>
      </c>
      <c r="D82" s="1208">
        <v>30</v>
      </c>
      <c r="E82" s="1208" t="s">
        <v>1211</v>
      </c>
      <c r="F82" s="1208" t="s">
        <v>1212</v>
      </c>
      <c r="G82" s="1209">
        <v>27500</v>
      </c>
    </row>
    <row r="83" spans="3:7" ht="15.6" hidden="1">
      <c r="C83" s="1208">
        <v>2018</v>
      </c>
      <c r="D83" s="1208">
        <v>31</v>
      </c>
      <c r="E83" s="1208" t="s">
        <v>1213</v>
      </c>
      <c r="F83" s="1208" t="s">
        <v>1214</v>
      </c>
      <c r="G83" s="1209">
        <v>27500</v>
      </c>
    </row>
    <row r="84" spans="3:7" ht="15.6" hidden="1">
      <c r="C84" s="1208">
        <v>2018</v>
      </c>
      <c r="D84" s="1208">
        <v>32</v>
      </c>
      <c r="E84" s="1208" t="s">
        <v>1215</v>
      </c>
      <c r="F84" s="1208" t="s">
        <v>1216</v>
      </c>
      <c r="G84" s="1209">
        <v>27500</v>
      </c>
    </row>
    <row r="85" spans="3:7" ht="15.6" hidden="1">
      <c r="C85" s="1208">
        <v>2018</v>
      </c>
      <c r="D85" s="1208">
        <v>33</v>
      </c>
      <c r="E85" s="1208" t="s">
        <v>1217</v>
      </c>
      <c r="F85" s="1208" t="s">
        <v>1218</v>
      </c>
      <c r="G85" s="1209">
        <v>27500</v>
      </c>
    </row>
    <row r="86" spans="3:7" ht="15.6" hidden="1">
      <c r="C86" s="1208">
        <v>2018</v>
      </c>
      <c r="D86" s="1208">
        <v>34</v>
      </c>
      <c r="E86" s="1208" t="s">
        <v>1219</v>
      </c>
      <c r="F86" s="1208" t="s">
        <v>1220</v>
      </c>
      <c r="G86" s="1209">
        <v>27500</v>
      </c>
    </row>
    <row r="87" spans="3:7" ht="15.6" hidden="1">
      <c r="C87" s="1208">
        <v>2018</v>
      </c>
      <c r="D87" s="1208">
        <v>35</v>
      </c>
      <c r="E87" s="1208" t="s">
        <v>1221</v>
      </c>
      <c r="F87" s="1208" t="s">
        <v>1222</v>
      </c>
      <c r="G87" s="1209">
        <v>27500</v>
      </c>
    </row>
    <row r="88" spans="3:7" ht="15.6" hidden="1">
      <c r="C88" s="1208">
        <v>2018</v>
      </c>
      <c r="D88" s="1208">
        <v>36</v>
      </c>
      <c r="E88" s="1208" t="s">
        <v>1223</v>
      </c>
      <c r="F88" s="1208" t="s">
        <v>1224</v>
      </c>
      <c r="G88" s="1209">
        <v>27500</v>
      </c>
    </row>
    <row r="89" spans="3:7" ht="15.6" hidden="1">
      <c r="C89" s="1208">
        <v>2018</v>
      </c>
      <c r="D89" s="1208">
        <v>37</v>
      </c>
      <c r="E89" s="1208" t="s">
        <v>1225</v>
      </c>
      <c r="F89" s="1208" t="s">
        <v>1226</v>
      </c>
      <c r="G89" s="1209">
        <v>27500</v>
      </c>
    </row>
    <row r="90" spans="3:7" ht="15.6" hidden="1">
      <c r="C90" s="1208">
        <v>2018</v>
      </c>
      <c r="D90" s="1208">
        <v>38</v>
      </c>
      <c r="E90" s="1208" t="s">
        <v>1227</v>
      </c>
      <c r="F90" s="1208" t="s">
        <v>1228</v>
      </c>
      <c r="G90" s="1209">
        <v>28500</v>
      </c>
    </row>
    <row r="91" spans="3:7" ht="15.6" hidden="1">
      <c r="C91" s="1208">
        <v>2018</v>
      </c>
      <c r="D91" s="1208">
        <v>39</v>
      </c>
      <c r="E91" s="1208" t="s">
        <v>1229</v>
      </c>
      <c r="F91" s="1208" t="s">
        <v>1230</v>
      </c>
      <c r="G91" s="1209">
        <v>28500</v>
      </c>
    </row>
    <row r="92" spans="3:7" ht="15.6" hidden="1">
      <c r="C92" s="1208">
        <v>2018</v>
      </c>
      <c r="D92" s="1208">
        <v>40</v>
      </c>
      <c r="E92" s="1208" t="s">
        <v>1231</v>
      </c>
      <c r="F92" s="1208" t="s">
        <v>1232</v>
      </c>
      <c r="G92" s="1209">
        <v>28500</v>
      </c>
    </row>
    <row r="93" spans="3:7" ht="15.6" hidden="1">
      <c r="C93" s="1208">
        <v>2018</v>
      </c>
      <c r="D93" s="1208">
        <v>41</v>
      </c>
      <c r="E93" s="1208" t="s">
        <v>1233</v>
      </c>
      <c r="F93" s="1208" t="s">
        <v>1234</v>
      </c>
      <c r="G93" s="1209">
        <v>28500</v>
      </c>
    </row>
    <row r="94" spans="3:7" ht="15.6" hidden="1">
      <c r="C94" s="1208">
        <v>2018</v>
      </c>
      <c r="D94" s="1208">
        <v>42</v>
      </c>
      <c r="E94" s="1208" t="s">
        <v>1235</v>
      </c>
      <c r="F94" s="1208" t="s">
        <v>1236</v>
      </c>
      <c r="G94" s="1209">
        <v>28500</v>
      </c>
    </row>
    <row r="95" spans="3:7" ht="15.6" hidden="1">
      <c r="C95" s="1208">
        <v>2018</v>
      </c>
      <c r="D95" s="1208">
        <v>43</v>
      </c>
      <c r="E95" s="1208" t="s">
        <v>1237</v>
      </c>
      <c r="F95" s="1208" t="s">
        <v>1238</v>
      </c>
      <c r="G95" s="1209">
        <v>28500</v>
      </c>
    </row>
    <row r="96" spans="3:7" ht="15.6" hidden="1">
      <c r="C96" s="1208">
        <v>2018</v>
      </c>
      <c r="D96" s="1208">
        <v>44</v>
      </c>
      <c r="E96" s="1208" t="s">
        <v>1239</v>
      </c>
      <c r="F96" s="1208" t="s">
        <v>1240</v>
      </c>
      <c r="G96" s="1209">
        <v>28500</v>
      </c>
    </row>
    <row r="97" spans="3:7" ht="15.6" hidden="1">
      <c r="C97" s="1208">
        <v>2018</v>
      </c>
      <c r="D97" s="1208">
        <v>45</v>
      </c>
      <c r="E97" s="1208" t="s">
        <v>1241</v>
      </c>
      <c r="F97" s="1208" t="s">
        <v>1242</v>
      </c>
      <c r="G97" s="1209">
        <v>28500</v>
      </c>
    </row>
    <row r="98" spans="3:7" ht="15.6" hidden="1">
      <c r="C98" s="1208">
        <v>2018</v>
      </c>
      <c r="D98" s="1208">
        <v>46</v>
      </c>
      <c r="E98" s="1208" t="s">
        <v>1243</v>
      </c>
      <c r="F98" s="1208" t="s">
        <v>1244</v>
      </c>
      <c r="G98" s="1209">
        <v>28500</v>
      </c>
    </row>
    <row r="99" spans="3:7" ht="15.6" hidden="1">
      <c r="C99" s="1208">
        <v>2018</v>
      </c>
      <c r="D99" s="1208">
        <v>47</v>
      </c>
      <c r="E99" s="1208" t="s">
        <v>1245</v>
      </c>
      <c r="F99" s="1208" t="s">
        <v>1246</v>
      </c>
      <c r="G99" s="1209">
        <v>28500</v>
      </c>
    </row>
    <row r="100" spans="3:7" ht="15.6" hidden="1">
      <c r="C100" s="1208">
        <v>2018</v>
      </c>
      <c r="D100" s="1208">
        <v>48</v>
      </c>
      <c r="E100" s="1208" t="s">
        <v>1247</v>
      </c>
      <c r="F100" s="1208" t="s">
        <v>1248</v>
      </c>
      <c r="G100" s="1209">
        <v>28500</v>
      </c>
    </row>
    <row r="101" spans="3:7" ht="15.6" hidden="1">
      <c r="C101" s="1208">
        <v>2018</v>
      </c>
      <c r="D101" s="1208">
        <v>49</v>
      </c>
      <c r="E101" s="1208" t="s">
        <v>1249</v>
      </c>
      <c r="F101" s="1208" t="s">
        <v>1250</v>
      </c>
      <c r="G101" s="1209">
        <v>28000</v>
      </c>
    </row>
    <row r="102" spans="3:7" ht="15.6" hidden="1">
      <c r="C102" s="1208">
        <v>2018</v>
      </c>
      <c r="D102" s="1208">
        <v>50</v>
      </c>
      <c r="E102" s="1208" t="s">
        <v>1251</v>
      </c>
      <c r="F102" s="1208" t="s">
        <v>1252</v>
      </c>
      <c r="G102" s="1209">
        <v>28000</v>
      </c>
    </row>
    <row r="103" spans="3:7" ht="15.6" hidden="1">
      <c r="C103" s="1208">
        <v>2018</v>
      </c>
      <c r="D103" s="1208">
        <v>51</v>
      </c>
      <c r="E103" s="1208" t="s">
        <v>1253</v>
      </c>
      <c r="F103" s="1208" t="s">
        <v>1254</v>
      </c>
      <c r="G103" s="1209">
        <v>28000</v>
      </c>
    </row>
    <row r="104" spans="3:7" ht="15.6" hidden="1">
      <c r="C104" s="1208">
        <v>2018</v>
      </c>
      <c r="D104" s="1208">
        <v>52</v>
      </c>
      <c r="E104" s="1208" t="s">
        <v>1255</v>
      </c>
      <c r="F104" s="1208" t="s">
        <v>1256</v>
      </c>
      <c r="G104" s="1209">
        <v>28000</v>
      </c>
    </row>
    <row r="105" spans="3:7" ht="15.6" hidden="1">
      <c r="C105" s="1208">
        <v>2019</v>
      </c>
      <c r="D105" s="1208">
        <v>1</v>
      </c>
      <c r="E105" s="1208" t="s">
        <v>1257</v>
      </c>
      <c r="F105" s="1208" t="s">
        <v>1258</v>
      </c>
      <c r="G105" s="1209">
        <v>28000</v>
      </c>
    </row>
    <row r="106" spans="3:7" ht="15.6" hidden="1">
      <c r="C106" s="1208">
        <v>2019</v>
      </c>
      <c r="D106" s="1208">
        <v>2</v>
      </c>
      <c r="E106" s="1208" t="s">
        <v>1259</v>
      </c>
      <c r="F106" s="1208" t="s">
        <v>1260</v>
      </c>
      <c r="G106" s="1209">
        <v>28000</v>
      </c>
    </row>
    <row r="107" spans="3:7" ht="15.6" hidden="1">
      <c r="C107" s="1208">
        <v>2019</v>
      </c>
      <c r="D107" s="1208">
        <v>3</v>
      </c>
      <c r="E107" s="1208" t="s">
        <v>1261</v>
      </c>
      <c r="F107" s="1208" t="s">
        <v>1262</v>
      </c>
      <c r="G107" s="1209">
        <v>27000</v>
      </c>
    </row>
    <row r="108" spans="3:7" ht="15.6" hidden="1">
      <c r="C108" s="1208">
        <v>2019</v>
      </c>
      <c r="D108" s="1208">
        <v>4</v>
      </c>
      <c r="E108" s="1208" t="s">
        <v>1263</v>
      </c>
      <c r="F108" s="1208" t="s">
        <v>1264</v>
      </c>
      <c r="G108" s="1209">
        <v>26500</v>
      </c>
    </row>
    <row r="109" spans="3:7" ht="15.6" hidden="1">
      <c r="C109" s="1208">
        <v>2019</v>
      </c>
      <c r="D109" s="1208">
        <v>6</v>
      </c>
      <c r="E109" s="1208" t="s">
        <v>1265</v>
      </c>
      <c r="F109" s="1208" t="s">
        <v>1266</v>
      </c>
      <c r="G109" s="1209">
        <v>26000</v>
      </c>
    </row>
    <row r="110" spans="3:7" ht="15.6" hidden="1">
      <c r="C110" s="1208">
        <v>2019</v>
      </c>
      <c r="D110" s="1208">
        <v>7</v>
      </c>
      <c r="E110" s="1208" t="s">
        <v>1267</v>
      </c>
      <c r="F110" s="1208" t="s">
        <v>1268</v>
      </c>
      <c r="G110" s="1209">
        <v>26000</v>
      </c>
    </row>
    <row r="111" spans="3:7" ht="15.6" hidden="1">
      <c r="C111" s="1208">
        <v>2019</v>
      </c>
      <c r="D111" s="1208">
        <v>8</v>
      </c>
      <c r="E111" s="1208" t="s">
        <v>1269</v>
      </c>
      <c r="F111" s="1208" t="s">
        <v>1270</v>
      </c>
      <c r="G111" s="1209">
        <v>26000</v>
      </c>
    </row>
    <row r="112" spans="3:7" ht="15.6" hidden="1">
      <c r="C112" s="1208">
        <v>2019</v>
      </c>
      <c r="D112" s="1208">
        <v>9</v>
      </c>
      <c r="E112" s="1208" t="s">
        <v>1271</v>
      </c>
      <c r="F112" s="1208" t="s">
        <v>1272</v>
      </c>
      <c r="G112" s="1209">
        <v>26000</v>
      </c>
    </row>
    <row r="113" spans="3:7" ht="15.6" hidden="1">
      <c r="C113" s="1208">
        <v>2019</v>
      </c>
      <c r="D113" s="1208">
        <v>10</v>
      </c>
      <c r="E113" s="1208" t="s">
        <v>1273</v>
      </c>
      <c r="F113" s="1208" t="s">
        <v>1274</v>
      </c>
      <c r="G113" s="1209">
        <v>26000</v>
      </c>
    </row>
    <row r="114" spans="3:7" ht="15.6" hidden="1">
      <c r="C114" s="1208">
        <v>2019</v>
      </c>
      <c r="D114" s="1208">
        <v>11</v>
      </c>
      <c r="E114" s="1208" t="s">
        <v>1275</v>
      </c>
      <c r="F114" s="1208" t="s">
        <v>1276</v>
      </c>
      <c r="G114" s="1209">
        <v>26000</v>
      </c>
    </row>
    <row r="115" spans="3:7" ht="15.6" hidden="1">
      <c r="C115" s="1208">
        <v>2019</v>
      </c>
      <c r="D115" s="1208">
        <v>12</v>
      </c>
      <c r="E115" s="1208" t="s">
        <v>1277</v>
      </c>
      <c r="F115" s="1208" t="s">
        <v>1278</v>
      </c>
      <c r="G115" s="1209">
        <v>26500</v>
      </c>
    </row>
    <row r="116" spans="3:7" ht="15.6" hidden="1">
      <c r="C116" s="1208">
        <v>2019</v>
      </c>
      <c r="D116" s="1208">
        <v>13</v>
      </c>
      <c r="E116" s="1208" t="s">
        <v>1279</v>
      </c>
      <c r="F116" s="1208" t="s">
        <v>1280</v>
      </c>
      <c r="G116" s="1209">
        <v>26500</v>
      </c>
    </row>
    <row r="117" spans="3:7" ht="15.6" hidden="1">
      <c r="C117" s="1208">
        <v>2019</v>
      </c>
      <c r="D117" s="1208">
        <v>14</v>
      </c>
      <c r="E117" s="1208" t="s">
        <v>1281</v>
      </c>
      <c r="F117" s="1208" t="s">
        <v>1282</v>
      </c>
      <c r="G117" s="1209">
        <v>26500</v>
      </c>
    </row>
    <row r="118" spans="3:7" ht="15.6" hidden="1">
      <c r="C118" s="1208">
        <v>2019</v>
      </c>
      <c r="D118" s="1208">
        <v>15</v>
      </c>
      <c r="E118" s="1208" t="s">
        <v>1283</v>
      </c>
      <c r="F118" s="1208" t="s">
        <v>1284</v>
      </c>
      <c r="G118" s="1209">
        <v>26250</v>
      </c>
    </row>
    <row r="119" spans="3:7" ht="15.6" hidden="1">
      <c r="C119" s="1208">
        <v>2019</v>
      </c>
      <c r="D119" s="1208">
        <v>16</v>
      </c>
      <c r="E119" s="1208" t="s">
        <v>1285</v>
      </c>
      <c r="F119" s="1208" t="s">
        <v>1286</v>
      </c>
      <c r="G119" s="1209">
        <v>26250</v>
      </c>
    </row>
    <row r="120" spans="3:7" ht="15.6" hidden="1">
      <c r="C120" s="1208">
        <v>2019</v>
      </c>
      <c r="D120" s="1208">
        <v>17</v>
      </c>
      <c r="E120" s="1208" t="s">
        <v>1287</v>
      </c>
      <c r="F120" s="1208" t="s">
        <v>1288</v>
      </c>
      <c r="G120" s="1209">
        <v>26250</v>
      </c>
    </row>
    <row r="121" spans="3:7" ht="15.6" hidden="1">
      <c r="C121" s="1208">
        <v>2019</v>
      </c>
      <c r="D121" s="1208">
        <v>18</v>
      </c>
      <c r="E121" s="1208" t="s">
        <v>1289</v>
      </c>
      <c r="F121" s="1208" t="s">
        <v>1290</v>
      </c>
      <c r="G121" s="1209">
        <v>26250</v>
      </c>
    </row>
    <row r="122" spans="3:7" ht="15.6" hidden="1">
      <c r="C122" s="1208">
        <v>2019</v>
      </c>
      <c r="D122" s="1208">
        <v>19</v>
      </c>
      <c r="E122" s="1208" t="s">
        <v>1291</v>
      </c>
      <c r="F122" s="1208" t="s">
        <v>1292</v>
      </c>
      <c r="G122" s="1209">
        <v>26250</v>
      </c>
    </row>
    <row r="123" spans="3:7" ht="15.6" hidden="1">
      <c r="C123" s="1208">
        <v>2019</v>
      </c>
      <c r="D123" s="1208">
        <v>20</v>
      </c>
      <c r="E123" s="1208" t="s">
        <v>1293</v>
      </c>
      <c r="F123" s="1208" t="s">
        <v>1294</v>
      </c>
      <c r="G123" s="1209">
        <v>26250</v>
      </c>
    </row>
    <row r="124" spans="3:7" ht="15.6" hidden="1">
      <c r="C124" s="1208">
        <v>2019</v>
      </c>
      <c r="D124" s="1208">
        <v>21</v>
      </c>
      <c r="E124" s="1208" t="s">
        <v>1295</v>
      </c>
      <c r="F124" s="1208" t="s">
        <v>1296</v>
      </c>
      <c r="G124" s="1209">
        <v>26250</v>
      </c>
    </row>
    <row r="125" spans="3:7" ht="15.6" hidden="1">
      <c r="C125" s="1208">
        <v>2019</v>
      </c>
      <c r="D125" s="1208">
        <v>22</v>
      </c>
      <c r="E125" s="1208" t="s">
        <v>1297</v>
      </c>
      <c r="F125" s="1208" t="s">
        <v>1298</v>
      </c>
      <c r="G125" s="1209">
        <v>26250</v>
      </c>
    </row>
    <row r="126" spans="3:7" ht="15.6" hidden="1">
      <c r="C126" s="1208">
        <v>2019</v>
      </c>
      <c r="D126" s="1208">
        <v>23</v>
      </c>
      <c r="E126" s="1208" t="s">
        <v>1299</v>
      </c>
      <c r="F126" s="1208" t="s">
        <v>1300</v>
      </c>
      <c r="G126" s="1209">
        <v>26000</v>
      </c>
    </row>
    <row r="127" spans="3:7" ht="15.6" hidden="1">
      <c r="C127" s="1208">
        <v>2019</v>
      </c>
      <c r="D127" s="1208">
        <v>24</v>
      </c>
      <c r="E127" s="1208" t="s">
        <v>1301</v>
      </c>
      <c r="F127" s="1208" t="s">
        <v>1302</v>
      </c>
      <c r="G127" s="1209">
        <v>26000</v>
      </c>
    </row>
    <row r="128" spans="3:7" ht="15.6" hidden="1">
      <c r="C128" s="1208">
        <v>2019</v>
      </c>
      <c r="D128" s="1208">
        <v>25</v>
      </c>
      <c r="E128" s="1208" t="s">
        <v>1303</v>
      </c>
      <c r="F128" s="1208" t="s">
        <v>1304</v>
      </c>
      <c r="G128" s="1209">
        <v>26000</v>
      </c>
    </row>
    <row r="129" spans="3:7" ht="15.6" hidden="1">
      <c r="C129" s="1208">
        <v>2019</v>
      </c>
      <c r="D129" s="1208">
        <v>26</v>
      </c>
      <c r="E129" s="1208" t="s">
        <v>1305</v>
      </c>
      <c r="F129" s="1208" t="s">
        <v>1306</v>
      </c>
      <c r="G129" s="1209">
        <v>26000</v>
      </c>
    </row>
    <row r="130" spans="3:7" ht="15.6" hidden="1">
      <c r="C130" s="1208">
        <v>2019</v>
      </c>
      <c r="D130" s="1208">
        <v>27</v>
      </c>
      <c r="E130" s="1208" t="s">
        <v>1307</v>
      </c>
      <c r="F130" s="1208" t="s">
        <v>1308</v>
      </c>
      <c r="G130" s="1209">
        <v>26000</v>
      </c>
    </row>
    <row r="131" spans="3:7" ht="15.6" hidden="1">
      <c r="C131" s="1208">
        <v>2019</v>
      </c>
      <c r="D131" s="1208">
        <v>28</v>
      </c>
      <c r="E131" s="1208" t="s">
        <v>1309</v>
      </c>
      <c r="F131" s="1208" t="s">
        <v>1310</v>
      </c>
      <c r="G131" s="1209">
        <v>26000</v>
      </c>
    </row>
    <row r="132" spans="3:7" ht="15.6" hidden="1">
      <c r="C132" s="1208">
        <v>2019</v>
      </c>
      <c r="D132" s="1208">
        <v>29</v>
      </c>
      <c r="E132" s="1208" t="s">
        <v>1311</v>
      </c>
      <c r="F132" s="1208" t="s">
        <v>1312</v>
      </c>
      <c r="G132" s="1209">
        <v>26000</v>
      </c>
    </row>
    <row r="133" spans="3:7" ht="15.6" hidden="1">
      <c r="C133" s="1208">
        <v>2019</v>
      </c>
      <c r="D133" s="1208">
        <v>30</v>
      </c>
      <c r="E133" s="1208" t="s">
        <v>1313</v>
      </c>
      <c r="F133" s="1208" t="s">
        <v>1314</v>
      </c>
      <c r="G133" s="1209">
        <v>26000</v>
      </c>
    </row>
    <row r="134" spans="3:7" ht="15.6" hidden="1">
      <c r="C134" s="1208">
        <v>2019</v>
      </c>
      <c r="D134" s="1208">
        <v>31</v>
      </c>
      <c r="E134" s="1208" t="s">
        <v>1315</v>
      </c>
      <c r="F134" s="1208" t="s">
        <v>1316</v>
      </c>
      <c r="G134" s="1209">
        <v>25000</v>
      </c>
    </row>
    <row r="135" spans="3:7" ht="15.6" hidden="1">
      <c r="C135" s="1208">
        <v>2019</v>
      </c>
      <c r="D135" s="1208">
        <v>32</v>
      </c>
      <c r="E135" s="1208" t="s">
        <v>1317</v>
      </c>
      <c r="F135" s="1208" t="s">
        <v>1318</v>
      </c>
      <c r="G135" s="1209">
        <v>25000</v>
      </c>
    </row>
    <row r="136" spans="3:7" ht="15.6" hidden="1">
      <c r="C136" s="1208">
        <v>2019</v>
      </c>
      <c r="D136" s="1208">
        <v>33</v>
      </c>
      <c r="E136" s="1208" t="s">
        <v>1319</v>
      </c>
      <c r="F136" s="1208" t="s">
        <v>1320</v>
      </c>
      <c r="G136" s="1209">
        <v>25000</v>
      </c>
    </row>
    <row r="137" spans="3:7" ht="15.6" hidden="1">
      <c r="C137" s="1208">
        <v>2019</v>
      </c>
      <c r="D137" s="1208">
        <v>34</v>
      </c>
      <c r="E137" s="1208" t="s">
        <v>1321</v>
      </c>
      <c r="F137" s="1208" t="s">
        <v>1322</v>
      </c>
      <c r="G137" s="1209">
        <v>25000</v>
      </c>
    </row>
    <row r="138" spans="3:7" ht="15.6" hidden="1">
      <c r="C138" s="1208">
        <v>2019</v>
      </c>
      <c r="D138" s="1208">
        <v>35</v>
      </c>
      <c r="E138" s="1208" t="s">
        <v>1323</v>
      </c>
      <c r="F138" s="1208" t="s">
        <v>1324</v>
      </c>
      <c r="G138" s="1209">
        <v>25000</v>
      </c>
    </row>
    <row r="139" spans="3:7" ht="15.6" hidden="1">
      <c r="C139" s="1208">
        <v>2019</v>
      </c>
      <c r="D139" s="1208">
        <v>36</v>
      </c>
      <c r="E139" s="1208" t="s">
        <v>1325</v>
      </c>
      <c r="F139" s="1208" t="s">
        <v>1326</v>
      </c>
      <c r="G139" s="1209">
        <v>25000</v>
      </c>
    </row>
    <row r="140" spans="3:7" ht="15.6" hidden="1">
      <c r="C140" s="1208">
        <v>2019</v>
      </c>
      <c r="D140" s="1208">
        <v>37</v>
      </c>
      <c r="E140" s="1208" t="s">
        <v>1327</v>
      </c>
      <c r="F140" s="1208" t="s">
        <v>1328</v>
      </c>
      <c r="G140" s="1209">
        <v>25000</v>
      </c>
    </row>
    <row r="141" spans="3:7" ht="15.6" hidden="1">
      <c r="C141" s="1208">
        <v>2019</v>
      </c>
      <c r="D141" s="1208">
        <v>38</v>
      </c>
      <c r="E141" s="1208" t="s">
        <v>1329</v>
      </c>
      <c r="F141" s="1208" t="s">
        <v>1330</v>
      </c>
      <c r="G141" s="1209">
        <v>25000</v>
      </c>
    </row>
    <row r="142" spans="3:7" ht="15.6" hidden="1">
      <c r="C142" s="1208">
        <v>2019</v>
      </c>
      <c r="D142" s="1208">
        <v>39</v>
      </c>
      <c r="E142" s="1208" t="s">
        <v>1331</v>
      </c>
      <c r="F142" s="1208" t="s">
        <v>1332</v>
      </c>
      <c r="G142" s="1209">
        <v>25000</v>
      </c>
    </row>
    <row r="143" spans="3:7" ht="15.6" hidden="1">
      <c r="C143" s="1208">
        <v>2019</v>
      </c>
      <c r="D143" s="1208">
        <v>40</v>
      </c>
      <c r="E143" s="1208" t="s">
        <v>1333</v>
      </c>
      <c r="F143" s="1208" t="s">
        <v>1334</v>
      </c>
      <c r="G143" s="1209">
        <v>25000</v>
      </c>
    </row>
    <row r="144" spans="3:7" ht="15.6" hidden="1">
      <c r="C144" s="1208">
        <v>2019</v>
      </c>
      <c r="D144" s="1208">
        <v>41</v>
      </c>
      <c r="E144" s="1208" t="s">
        <v>1335</v>
      </c>
      <c r="F144" s="1208" t="s">
        <v>1336</v>
      </c>
      <c r="G144" s="1209">
        <v>25000</v>
      </c>
    </row>
    <row r="145" spans="3:7" ht="15.6" hidden="1">
      <c r="C145" s="1208">
        <v>2019</v>
      </c>
      <c r="D145" s="1208">
        <v>42</v>
      </c>
      <c r="E145" s="1208" t="s">
        <v>1337</v>
      </c>
      <c r="F145" s="1208" t="s">
        <v>1338</v>
      </c>
      <c r="G145" s="1209">
        <v>25000</v>
      </c>
    </row>
    <row r="146" spans="3:7" ht="15.6" hidden="1">
      <c r="C146" s="1208">
        <v>2019</v>
      </c>
      <c r="D146" s="1208">
        <v>43</v>
      </c>
      <c r="E146" s="1208" t="s">
        <v>1339</v>
      </c>
      <c r="F146" s="1208" t="s">
        <v>1340</v>
      </c>
      <c r="G146" s="1209">
        <v>24000</v>
      </c>
    </row>
    <row r="147" spans="3:7" ht="15.6" hidden="1">
      <c r="C147" s="1208">
        <v>2019</v>
      </c>
      <c r="D147" s="1208">
        <v>44</v>
      </c>
      <c r="E147" s="1208" t="s">
        <v>1341</v>
      </c>
      <c r="F147" s="1208" t="s">
        <v>1342</v>
      </c>
      <c r="G147" s="1209">
        <v>24000</v>
      </c>
    </row>
    <row r="148" spans="3:7" ht="15.6" hidden="1">
      <c r="C148" s="1208">
        <v>2019</v>
      </c>
      <c r="D148" s="1208">
        <v>45</v>
      </c>
      <c r="E148" s="1208" t="s">
        <v>1343</v>
      </c>
      <c r="F148" s="1208" t="s">
        <v>1344</v>
      </c>
      <c r="G148" s="1209">
        <v>23750</v>
      </c>
    </row>
    <row r="149" spans="3:7" ht="15.6" hidden="1">
      <c r="C149" s="1208">
        <v>2019</v>
      </c>
      <c r="D149" s="1208">
        <v>46</v>
      </c>
      <c r="E149" s="1208" t="s">
        <v>1345</v>
      </c>
      <c r="F149" s="1208" t="s">
        <v>1346</v>
      </c>
      <c r="G149" s="1209">
        <v>23750</v>
      </c>
    </row>
    <row r="150" spans="3:7" ht="15.6" hidden="1">
      <c r="C150" s="1208">
        <v>2019</v>
      </c>
      <c r="D150" s="1208">
        <v>47</v>
      </c>
      <c r="E150" s="1208" t="s">
        <v>1347</v>
      </c>
      <c r="F150" s="1208" t="s">
        <v>1348</v>
      </c>
      <c r="G150" s="1209">
        <v>23750</v>
      </c>
    </row>
    <row r="151" spans="3:7" ht="15.6" hidden="1">
      <c r="C151" s="1208">
        <v>2019</v>
      </c>
      <c r="D151" s="1208">
        <v>48</v>
      </c>
      <c r="E151" s="1208" t="s">
        <v>1349</v>
      </c>
      <c r="F151" s="1208" t="s">
        <v>1350</v>
      </c>
      <c r="G151" s="1209">
        <v>23750</v>
      </c>
    </row>
    <row r="152" spans="3:7" ht="15.6" hidden="1">
      <c r="C152" s="1208">
        <v>2019</v>
      </c>
      <c r="D152" s="1208">
        <v>49</v>
      </c>
      <c r="E152" s="1208" t="s">
        <v>1351</v>
      </c>
      <c r="F152" s="1208" t="s">
        <v>1352</v>
      </c>
      <c r="G152" s="1209">
        <v>23750</v>
      </c>
    </row>
    <row r="153" spans="3:7" ht="15.6" hidden="1">
      <c r="C153" s="1208">
        <v>2019</v>
      </c>
      <c r="D153" s="1208">
        <v>50</v>
      </c>
      <c r="E153" s="1208" t="s">
        <v>1353</v>
      </c>
      <c r="F153" s="1208" t="s">
        <v>1354</v>
      </c>
      <c r="G153" s="1209">
        <v>23750</v>
      </c>
    </row>
    <row r="154" spans="3:7" ht="15.6" hidden="1">
      <c r="C154" s="1208">
        <v>2019</v>
      </c>
      <c r="D154" s="1208">
        <v>51</v>
      </c>
      <c r="E154" s="1208" t="s">
        <v>1355</v>
      </c>
      <c r="F154" s="1208" t="s">
        <v>1356</v>
      </c>
      <c r="G154" s="1209">
        <v>23750</v>
      </c>
    </row>
    <row r="155" spans="3:7" ht="15.6" hidden="1">
      <c r="C155" s="1208">
        <v>2019</v>
      </c>
      <c r="D155" s="1208">
        <v>52</v>
      </c>
      <c r="E155" s="1208" t="s">
        <v>1357</v>
      </c>
      <c r="F155" s="1208" t="s">
        <v>1358</v>
      </c>
      <c r="G155" s="1209">
        <v>23750</v>
      </c>
    </row>
    <row r="156" spans="3:7" ht="15.6" hidden="1">
      <c r="C156" s="1208">
        <v>2020</v>
      </c>
      <c r="D156" s="1208">
        <v>1</v>
      </c>
      <c r="E156" s="1208" t="s">
        <v>1359</v>
      </c>
      <c r="F156" s="1208" t="s">
        <v>1360</v>
      </c>
      <c r="G156" s="1209">
        <v>24875</v>
      </c>
    </row>
    <row r="157" spans="3:7" ht="15.6" hidden="1">
      <c r="C157" s="1208">
        <v>2020</v>
      </c>
      <c r="D157" s="1208">
        <v>2</v>
      </c>
      <c r="E157" s="1208" t="s">
        <v>1361</v>
      </c>
      <c r="F157" s="1208" t="s">
        <v>1362</v>
      </c>
      <c r="G157" s="1209">
        <v>23750</v>
      </c>
    </row>
    <row r="158" spans="3:7" ht="15.6" hidden="1">
      <c r="C158" s="1208">
        <v>2020</v>
      </c>
      <c r="D158" s="1208">
        <v>3</v>
      </c>
      <c r="E158" s="1208" t="s">
        <v>1363</v>
      </c>
      <c r="F158" s="1208" t="s">
        <v>1364</v>
      </c>
      <c r="G158" s="1209">
        <v>23750</v>
      </c>
    </row>
    <row r="159" spans="3:7" ht="15.6" hidden="1">
      <c r="C159" s="1208">
        <v>2020</v>
      </c>
      <c r="D159" s="1208">
        <v>4</v>
      </c>
      <c r="E159" s="1208" t="s">
        <v>1365</v>
      </c>
      <c r="F159" s="1208" t="s">
        <v>1366</v>
      </c>
      <c r="G159" s="1209">
        <v>23750</v>
      </c>
    </row>
    <row r="160" spans="3:7" ht="15.6" hidden="1">
      <c r="C160" s="1208">
        <v>2020</v>
      </c>
      <c r="D160" s="1208">
        <v>6</v>
      </c>
      <c r="E160" s="1208" t="s">
        <v>1367</v>
      </c>
      <c r="F160" s="1208" t="s">
        <v>1368</v>
      </c>
      <c r="G160" s="1209">
        <v>23750</v>
      </c>
    </row>
    <row r="161" spans="3:7" ht="15.6" hidden="1">
      <c r="C161" s="1208">
        <v>2020</v>
      </c>
      <c r="D161" s="1208">
        <v>7</v>
      </c>
      <c r="E161" s="1208" t="s">
        <v>1369</v>
      </c>
      <c r="F161" s="1208" t="s">
        <v>1370</v>
      </c>
      <c r="G161" s="1209">
        <v>23750</v>
      </c>
    </row>
    <row r="162" spans="3:7" ht="15.6" hidden="1">
      <c r="C162" s="1208">
        <v>2020</v>
      </c>
      <c r="D162" s="1208">
        <v>8</v>
      </c>
      <c r="E162" s="1208" t="s">
        <v>1371</v>
      </c>
      <c r="F162" s="1208" t="s">
        <v>1372</v>
      </c>
      <c r="G162" s="1209">
        <v>23750</v>
      </c>
    </row>
    <row r="163" spans="3:7" ht="15.6" hidden="1">
      <c r="C163" s="1208">
        <v>2020</v>
      </c>
      <c r="D163" s="1208">
        <v>9</v>
      </c>
      <c r="E163" s="1208" t="s">
        <v>1373</v>
      </c>
      <c r="F163" s="1208" t="s">
        <v>1374</v>
      </c>
      <c r="G163" s="1209">
        <v>23000</v>
      </c>
    </row>
    <row r="164" spans="3:7" ht="15.6" hidden="1">
      <c r="C164" s="1208">
        <v>2020</v>
      </c>
      <c r="D164" s="1208">
        <v>11</v>
      </c>
      <c r="E164" s="1208" t="s">
        <v>1375</v>
      </c>
      <c r="F164" s="1208" t="s">
        <v>1376</v>
      </c>
      <c r="G164" s="1209">
        <v>23000</v>
      </c>
    </row>
    <row r="165" spans="3:7" ht="15.6" hidden="1">
      <c r="C165" s="1208">
        <v>2020</v>
      </c>
      <c r="D165" s="1208">
        <v>13</v>
      </c>
      <c r="E165" s="1208" t="s">
        <v>1377</v>
      </c>
      <c r="F165" s="1208" t="s">
        <v>1378</v>
      </c>
      <c r="G165" s="1209">
        <v>23000</v>
      </c>
    </row>
    <row r="166" spans="3:7" ht="15.6" hidden="1">
      <c r="C166" s="1208">
        <v>2020</v>
      </c>
      <c r="D166" s="1208">
        <v>14</v>
      </c>
      <c r="E166" s="1208" t="s">
        <v>1379</v>
      </c>
      <c r="F166" s="1208" t="s">
        <v>1380</v>
      </c>
      <c r="G166" s="1209">
        <v>23000</v>
      </c>
    </row>
    <row r="167" spans="3:7" ht="15.6" hidden="1">
      <c r="C167" s="1208">
        <v>2020</v>
      </c>
      <c r="D167" s="1208">
        <v>15</v>
      </c>
      <c r="E167" s="1208" t="s">
        <v>1381</v>
      </c>
      <c r="F167" s="1208" t="s">
        <v>1382</v>
      </c>
      <c r="G167" s="1209">
        <v>23000</v>
      </c>
    </row>
    <row r="168" spans="3:7" ht="15.6" hidden="1">
      <c r="C168" s="1208">
        <v>2020</v>
      </c>
      <c r="D168" s="1208">
        <v>16</v>
      </c>
      <c r="E168" s="1208" t="s">
        <v>1383</v>
      </c>
      <c r="F168" s="1208" t="s">
        <v>1384</v>
      </c>
      <c r="G168" s="1209">
        <v>23000</v>
      </c>
    </row>
    <row r="169" spans="3:7" ht="15.6" hidden="1">
      <c r="C169" s="1208">
        <v>2020</v>
      </c>
      <c r="D169" s="1208">
        <v>18</v>
      </c>
      <c r="E169" s="1208" t="s">
        <v>1385</v>
      </c>
      <c r="F169" s="1208" t="s">
        <v>1386</v>
      </c>
      <c r="G169" s="1209">
        <v>23000</v>
      </c>
    </row>
    <row r="170" spans="3:7" ht="15.6" hidden="1">
      <c r="C170" s="1208">
        <v>2020</v>
      </c>
      <c r="D170" s="1208">
        <v>19</v>
      </c>
      <c r="E170" s="1208" t="s">
        <v>1387</v>
      </c>
      <c r="F170" s="1208" t="s">
        <v>1388</v>
      </c>
      <c r="G170" s="1209">
        <v>23000</v>
      </c>
    </row>
    <row r="171" spans="3:7" ht="15.6" hidden="1">
      <c r="C171" s="1208">
        <v>2020</v>
      </c>
      <c r="D171" s="1208">
        <v>20</v>
      </c>
      <c r="E171" s="1208" t="s">
        <v>1389</v>
      </c>
      <c r="F171" s="1208" t="s">
        <v>1390</v>
      </c>
      <c r="G171" s="1209">
        <v>23000</v>
      </c>
    </row>
    <row r="172" spans="3:7" ht="15.6" hidden="1">
      <c r="C172" s="1208">
        <v>2020</v>
      </c>
      <c r="D172" s="1208">
        <v>21</v>
      </c>
      <c r="E172" s="1208" t="s">
        <v>1391</v>
      </c>
      <c r="F172" s="1208" t="s">
        <v>1392</v>
      </c>
      <c r="G172" s="1209">
        <v>23000</v>
      </c>
    </row>
    <row r="173" spans="3:7" ht="15.6" hidden="1">
      <c r="C173" s="1208">
        <v>2020</v>
      </c>
      <c r="D173" s="1208">
        <v>22</v>
      </c>
      <c r="E173" s="1208" t="s">
        <v>1393</v>
      </c>
      <c r="F173" s="1208" t="s">
        <v>1394</v>
      </c>
      <c r="G173" s="1209">
        <v>23000</v>
      </c>
    </row>
    <row r="174" spans="3:7" ht="15.6" hidden="1">
      <c r="C174" s="1208">
        <v>2020</v>
      </c>
      <c r="D174" s="1208">
        <v>23</v>
      </c>
      <c r="E174" s="1208" t="s">
        <v>1395</v>
      </c>
      <c r="F174" s="1208" t="s">
        <v>1396</v>
      </c>
      <c r="G174" s="1209">
        <v>23000</v>
      </c>
    </row>
    <row r="175" spans="3:7" ht="15.6" hidden="1">
      <c r="C175" s="1208">
        <v>2020</v>
      </c>
      <c r="D175" s="1208">
        <v>24</v>
      </c>
      <c r="E175" s="1208" t="s">
        <v>1397</v>
      </c>
      <c r="F175" s="1208" t="s">
        <v>1398</v>
      </c>
      <c r="G175" s="1209">
        <v>21000</v>
      </c>
    </row>
    <row r="176" spans="3:7" ht="15.6" hidden="1">
      <c r="C176" s="1208">
        <v>2020</v>
      </c>
      <c r="D176" s="1208">
        <v>25</v>
      </c>
      <c r="E176" s="1208" t="s">
        <v>1399</v>
      </c>
      <c r="F176" s="1208" t="s">
        <v>1400</v>
      </c>
      <c r="G176" s="1209">
        <v>20500</v>
      </c>
    </row>
    <row r="177" spans="3:7" ht="15.6" hidden="1">
      <c r="C177" s="1208">
        <v>2020</v>
      </c>
      <c r="D177" s="1208">
        <v>26</v>
      </c>
      <c r="E177" s="1208" t="s">
        <v>1401</v>
      </c>
      <c r="F177" s="1208" t="s">
        <v>1402</v>
      </c>
      <c r="G177" s="1209">
        <v>20000</v>
      </c>
    </row>
    <row r="178" spans="3:7" ht="15.6" hidden="1">
      <c r="C178" s="1208">
        <v>2020</v>
      </c>
      <c r="D178" s="1208">
        <v>27</v>
      </c>
      <c r="E178" s="1208" t="s">
        <v>1403</v>
      </c>
      <c r="F178" s="1208" t="s">
        <v>1404</v>
      </c>
      <c r="G178" s="1209">
        <v>19500</v>
      </c>
    </row>
    <row r="179" spans="3:7" ht="15.6" hidden="1">
      <c r="C179" s="1208">
        <v>2020</v>
      </c>
      <c r="D179" s="1208">
        <v>28</v>
      </c>
      <c r="E179" s="1208" t="s">
        <v>1405</v>
      </c>
      <c r="F179" s="1208" t="s">
        <v>1406</v>
      </c>
      <c r="G179" s="1209">
        <v>19500</v>
      </c>
    </row>
    <row r="180" spans="3:7" ht="15.6" hidden="1">
      <c r="C180" s="1208">
        <v>2020</v>
      </c>
      <c r="D180" s="1208">
        <v>29</v>
      </c>
      <c r="E180" s="1208" t="s">
        <v>1407</v>
      </c>
      <c r="F180" s="1208" t="s">
        <v>1408</v>
      </c>
      <c r="G180" s="1209">
        <v>19500</v>
      </c>
    </row>
    <row r="181" spans="3:7" ht="15.6" hidden="1">
      <c r="C181" s="1208">
        <v>2020</v>
      </c>
      <c r="D181" s="1208">
        <v>30</v>
      </c>
      <c r="E181" s="1208" t="s">
        <v>1409</v>
      </c>
      <c r="F181" s="1208" t="s">
        <v>1410</v>
      </c>
      <c r="G181" s="1209">
        <v>19500</v>
      </c>
    </row>
    <row r="182" spans="3:7" ht="15.6" hidden="1">
      <c r="C182" s="1208">
        <v>2020</v>
      </c>
      <c r="D182" s="1208">
        <v>31</v>
      </c>
      <c r="E182" s="1208" t="s">
        <v>1411</v>
      </c>
      <c r="F182" s="1208" t="s">
        <v>1412</v>
      </c>
      <c r="G182" s="1209">
        <v>20000</v>
      </c>
    </row>
    <row r="183" spans="3:7" ht="15.6" hidden="1">
      <c r="C183" s="1208">
        <v>2020</v>
      </c>
      <c r="D183" s="1208">
        <v>32</v>
      </c>
      <c r="E183" s="1208" t="s">
        <v>1413</v>
      </c>
      <c r="F183" s="1208" t="s">
        <v>1414</v>
      </c>
      <c r="G183" s="1209">
        <v>20000</v>
      </c>
    </row>
    <row r="184" spans="3:7" ht="15.6" hidden="1">
      <c r="C184" s="1208">
        <v>2020</v>
      </c>
      <c r="D184" s="1208">
        <v>33</v>
      </c>
      <c r="E184" s="1208" t="s">
        <v>1415</v>
      </c>
      <c r="F184" s="1208" t="s">
        <v>1416</v>
      </c>
      <c r="G184" s="1209">
        <v>21000</v>
      </c>
    </row>
    <row r="185" spans="3:7" ht="15.6" hidden="1">
      <c r="C185" s="1208">
        <v>2020</v>
      </c>
      <c r="D185" s="1208">
        <v>34</v>
      </c>
      <c r="E185" s="1208" t="s">
        <v>1417</v>
      </c>
      <c r="F185" s="1208" t="s">
        <v>1418</v>
      </c>
      <c r="G185" s="1209">
        <v>21500</v>
      </c>
    </row>
    <row r="186" spans="3:7" ht="15.6" hidden="1">
      <c r="C186" s="1208">
        <v>2020</v>
      </c>
      <c r="D186" s="1208">
        <v>35</v>
      </c>
      <c r="E186" s="1208" t="s">
        <v>1419</v>
      </c>
      <c r="F186" s="1208" t="s">
        <v>1420</v>
      </c>
      <c r="G186" s="1209">
        <v>22000</v>
      </c>
    </row>
    <row r="187" spans="3:7" ht="15.6" hidden="1">
      <c r="C187" s="1208">
        <v>2020</v>
      </c>
      <c r="D187" s="1208">
        <v>36</v>
      </c>
      <c r="E187" s="1208" t="s">
        <v>1421</v>
      </c>
      <c r="F187" s="1208" t="s">
        <v>1422</v>
      </c>
      <c r="G187" s="1209">
        <v>22500</v>
      </c>
    </row>
    <row r="188" spans="3:7" ht="15.6" hidden="1">
      <c r="C188" s="1208">
        <v>2020</v>
      </c>
      <c r="D188" s="1208">
        <v>37</v>
      </c>
      <c r="E188" s="1208" t="s">
        <v>1423</v>
      </c>
      <c r="F188" s="1208" t="s">
        <v>1424</v>
      </c>
      <c r="G188" s="1209">
        <v>23000</v>
      </c>
    </row>
    <row r="189" spans="3:7" ht="15.6" hidden="1">
      <c r="C189" s="1208">
        <v>2020</v>
      </c>
      <c r="D189" s="1208">
        <v>38</v>
      </c>
      <c r="E189" s="1208" t="s">
        <v>1425</v>
      </c>
      <c r="F189" s="1208" t="s">
        <v>1426</v>
      </c>
      <c r="G189" s="1209">
        <v>23000</v>
      </c>
    </row>
    <row r="190" spans="3:7" ht="15.6" hidden="1">
      <c r="C190" s="1208">
        <v>2020</v>
      </c>
      <c r="D190" s="1208">
        <v>39</v>
      </c>
      <c r="E190" s="1208" t="s">
        <v>1427</v>
      </c>
      <c r="F190" s="1208" t="s">
        <v>1428</v>
      </c>
      <c r="G190" s="1209">
        <v>23500</v>
      </c>
    </row>
    <row r="191" spans="3:7" ht="15.6" hidden="1">
      <c r="C191" s="1208">
        <v>2020</v>
      </c>
      <c r="D191" s="1208">
        <v>40</v>
      </c>
      <c r="E191" s="1208" t="s">
        <v>1429</v>
      </c>
      <c r="F191" s="1208" t="s">
        <v>1430</v>
      </c>
      <c r="G191" s="1209">
        <v>23750</v>
      </c>
    </row>
    <row r="192" spans="3:7" ht="15.6" hidden="1">
      <c r="C192" s="1208">
        <v>2020</v>
      </c>
      <c r="D192" s="1208">
        <v>41</v>
      </c>
      <c r="E192" s="1208" t="s">
        <v>1431</v>
      </c>
      <c r="F192" s="1208" t="s">
        <v>1432</v>
      </c>
      <c r="G192" s="1209">
        <v>24000</v>
      </c>
    </row>
    <row r="193" spans="3:16" ht="15.6" hidden="1">
      <c r="C193" s="1208">
        <v>2020</v>
      </c>
      <c r="D193" s="1208">
        <v>42</v>
      </c>
      <c r="E193" s="1208" t="s">
        <v>1433</v>
      </c>
      <c r="F193" s="1208" t="s">
        <v>1434</v>
      </c>
      <c r="G193" s="1209">
        <v>24000</v>
      </c>
    </row>
    <row r="194" spans="3:16" ht="15.6" hidden="1">
      <c r="C194" s="1208">
        <v>2020</v>
      </c>
      <c r="D194" s="1208">
        <v>43</v>
      </c>
      <c r="E194" s="1208" t="s">
        <v>1435</v>
      </c>
      <c r="F194" s="1208" t="s">
        <v>1436</v>
      </c>
      <c r="G194" s="1209">
        <v>23500</v>
      </c>
    </row>
    <row r="195" spans="3:16" ht="15.6" hidden="1">
      <c r="C195" s="1208">
        <v>2020</v>
      </c>
      <c r="D195" s="1208">
        <v>44</v>
      </c>
      <c r="E195" s="1208" t="s">
        <v>1437</v>
      </c>
      <c r="F195" s="1208" t="s">
        <v>1438</v>
      </c>
      <c r="G195" s="1209">
        <v>23500</v>
      </c>
    </row>
    <row r="196" spans="3:16" ht="15.6" hidden="1">
      <c r="C196" s="1208">
        <v>2020</v>
      </c>
      <c r="D196" s="1208">
        <v>45</v>
      </c>
      <c r="E196" s="1208" t="s">
        <v>1439</v>
      </c>
      <c r="F196" s="1208" t="s">
        <v>1440</v>
      </c>
      <c r="G196" s="1209">
        <v>23500</v>
      </c>
    </row>
    <row r="197" spans="3:16" ht="15.6" hidden="1">
      <c r="C197" s="1208">
        <v>2020</v>
      </c>
      <c r="D197" s="1208">
        <v>46</v>
      </c>
      <c r="E197" s="1208" t="s">
        <v>1441</v>
      </c>
      <c r="F197" s="1208" t="s">
        <v>1442</v>
      </c>
      <c r="G197" s="1209">
        <v>23500</v>
      </c>
    </row>
    <row r="198" spans="3:16" ht="15.6" hidden="1">
      <c r="C198" s="1208">
        <v>2020</v>
      </c>
      <c r="D198" s="1208">
        <v>47</v>
      </c>
      <c r="E198" s="1208" t="s">
        <v>1443</v>
      </c>
      <c r="F198" s="1208" t="s">
        <v>1444</v>
      </c>
      <c r="G198" s="1209">
        <v>23500</v>
      </c>
    </row>
    <row r="199" spans="3:16" ht="15.6" hidden="1">
      <c r="C199" s="1208">
        <v>2020</v>
      </c>
      <c r="D199" s="1208">
        <v>48</v>
      </c>
      <c r="E199" s="1208" t="s">
        <v>1445</v>
      </c>
      <c r="F199" s="1208" t="s">
        <v>1446</v>
      </c>
      <c r="G199" s="1209">
        <v>24500</v>
      </c>
    </row>
    <row r="200" spans="3:16" ht="15.6" hidden="1">
      <c r="C200" s="1208">
        <v>2020</v>
      </c>
      <c r="D200" s="1208">
        <v>49</v>
      </c>
      <c r="E200" s="1208" t="s">
        <v>1447</v>
      </c>
      <c r="F200" s="1208" t="s">
        <v>1448</v>
      </c>
      <c r="G200" s="1209">
        <v>24000</v>
      </c>
    </row>
    <row r="201" spans="3:16" ht="15.6" hidden="1">
      <c r="C201" s="1208">
        <v>2020</v>
      </c>
      <c r="D201" s="1208">
        <v>50</v>
      </c>
      <c r="E201" s="1208" t="s">
        <v>1449</v>
      </c>
      <c r="F201" s="1208" t="s">
        <v>1450</v>
      </c>
      <c r="G201" s="1209">
        <v>24500</v>
      </c>
    </row>
    <row r="202" spans="3:16" ht="15.6" hidden="1">
      <c r="C202" s="1208">
        <v>2020</v>
      </c>
      <c r="D202" s="1208">
        <v>51</v>
      </c>
      <c r="E202" s="1208" t="s">
        <v>1451</v>
      </c>
      <c r="F202" s="1208" t="s">
        <v>1452</v>
      </c>
      <c r="G202" s="1209">
        <v>25750</v>
      </c>
    </row>
    <row r="203" spans="3:16" ht="15.6" hidden="1">
      <c r="C203" s="1208">
        <v>2020</v>
      </c>
      <c r="D203" s="1208">
        <v>52</v>
      </c>
      <c r="E203" s="1208" t="s">
        <v>1453</v>
      </c>
      <c r="F203" s="1208" t="s">
        <v>1454</v>
      </c>
      <c r="G203" s="1209">
        <v>26000</v>
      </c>
    </row>
    <row r="204" spans="3:16" ht="15.6" hidden="1">
      <c r="C204" s="1208">
        <v>2021</v>
      </c>
      <c r="D204" s="153"/>
      <c r="E204" s="1208" t="s">
        <v>1455</v>
      </c>
      <c r="F204" s="153"/>
      <c r="G204" s="1209">
        <v>27500</v>
      </c>
    </row>
    <row r="205" spans="3:16" hidden="1"/>
    <row r="207" spans="3:16">
      <c r="C207" t="s">
        <v>1495</v>
      </c>
    </row>
    <row r="208" spans="3:16" s="21" customFormat="1" ht="22.5" customHeight="1">
      <c r="C208" s="505" t="s">
        <v>1496</v>
      </c>
      <c r="D208" s="1267" t="s">
        <v>1497</v>
      </c>
      <c r="E208" s="1267" t="s">
        <v>1498</v>
      </c>
      <c r="F208" s="1267" t="s">
        <v>1499</v>
      </c>
      <c r="G208" s="1267" t="s">
        <v>1500</v>
      </c>
      <c r="H208" s="1267" t="s">
        <v>1501</v>
      </c>
      <c r="I208" s="1267" t="s">
        <v>1502</v>
      </c>
      <c r="J208" s="1267" t="s">
        <v>1503</v>
      </c>
      <c r="K208" s="1267" t="s">
        <v>1504</v>
      </c>
      <c r="L208" s="1267" t="s">
        <v>1505</v>
      </c>
      <c r="M208" s="1267" t="s">
        <v>1506</v>
      </c>
      <c r="N208" s="1267" t="s">
        <v>1507</v>
      </c>
      <c r="O208" s="1267" t="s">
        <v>1508</v>
      </c>
      <c r="P208" s="1268" t="s">
        <v>1509</v>
      </c>
    </row>
    <row r="209" spans="3:16">
      <c r="C209" s="1239" t="s">
        <v>1099</v>
      </c>
      <c r="D209" s="1167">
        <v>11315.050000000001</v>
      </c>
      <c r="E209" s="1167">
        <v>11729.19</v>
      </c>
      <c r="F209" s="1167">
        <v>12638.98</v>
      </c>
      <c r="G209" s="1167">
        <v>15434.710000000001</v>
      </c>
      <c r="H209" s="1167"/>
      <c r="I209" s="1167"/>
      <c r="J209" s="1167"/>
      <c r="K209" s="1167"/>
      <c r="L209" s="1167"/>
      <c r="M209" s="1166"/>
      <c r="N209" s="1166"/>
      <c r="O209" s="1166"/>
      <c r="P209" s="1240"/>
    </row>
    <row r="210" spans="3:16">
      <c r="C210" s="1239" t="s">
        <v>1100</v>
      </c>
      <c r="D210" s="1167">
        <v>12222.14</v>
      </c>
      <c r="E210" s="1167">
        <v>11731.630000000001</v>
      </c>
      <c r="F210" s="1167">
        <v>12084.31</v>
      </c>
      <c r="G210" s="1167">
        <v>12541.220000000001</v>
      </c>
      <c r="H210" s="1167"/>
      <c r="I210" s="1167"/>
      <c r="J210" s="1167"/>
      <c r="K210" s="1167"/>
      <c r="L210" s="1167"/>
      <c r="M210" s="1166"/>
      <c r="N210" s="1166"/>
      <c r="O210" s="1166"/>
      <c r="P210" s="1240"/>
    </row>
    <row r="211" spans="3:16">
      <c r="C211" s="1239" t="s">
        <v>1510</v>
      </c>
      <c r="D211" s="1167">
        <v>0</v>
      </c>
      <c r="E211" s="1167"/>
      <c r="F211" s="1167"/>
      <c r="G211" s="1167"/>
      <c r="H211" s="1167"/>
      <c r="I211" s="1167"/>
      <c r="J211" s="1167"/>
      <c r="K211" s="1167"/>
      <c r="L211" s="1167"/>
      <c r="M211" s="1166"/>
      <c r="N211" s="1166"/>
      <c r="O211" s="1166"/>
      <c r="P211" s="1240"/>
    </row>
    <row r="212" spans="3:16">
      <c r="C212" s="1239" t="s">
        <v>1511</v>
      </c>
      <c r="D212" s="1167">
        <v>10262.310000000001</v>
      </c>
      <c r="E212" s="1167">
        <v>10925.9</v>
      </c>
      <c r="F212" s="1167">
        <v>11302.56</v>
      </c>
      <c r="G212" s="1167">
        <v>12451.24</v>
      </c>
      <c r="H212" s="1167"/>
      <c r="I212" s="1167"/>
      <c r="J212" s="1167"/>
      <c r="K212" s="1167"/>
      <c r="L212" s="1167"/>
      <c r="M212" s="1166"/>
      <c r="N212" s="1166"/>
      <c r="O212" s="1166"/>
      <c r="P212" s="1240"/>
    </row>
    <row r="213" spans="3:16">
      <c r="C213" s="1239" t="s">
        <v>1512</v>
      </c>
      <c r="D213" s="1167"/>
      <c r="E213" s="1167">
        <v>10316</v>
      </c>
      <c r="F213" s="1167"/>
      <c r="G213" s="1167"/>
      <c r="H213" s="1167"/>
      <c r="I213" s="1167"/>
      <c r="J213" s="1167"/>
      <c r="K213" s="1167"/>
      <c r="L213" s="1167"/>
      <c r="M213" s="1166"/>
      <c r="N213" s="1166"/>
      <c r="O213" s="1166"/>
      <c r="P213" s="1240"/>
    </row>
    <row r="214" spans="3:16">
      <c r="C214" s="1239" t="s">
        <v>1513</v>
      </c>
      <c r="D214" s="1167"/>
      <c r="E214" s="1167"/>
      <c r="F214" s="1167">
        <v>10905.529999999999</v>
      </c>
      <c r="G214" s="1167">
        <v>11404.26</v>
      </c>
      <c r="H214" s="1167"/>
      <c r="I214" s="1167"/>
      <c r="J214" s="1167"/>
      <c r="K214" s="1167"/>
      <c r="L214" s="1167"/>
      <c r="M214" s="1166"/>
      <c r="N214" s="1166"/>
      <c r="O214" s="1166"/>
      <c r="P214" s="1240"/>
    </row>
    <row r="215" spans="3:16">
      <c r="C215" s="1241" t="s">
        <v>1514</v>
      </c>
      <c r="D215" s="1167"/>
      <c r="E215" s="1167">
        <v>12365.989999999998</v>
      </c>
      <c r="F215" s="1167">
        <v>12457.269999999999</v>
      </c>
      <c r="G215" s="1167">
        <v>12766.55</v>
      </c>
      <c r="H215" s="1167"/>
      <c r="I215" s="1167"/>
      <c r="J215" s="1167"/>
      <c r="K215" s="1167"/>
      <c r="L215" s="1167"/>
      <c r="M215" s="1166"/>
      <c r="N215" s="1166"/>
      <c r="O215" s="1166"/>
      <c r="P215" s="1240"/>
    </row>
    <row r="216" spans="3:16">
      <c r="C216" s="1239" t="s">
        <v>1101</v>
      </c>
      <c r="D216" s="1167">
        <v>11667.58</v>
      </c>
      <c r="E216" s="1167">
        <v>10399.73</v>
      </c>
      <c r="F216" s="1167">
        <v>10905.529999999999</v>
      </c>
      <c r="G216" s="1167">
        <v>13286.73</v>
      </c>
      <c r="H216" s="1167"/>
      <c r="I216" s="1167"/>
      <c r="J216" s="1167"/>
      <c r="K216" s="1167"/>
      <c r="L216" s="1167"/>
      <c r="M216" s="1166"/>
      <c r="N216" s="1166"/>
      <c r="O216" s="1166"/>
      <c r="P216" s="1238"/>
    </row>
    <row r="217" spans="3:16">
      <c r="C217" s="1239" t="s">
        <v>925</v>
      </c>
      <c r="D217" s="1167">
        <v>10407.84</v>
      </c>
      <c r="E217" s="1167">
        <v>11067.81</v>
      </c>
      <c r="F217" s="1167">
        <v>11156.6</v>
      </c>
      <c r="G217" s="1167">
        <v>11400.94</v>
      </c>
      <c r="H217" s="1167"/>
      <c r="I217" s="1167"/>
      <c r="J217" s="1167"/>
      <c r="K217" s="1167"/>
      <c r="L217" s="1167"/>
      <c r="M217" s="1166"/>
      <c r="N217" s="1166"/>
      <c r="O217" s="1166"/>
      <c r="P217" s="1238"/>
    </row>
    <row r="218" spans="3:16">
      <c r="C218" s="1239" t="s">
        <v>924</v>
      </c>
      <c r="D218" s="1167"/>
      <c r="E218" s="1167"/>
      <c r="F218" s="1167"/>
      <c r="G218" s="1167"/>
      <c r="H218" s="1242"/>
      <c r="I218" s="1167"/>
      <c r="J218" s="1167"/>
      <c r="K218" s="1242"/>
      <c r="L218" s="1242"/>
      <c r="M218" s="1242"/>
      <c r="N218" s="1242"/>
      <c r="O218" s="1242"/>
      <c r="P218" s="1238"/>
    </row>
    <row r="219" spans="3:16">
      <c r="C219" s="1239" t="s">
        <v>1102</v>
      </c>
      <c r="D219" s="1243"/>
      <c r="E219" s="1244"/>
      <c r="F219" s="1244"/>
      <c r="G219" s="1245"/>
      <c r="H219" s="1242"/>
      <c r="I219" s="1167"/>
      <c r="J219" s="1167"/>
      <c r="K219" s="1242"/>
      <c r="L219" s="1242"/>
      <c r="M219" s="1242"/>
      <c r="N219" s="1242"/>
      <c r="O219" s="1242"/>
      <c r="P219" s="1238"/>
    </row>
    <row r="220" spans="3:16">
      <c r="C220" s="1239"/>
      <c r="D220" s="1167"/>
      <c r="E220" s="1242"/>
      <c r="F220" s="1242"/>
      <c r="G220" s="1167"/>
      <c r="H220" s="1242"/>
      <c r="I220" s="1167"/>
      <c r="J220" s="1167"/>
      <c r="K220" s="1242"/>
      <c r="L220" s="1242"/>
      <c r="M220" s="1242"/>
      <c r="N220" s="1242"/>
      <c r="O220" s="1242"/>
      <c r="P220" s="1238"/>
    </row>
    <row r="221" spans="3:16">
      <c r="C221" s="153" t="s">
        <v>1098</v>
      </c>
      <c r="D221" s="1237" t="s">
        <v>1497</v>
      </c>
      <c r="E221" s="1237" t="s">
        <v>1498</v>
      </c>
      <c r="F221" s="1237" t="s">
        <v>1499</v>
      </c>
      <c r="G221" s="1237" t="s">
        <v>1500</v>
      </c>
      <c r="H221" s="1237" t="s">
        <v>1501</v>
      </c>
      <c r="I221" s="1237" t="s">
        <v>1502</v>
      </c>
      <c r="J221" s="1237" t="s">
        <v>1503</v>
      </c>
      <c r="K221" s="1237" t="s">
        <v>1504</v>
      </c>
      <c r="L221" s="1237" t="s">
        <v>1505</v>
      </c>
      <c r="M221" s="1237" t="s">
        <v>1506</v>
      </c>
      <c r="N221" s="1237" t="s">
        <v>1507</v>
      </c>
      <c r="O221" s="1237" t="s">
        <v>1508</v>
      </c>
      <c r="P221" s="1238" t="s">
        <v>1509</v>
      </c>
    </row>
    <row r="222" spans="3:16">
      <c r="C222" s="1239" t="s">
        <v>1099</v>
      </c>
      <c r="D222" s="1167">
        <v>14032.624666866945</v>
      </c>
      <c r="E222" s="1167">
        <v>14797.98</v>
      </c>
      <c r="F222" s="1167">
        <v>13520.62</v>
      </c>
      <c r="G222" s="1167">
        <v>11370.84</v>
      </c>
      <c r="H222" s="1167">
        <v>11360.099999999999</v>
      </c>
      <c r="I222" s="1167">
        <v>11390.720000000001</v>
      </c>
      <c r="J222" s="1167">
        <v>11123.32</v>
      </c>
      <c r="K222" s="1167">
        <v>11300.04</v>
      </c>
      <c r="L222" s="1167">
        <v>11245.970000000001</v>
      </c>
      <c r="M222" s="1166">
        <v>10590.79</v>
      </c>
      <c r="N222" s="1166">
        <v>11031.92</v>
      </c>
      <c r="O222" s="1166">
        <v>12014.529999999999</v>
      </c>
      <c r="P222" s="1246">
        <f>SUM(D222:O222)/12</f>
        <v>11981.621222238915</v>
      </c>
    </row>
    <row r="223" spans="3:16">
      <c r="C223" s="1239" t="s">
        <v>1100</v>
      </c>
      <c r="D223" s="1167">
        <v>0</v>
      </c>
      <c r="E223" s="1167">
        <v>13449.54</v>
      </c>
      <c r="F223" s="1167">
        <v>12844.43</v>
      </c>
      <c r="G223" s="1167">
        <v>13422.660000000002</v>
      </c>
      <c r="H223" s="1167">
        <v>11678.88</v>
      </c>
      <c r="I223" s="1167">
        <v>11266.46</v>
      </c>
      <c r="J223" s="1167">
        <v>10961.91</v>
      </c>
      <c r="K223" s="1167">
        <v>11637.5</v>
      </c>
      <c r="L223" s="1167">
        <v>10756.48</v>
      </c>
      <c r="M223" s="1166">
        <v>10197.1</v>
      </c>
      <c r="N223" s="1166">
        <v>10209.400000000001</v>
      </c>
      <c r="O223" s="1166">
        <v>10772.449999999999</v>
      </c>
      <c r="P223" s="1246">
        <f>SUM(D223:O223)/11</f>
        <v>11563.346363636365</v>
      </c>
    </row>
    <row r="224" spans="3:16">
      <c r="C224" s="1239" t="s">
        <v>1510</v>
      </c>
      <c r="D224" s="1167">
        <v>11107.905840997515</v>
      </c>
      <c r="E224" s="1167">
        <v>13280.37</v>
      </c>
      <c r="F224" s="1167">
        <v>11082.7</v>
      </c>
      <c r="G224" s="1167">
        <v>11148.51</v>
      </c>
      <c r="H224" s="1167">
        <v>11139.94</v>
      </c>
      <c r="I224" s="1167">
        <v>9843.4599999999991</v>
      </c>
      <c r="J224" s="1167">
        <v>10330.790000000001</v>
      </c>
      <c r="K224" s="1167">
        <v>10170.02</v>
      </c>
      <c r="L224" s="1167">
        <v>9893.68</v>
      </c>
      <c r="M224" s="1166">
        <v>9594.5299999999988</v>
      </c>
      <c r="N224" s="1166"/>
      <c r="O224" s="1166"/>
      <c r="P224" s="1246">
        <f>SUM(D224:O224)/10</f>
        <v>10759.190584099753</v>
      </c>
    </row>
    <row r="225" spans="3:16">
      <c r="C225" s="1239" t="s">
        <v>1511</v>
      </c>
      <c r="D225" s="1167">
        <v>12541.781541941045</v>
      </c>
      <c r="E225" s="1167">
        <v>12519.41</v>
      </c>
      <c r="F225" s="1167">
        <v>11947.28</v>
      </c>
      <c r="G225" s="1167">
        <v>9414.18</v>
      </c>
      <c r="H225" s="1167">
        <v>9816</v>
      </c>
      <c r="I225" s="1167">
        <v>9369.7899999999991</v>
      </c>
      <c r="J225" s="1167">
        <v>9644.33</v>
      </c>
      <c r="K225" s="1167">
        <v>10068.870000000001</v>
      </c>
      <c r="L225" s="1167">
        <v>9822.43</v>
      </c>
      <c r="M225" s="1166">
        <v>9063.02</v>
      </c>
      <c r="N225" s="1166">
        <v>9883.9399999999987</v>
      </c>
      <c r="O225" s="1166">
        <v>10748.14</v>
      </c>
      <c r="P225" s="1246">
        <f t="shared" ref="P225:P230" si="1">SUM(D225:O225)/12</f>
        <v>10403.264295161753</v>
      </c>
    </row>
    <row r="226" spans="3:16">
      <c r="C226" s="1239" t="s">
        <v>1512</v>
      </c>
      <c r="D226" s="1167">
        <v>0</v>
      </c>
      <c r="E226" s="1167"/>
      <c r="F226" s="1167">
        <v>10591.21</v>
      </c>
      <c r="G226" s="1167">
        <v>10280.75</v>
      </c>
      <c r="H226" s="1167">
        <v>10280.75</v>
      </c>
      <c r="I226" s="1167">
        <v>9603.7199999999993</v>
      </c>
      <c r="J226" s="1167">
        <v>8883.5</v>
      </c>
      <c r="K226" s="1167"/>
      <c r="L226" s="1167"/>
      <c r="M226" s="1166"/>
      <c r="N226" s="1166"/>
      <c r="O226" s="1166"/>
      <c r="P226" s="1240"/>
    </row>
    <row r="227" spans="3:16">
      <c r="C227" s="1239" t="s">
        <v>1513</v>
      </c>
      <c r="D227" s="1167">
        <v>12079.962864383973</v>
      </c>
      <c r="E227" s="1167">
        <v>12020.92</v>
      </c>
      <c r="F227" s="1167"/>
      <c r="G227" s="1167">
        <v>12715.24</v>
      </c>
      <c r="H227" s="1167"/>
      <c r="I227" s="1167"/>
      <c r="J227" s="1167">
        <v>10400.539999999999</v>
      </c>
      <c r="K227" s="1167">
        <v>10702.960000000001</v>
      </c>
      <c r="L227" s="1167">
        <v>9569.93</v>
      </c>
      <c r="M227" s="1166"/>
      <c r="N227" s="1166">
        <v>9119.9699999999993</v>
      </c>
      <c r="O227" s="1166">
        <v>9331.1999999999989</v>
      </c>
      <c r="P227" s="1240"/>
    </row>
    <row r="228" spans="3:16">
      <c r="C228" s="1241" t="s">
        <v>1514</v>
      </c>
      <c r="D228" s="1167">
        <v>14773.734925270865</v>
      </c>
      <c r="E228" s="1167">
        <v>14753.3</v>
      </c>
      <c r="F228" s="1167">
        <v>14753.48</v>
      </c>
      <c r="G228" s="1167"/>
      <c r="H228" s="1167"/>
      <c r="I228" s="1167"/>
      <c r="J228" s="1167"/>
      <c r="K228" s="1167"/>
      <c r="L228" s="1167"/>
      <c r="M228" s="1166"/>
      <c r="N228" s="1166"/>
      <c r="O228" s="1166"/>
      <c r="P228" s="1246">
        <f>SUM(D228:O228)/3</f>
        <v>14760.171641756955</v>
      </c>
    </row>
    <row r="229" spans="3:16">
      <c r="C229" s="1239" t="s">
        <v>1101</v>
      </c>
      <c r="D229" s="1167">
        <v>13327.970877844082</v>
      </c>
      <c r="E229" s="1167">
        <v>13681.39</v>
      </c>
      <c r="F229" s="1167">
        <v>13925.38</v>
      </c>
      <c r="G229" s="1167">
        <v>12715.24</v>
      </c>
      <c r="H229" s="1167">
        <v>11040.789999999999</v>
      </c>
      <c r="I229" s="1167">
        <v>10857.740000000002</v>
      </c>
      <c r="J229" s="1167">
        <v>10400.539999999999</v>
      </c>
      <c r="K229" s="1167">
        <v>11086.65</v>
      </c>
      <c r="L229" s="1167">
        <v>10809.64</v>
      </c>
      <c r="M229" s="1166">
        <v>9746.33</v>
      </c>
      <c r="N229" s="1166">
        <v>9724.24</v>
      </c>
      <c r="O229" s="1166">
        <v>9933.0499999999993</v>
      </c>
      <c r="P229" s="1246">
        <f t="shared" si="1"/>
        <v>11437.413406487007</v>
      </c>
    </row>
    <row r="230" spans="3:16">
      <c r="C230" s="1239" t="s">
        <v>925</v>
      </c>
      <c r="D230" s="1167">
        <v>10177.223608448878</v>
      </c>
      <c r="E230" s="1167">
        <v>9962.4699999999993</v>
      </c>
      <c r="F230" s="1167">
        <v>8631.34</v>
      </c>
      <c r="G230" s="1167">
        <v>7494.39</v>
      </c>
      <c r="H230" s="1167">
        <v>7853.51</v>
      </c>
      <c r="I230" s="1167">
        <v>7984.82</v>
      </c>
      <c r="J230" s="1167">
        <v>7918.2000000000007</v>
      </c>
      <c r="K230" s="1167">
        <v>8619.64</v>
      </c>
      <c r="L230" s="1167">
        <v>8525.89</v>
      </c>
      <c r="M230" s="1166">
        <v>8417.27</v>
      </c>
      <c r="N230" s="1166">
        <v>8906.91</v>
      </c>
      <c r="O230" s="1166">
        <v>9503.82</v>
      </c>
      <c r="P230" s="1246">
        <f t="shared" si="1"/>
        <v>8666.2903007040732</v>
      </c>
    </row>
    <row r="231" spans="3:16">
      <c r="C231" s="1239" t="s">
        <v>924</v>
      </c>
      <c r="D231" s="1167"/>
      <c r="E231" s="1242"/>
      <c r="F231" s="1242"/>
      <c r="G231" s="1242"/>
      <c r="H231" s="1242"/>
      <c r="I231" s="1167"/>
      <c r="J231" s="1167"/>
      <c r="K231" s="1242"/>
      <c r="L231" s="1242"/>
      <c r="M231" s="1242"/>
      <c r="N231" s="1242"/>
      <c r="O231" s="1242"/>
      <c r="P231" s="1247">
        <v>8519</v>
      </c>
    </row>
    <row r="232" spans="3:16">
      <c r="C232" s="1239" t="s">
        <v>1102</v>
      </c>
      <c r="D232" s="1167"/>
      <c r="E232" s="1242"/>
      <c r="F232" s="1242"/>
      <c r="G232" s="1242"/>
      <c r="H232" s="1242"/>
      <c r="I232" s="1167"/>
      <c r="J232" s="1167"/>
      <c r="K232" s="1242"/>
      <c r="L232" s="1242"/>
      <c r="M232" s="1242"/>
      <c r="N232" s="1242"/>
      <c r="O232" s="1242"/>
      <c r="P232" s="1247">
        <v>6965</v>
      </c>
    </row>
    <row r="233" spans="3:16">
      <c r="C233" s="1239"/>
      <c r="D233" s="1167"/>
      <c r="E233" s="1242"/>
      <c r="F233" s="1242"/>
      <c r="G233" s="1242"/>
      <c r="H233" s="1242"/>
      <c r="I233" s="1167"/>
      <c r="J233" s="1167"/>
      <c r="K233" s="1242"/>
      <c r="L233" s="1242"/>
      <c r="M233" s="1242"/>
      <c r="N233" s="1242"/>
      <c r="O233" s="1242"/>
      <c r="P233" s="1238"/>
    </row>
    <row r="234" spans="3:16">
      <c r="D234" s="1245"/>
      <c r="I234" s="1245"/>
      <c r="J234" s="1245"/>
      <c r="N234">
        <v>0</v>
      </c>
      <c r="O234">
        <v>0</v>
      </c>
    </row>
    <row r="235" spans="3:16">
      <c r="C235" s="153" t="s">
        <v>1495</v>
      </c>
      <c r="I235" s="1245"/>
      <c r="J235" s="1245"/>
      <c r="M235">
        <v>0</v>
      </c>
      <c r="N235">
        <v>0</v>
      </c>
      <c r="O235">
        <v>0</v>
      </c>
    </row>
    <row r="236" spans="3:16">
      <c r="C236" s="1239" t="s">
        <v>1097</v>
      </c>
      <c r="D236" s="1237" t="s">
        <v>1497</v>
      </c>
      <c r="E236" s="1237" t="s">
        <v>1498</v>
      </c>
      <c r="F236" s="1237" t="s">
        <v>1499</v>
      </c>
      <c r="G236" s="1237" t="s">
        <v>1500</v>
      </c>
      <c r="H236" s="1237" t="s">
        <v>1501</v>
      </c>
      <c r="I236" s="1237" t="s">
        <v>1502</v>
      </c>
      <c r="J236" s="1237" t="s">
        <v>1503</v>
      </c>
      <c r="K236" s="1237" t="s">
        <v>1504</v>
      </c>
      <c r="L236" s="1237" t="s">
        <v>1505</v>
      </c>
      <c r="M236" s="1237" t="s">
        <v>1506</v>
      </c>
      <c r="N236" s="1237" t="s">
        <v>1507</v>
      </c>
      <c r="O236" s="1237" t="s">
        <v>1508</v>
      </c>
      <c r="P236" s="1238" t="s">
        <v>1509</v>
      </c>
    </row>
    <row r="237" spans="3:16">
      <c r="C237" s="1239" t="s">
        <v>1099</v>
      </c>
      <c r="D237" s="1248">
        <v>17816</v>
      </c>
      <c r="E237" s="1248">
        <v>17421.776224750869</v>
      </c>
      <c r="F237" s="1248">
        <v>17631</v>
      </c>
      <c r="G237" s="1248">
        <v>17615</v>
      </c>
      <c r="H237" s="1248">
        <v>17624.762452489424</v>
      </c>
      <c r="I237" s="1248">
        <v>15551.727532237424</v>
      </c>
      <c r="J237" s="1248">
        <v>14580.468687598377</v>
      </c>
      <c r="K237" s="1248">
        <v>13592.217997685924</v>
      </c>
      <c r="L237" s="1248">
        <v>13381.410722126999</v>
      </c>
      <c r="M237" s="1248">
        <v>13144.267944291909</v>
      </c>
      <c r="N237" s="1248">
        <v>12868.418971435491</v>
      </c>
      <c r="O237" s="1248">
        <v>13623.502828565364</v>
      </c>
      <c r="P237" s="1246">
        <f>SUM(D237:O237)/12</f>
        <v>15404.212780098482</v>
      </c>
    </row>
    <row r="238" spans="3:16">
      <c r="C238" s="1239" t="s">
        <v>1100</v>
      </c>
      <c r="D238" s="1248"/>
      <c r="E238" s="1248"/>
      <c r="F238" s="1248"/>
      <c r="G238" s="1248"/>
      <c r="H238" s="1248">
        <v>16088.217056861793</v>
      </c>
      <c r="I238" s="1248">
        <v>16227.630259198648</v>
      </c>
      <c r="J238" s="1248">
        <v>13969.577072208924</v>
      </c>
      <c r="K238" s="1248">
        <v>12977.878519083817</v>
      </c>
      <c r="L238" s="1248">
        <v>13043.395832938366</v>
      </c>
      <c r="M238" s="1248">
        <v>12229.118876472327</v>
      </c>
      <c r="N238" s="1248"/>
      <c r="O238" s="1248"/>
      <c r="P238" s="1246">
        <f>SUM(D238:O238)/6</f>
        <v>14089.302936127313</v>
      </c>
    </row>
    <row r="239" spans="3:16">
      <c r="C239" s="1239" t="s">
        <v>1510</v>
      </c>
      <c r="D239" s="1249">
        <v>15472.928897586431</v>
      </c>
      <c r="E239" s="1249">
        <v>16250.676654328392</v>
      </c>
      <c r="F239" s="1249">
        <v>15863.574351978172</v>
      </c>
      <c r="G239" s="1249">
        <v>15382</v>
      </c>
      <c r="H239" s="1249">
        <v>15708.231930427681</v>
      </c>
      <c r="I239" s="1249">
        <v>14741.810105496945</v>
      </c>
      <c r="J239" s="1249"/>
      <c r="K239" s="1249">
        <v>15128.413181038659</v>
      </c>
      <c r="L239" s="1249">
        <v>15091.328557303683</v>
      </c>
      <c r="M239" s="1249">
        <v>11276.649718341951</v>
      </c>
      <c r="N239" s="1249">
        <v>10421.322979017168</v>
      </c>
      <c r="O239" s="1249">
        <v>11022.537669654022</v>
      </c>
      <c r="P239" s="1246">
        <f>SUM(D239:O239)/11</f>
        <v>14214.497640470281</v>
      </c>
    </row>
    <row r="240" spans="3:16">
      <c r="C240" s="1239" t="s">
        <v>1511</v>
      </c>
      <c r="D240" s="1248">
        <v>14784</v>
      </c>
      <c r="E240" s="1248">
        <v>15053.301986179107</v>
      </c>
      <c r="F240" s="1248">
        <v>14652</v>
      </c>
      <c r="G240" s="1248">
        <v>14666</v>
      </c>
      <c r="H240" s="1248">
        <v>13115.85564805572</v>
      </c>
      <c r="I240" s="1248">
        <v>12984.78918341932</v>
      </c>
      <c r="J240" s="1248">
        <v>12025.560852442337</v>
      </c>
      <c r="K240" s="1248">
        <v>12056.505081445021</v>
      </c>
      <c r="L240" s="1248">
        <v>11705.066147713165</v>
      </c>
      <c r="M240" s="1248">
        <v>11278.678708247113</v>
      </c>
      <c r="N240" s="1248">
        <v>11683.823319630395</v>
      </c>
      <c r="O240" s="1248">
        <v>11625.334292138667</v>
      </c>
      <c r="P240" s="1246">
        <f t="shared" ref="P240:P245" si="2">SUM(D240:O240)/12</f>
        <v>12969.242934939235</v>
      </c>
    </row>
    <row r="241" spans="3:16">
      <c r="C241" s="1239" t="s">
        <v>1512</v>
      </c>
      <c r="D241" s="1248"/>
      <c r="E241" s="1248"/>
      <c r="F241" s="1248"/>
      <c r="G241" s="1248"/>
      <c r="H241" s="1248"/>
      <c r="I241" s="1248"/>
      <c r="J241" s="1248"/>
      <c r="K241" s="1248"/>
      <c r="L241" s="1248"/>
      <c r="M241" s="1248"/>
      <c r="N241" s="1248"/>
      <c r="O241" s="1248"/>
      <c r="P241" s="1240"/>
    </row>
    <row r="242" spans="3:16">
      <c r="C242" s="1239" t="s">
        <v>1513</v>
      </c>
      <c r="D242" s="1248"/>
      <c r="E242" s="1248"/>
      <c r="F242" s="1248"/>
      <c r="G242" s="1248">
        <v>15308</v>
      </c>
      <c r="H242" s="1248"/>
      <c r="I242" s="1248">
        <v>14831.439213064656</v>
      </c>
      <c r="J242" s="1248">
        <v>12947.398057172984</v>
      </c>
      <c r="K242" s="1248">
        <v>12927.490971084733</v>
      </c>
      <c r="L242" s="1248">
        <v>12262.853382137011</v>
      </c>
      <c r="M242" s="1248">
        <v>12340.463748640386</v>
      </c>
      <c r="N242" s="1248">
        <v>11610.524819893088</v>
      </c>
      <c r="O242" s="1248">
        <v>11760.197677030616</v>
      </c>
      <c r="P242" s="1240"/>
    </row>
    <row r="243" spans="3:16">
      <c r="C243" s="1241" t="s">
        <v>1514</v>
      </c>
      <c r="D243" s="1249">
        <v>17825</v>
      </c>
      <c r="E243" s="1249">
        <v>18364.559927285838</v>
      </c>
      <c r="F243" s="1249">
        <v>18699.659342368857</v>
      </c>
      <c r="G243" s="1249"/>
      <c r="H243" s="1249">
        <v>17070.87824492954</v>
      </c>
      <c r="I243" s="1249">
        <v>16029.559699760117</v>
      </c>
      <c r="J243" s="1249">
        <v>16002.512041764374</v>
      </c>
      <c r="K243" s="1249">
        <v>14363.181269382196</v>
      </c>
      <c r="L243" s="1249">
        <v>13618.135959414118</v>
      </c>
      <c r="M243" s="1249">
        <v>13747.955738755369</v>
      </c>
      <c r="N243" s="1249">
        <v>13312.204449662284</v>
      </c>
      <c r="O243" s="1249">
        <v>14407.900062056498</v>
      </c>
      <c r="P243" s="1246">
        <f>SUM(D243:O243)/11</f>
        <v>15767.413339579927</v>
      </c>
    </row>
    <row r="244" spans="3:16">
      <c r="C244" s="1239" t="s">
        <v>1101</v>
      </c>
      <c r="D244" s="1249">
        <v>15936</v>
      </c>
      <c r="E244" s="1249">
        <v>16448.446448914619</v>
      </c>
      <c r="F244" s="1249">
        <v>16703.908861550499</v>
      </c>
      <c r="G244" s="1249">
        <v>18226</v>
      </c>
      <c r="H244" s="1249">
        <v>16608.483662665214</v>
      </c>
      <c r="I244" s="1249">
        <v>14938.901956284781</v>
      </c>
      <c r="J244" s="1249">
        <v>15384.543255883735</v>
      </c>
      <c r="K244" s="1249">
        <v>15149.810575603076</v>
      </c>
      <c r="L244" s="1249">
        <v>13405.476992062877</v>
      </c>
      <c r="M244" s="1249">
        <v>13822.709889367934</v>
      </c>
      <c r="N244" s="1249">
        <v>12140.978262188506</v>
      </c>
      <c r="O244" s="1249">
        <v>12145.013147704682</v>
      </c>
      <c r="P244" s="1246">
        <f t="shared" si="2"/>
        <v>15075.856087685492</v>
      </c>
    </row>
    <row r="245" spans="3:16">
      <c r="C245" s="1239" t="s">
        <v>925</v>
      </c>
      <c r="D245" s="1249">
        <v>11368</v>
      </c>
      <c r="E245" s="1249">
        <v>11361.138976413462</v>
      </c>
      <c r="F245" s="1249">
        <v>11557.406242125549</v>
      </c>
      <c r="G245" s="1249">
        <v>11590</v>
      </c>
      <c r="H245" s="1249">
        <v>10939.70196881724</v>
      </c>
      <c r="I245" s="1249">
        <v>10472.205001033271</v>
      </c>
      <c r="J245" s="1249">
        <v>10082.986675676246</v>
      </c>
      <c r="K245" s="1249">
        <v>9692.0009477503136</v>
      </c>
      <c r="L245" s="1249">
        <v>9840.9119647578627</v>
      </c>
      <c r="M245" s="1249">
        <v>9337.0165915378948</v>
      </c>
      <c r="N245" s="1249">
        <v>9155.7494715663106</v>
      </c>
      <c r="O245" s="1249">
        <v>9525.9129800167084</v>
      </c>
      <c r="P245" s="1246">
        <f t="shared" si="2"/>
        <v>10410.252568307906</v>
      </c>
    </row>
    <row r="246" spans="3:16">
      <c r="C246" s="1239" t="s">
        <v>924</v>
      </c>
      <c r="D246" s="1250"/>
      <c r="E246" s="1250"/>
      <c r="F246" s="1242"/>
      <c r="G246" s="1242"/>
      <c r="H246" s="1242"/>
      <c r="I246" s="1242"/>
      <c r="J246" s="1242"/>
      <c r="K246" s="1242"/>
      <c r="L246" s="1242"/>
      <c r="M246" s="1242"/>
      <c r="N246" s="1242"/>
      <c r="O246" s="1242"/>
      <c r="P246" s="1247">
        <v>9695</v>
      </c>
    </row>
    <row r="247" spans="3:16">
      <c r="C247" s="1239" t="s">
        <v>1102</v>
      </c>
      <c r="D247" s="1250"/>
      <c r="E247" s="1250"/>
      <c r="F247" s="1242"/>
      <c r="G247" s="1242"/>
      <c r="H247" s="1242"/>
      <c r="I247" s="1242"/>
      <c r="J247" s="1242"/>
      <c r="K247" s="1242"/>
      <c r="L247" s="1242"/>
      <c r="M247" s="1242"/>
      <c r="N247" s="1242"/>
      <c r="O247" s="1242"/>
      <c r="P247" s="1247">
        <v>8796</v>
      </c>
    </row>
    <row r="248" spans="3:16">
      <c r="C248" s="1251"/>
      <c r="D248" s="1252"/>
      <c r="E248" s="1242"/>
      <c r="F248" s="1242"/>
      <c r="G248" s="1242"/>
      <c r="H248" s="1242"/>
      <c r="I248" s="1242"/>
      <c r="J248" s="1242"/>
      <c r="K248" s="1242"/>
      <c r="L248" s="1242"/>
      <c r="M248" s="1242"/>
      <c r="N248" s="1242"/>
      <c r="O248" s="1242"/>
      <c r="P248" s="1238"/>
    </row>
    <row r="249" spans="3:16">
      <c r="C249" s="153" t="s">
        <v>1495</v>
      </c>
      <c r="D249" s="153"/>
      <c r="E249" s="153"/>
      <c r="F249" s="153"/>
      <c r="G249" s="153"/>
      <c r="H249" s="153"/>
      <c r="I249" s="153"/>
      <c r="J249" s="153"/>
      <c r="K249" s="153"/>
      <c r="L249" s="153"/>
      <c r="M249" s="153"/>
      <c r="N249" s="153"/>
      <c r="O249" s="153"/>
      <c r="P249" s="153"/>
    </row>
    <row r="250" spans="3:16">
      <c r="C250" s="1239" t="s">
        <v>1096</v>
      </c>
      <c r="D250" s="1237" t="s">
        <v>1497</v>
      </c>
      <c r="E250" s="1237" t="s">
        <v>1498</v>
      </c>
      <c r="F250" s="1237" t="s">
        <v>1499</v>
      </c>
      <c r="G250" s="1237" t="s">
        <v>1500</v>
      </c>
      <c r="H250" s="1237" t="s">
        <v>1501</v>
      </c>
      <c r="I250" s="1237" t="s">
        <v>1502</v>
      </c>
      <c r="J250" s="1237" t="s">
        <v>1503</v>
      </c>
      <c r="K250" s="1237" t="s">
        <v>1504</v>
      </c>
      <c r="L250" s="1237" t="s">
        <v>1505</v>
      </c>
      <c r="M250" s="1237" t="s">
        <v>1506</v>
      </c>
      <c r="N250" s="1237" t="s">
        <v>1507</v>
      </c>
      <c r="O250" s="1237" t="s">
        <v>1508</v>
      </c>
      <c r="P250" s="1253" t="s">
        <v>1515</v>
      </c>
    </row>
    <row r="251" spans="3:16">
      <c r="C251" s="1239" t="s">
        <v>1099</v>
      </c>
      <c r="D251" s="1248">
        <v>18082</v>
      </c>
      <c r="E251" s="1166">
        <v>17471</v>
      </c>
      <c r="F251" s="1166">
        <v>16811</v>
      </c>
      <c r="G251" s="1166">
        <v>16357</v>
      </c>
      <c r="H251" s="1166">
        <v>16140</v>
      </c>
      <c r="I251" s="1166">
        <v>16159</v>
      </c>
      <c r="J251" s="1166">
        <v>16189</v>
      </c>
      <c r="K251" s="1166">
        <v>17870</v>
      </c>
      <c r="L251" s="1166">
        <v>19192</v>
      </c>
      <c r="M251" s="1166">
        <v>19291</v>
      </c>
      <c r="N251" s="1166">
        <v>18765</v>
      </c>
      <c r="O251" s="1254">
        <v>17813</v>
      </c>
      <c r="P251" s="1255">
        <f>SUM(D251:O251)/12</f>
        <v>17511.666666666668</v>
      </c>
    </row>
    <row r="252" spans="3:16">
      <c r="C252" s="1239" t="s">
        <v>1100</v>
      </c>
      <c r="D252" s="1248">
        <v>18084</v>
      </c>
      <c r="E252" s="1166">
        <v>17748</v>
      </c>
      <c r="F252" s="1166">
        <v>17750</v>
      </c>
      <c r="G252" s="1166">
        <v>17717</v>
      </c>
      <c r="H252" s="1166">
        <v>16898</v>
      </c>
      <c r="I252" s="1166">
        <v>16501</v>
      </c>
      <c r="J252" s="1166">
        <v>16846</v>
      </c>
      <c r="K252" s="1166">
        <v>17201</v>
      </c>
      <c r="L252" s="1166">
        <v>17514</v>
      </c>
      <c r="M252" s="1166"/>
      <c r="N252" s="1166"/>
      <c r="O252" s="1254"/>
      <c r="P252" s="1255">
        <f>SUM(D252:O252)/9</f>
        <v>17362.111111111109</v>
      </c>
    </row>
    <row r="253" spans="3:16">
      <c r="C253" s="1239" t="s">
        <v>1510</v>
      </c>
      <c r="D253" s="1248"/>
      <c r="E253" s="1166"/>
      <c r="F253" s="1166"/>
      <c r="G253" s="1166"/>
      <c r="H253" s="1166"/>
      <c r="I253" s="1166"/>
      <c r="J253" s="1166"/>
      <c r="K253" s="1166"/>
      <c r="L253" s="1166">
        <v>17091</v>
      </c>
      <c r="M253" s="1166">
        <v>16939</v>
      </c>
      <c r="N253" s="1166">
        <v>17242</v>
      </c>
      <c r="O253" s="1254">
        <v>16244</v>
      </c>
      <c r="P253" s="1255">
        <f>SUM(D253:O253)/4</f>
        <v>16879</v>
      </c>
    </row>
    <row r="254" spans="3:16">
      <c r="C254" s="1239" t="s">
        <v>1511</v>
      </c>
      <c r="D254" s="1248">
        <v>14374</v>
      </c>
      <c r="E254" s="1166">
        <v>14459</v>
      </c>
      <c r="F254" s="1166">
        <v>14180</v>
      </c>
      <c r="G254" s="1166">
        <v>13835</v>
      </c>
      <c r="H254" s="1166">
        <v>14586</v>
      </c>
      <c r="I254" s="1166">
        <v>13841</v>
      </c>
      <c r="J254" s="1166">
        <v>13721</v>
      </c>
      <c r="K254" s="1166">
        <v>13716</v>
      </c>
      <c r="L254" s="1166">
        <v>14784</v>
      </c>
      <c r="M254" s="1166">
        <v>15692</v>
      </c>
      <c r="N254" s="1166">
        <v>15287</v>
      </c>
      <c r="O254" s="1254">
        <v>15039</v>
      </c>
      <c r="P254" s="1255">
        <f>SUM(D254:O254)/12</f>
        <v>14459.5</v>
      </c>
    </row>
    <row r="255" spans="3:16">
      <c r="C255" s="1239" t="s">
        <v>1512</v>
      </c>
      <c r="D255" s="1248"/>
      <c r="E255" s="1166">
        <v>14041</v>
      </c>
      <c r="F255" s="1166">
        <v>14096</v>
      </c>
      <c r="G255" s="1166">
        <v>13903</v>
      </c>
      <c r="H255" s="1166">
        <v>13485</v>
      </c>
      <c r="I255" s="1166">
        <v>13879</v>
      </c>
      <c r="J255" s="1166">
        <v>14207</v>
      </c>
      <c r="K255" s="1166">
        <v>13452</v>
      </c>
      <c r="L255" s="1166">
        <v>14206</v>
      </c>
      <c r="M255" s="1166"/>
      <c r="N255" s="1166"/>
      <c r="O255" s="1254"/>
      <c r="P255" s="1256"/>
    </row>
    <row r="256" spans="3:16">
      <c r="C256" s="1239" t="s">
        <v>1513</v>
      </c>
      <c r="D256" s="1248"/>
      <c r="E256" s="1166"/>
      <c r="F256" s="1166"/>
      <c r="G256" s="1166"/>
      <c r="H256" s="1166">
        <v>14237</v>
      </c>
      <c r="I256" s="1166"/>
      <c r="J256" s="1166"/>
      <c r="K256" s="1166"/>
      <c r="L256" s="1166"/>
      <c r="M256" s="1166"/>
      <c r="N256" s="1166"/>
      <c r="O256" s="1254"/>
      <c r="P256" s="1256"/>
    </row>
    <row r="257" spans="3:16">
      <c r="C257" s="1241" t="s">
        <v>1514</v>
      </c>
      <c r="D257" s="1248"/>
      <c r="E257" s="1166"/>
      <c r="F257" s="1166"/>
      <c r="G257" s="1166"/>
      <c r="H257" s="1166"/>
      <c r="I257" s="1166"/>
      <c r="J257" s="1166"/>
      <c r="K257" s="1166"/>
      <c r="L257" s="1166">
        <v>19353</v>
      </c>
      <c r="M257" s="1166">
        <v>19747</v>
      </c>
      <c r="N257" s="1166">
        <v>19706</v>
      </c>
      <c r="O257" s="1254">
        <v>18518</v>
      </c>
      <c r="P257" s="1255">
        <f>SUM(D257:O257)/4</f>
        <v>19331</v>
      </c>
    </row>
    <row r="258" spans="3:16">
      <c r="C258" s="1239" t="s">
        <v>1101</v>
      </c>
      <c r="D258" s="1248"/>
      <c r="E258" s="1166"/>
      <c r="F258" s="1166"/>
      <c r="G258" s="1166"/>
      <c r="H258" s="1166">
        <v>14522</v>
      </c>
      <c r="I258" s="1166"/>
      <c r="J258" s="1166">
        <v>17037</v>
      </c>
      <c r="K258" s="1166">
        <v>15099</v>
      </c>
      <c r="L258" s="1166">
        <v>15671</v>
      </c>
      <c r="M258" s="1166">
        <v>15376</v>
      </c>
      <c r="N258" s="1166">
        <v>15168</v>
      </c>
      <c r="O258" s="1254">
        <v>15472</v>
      </c>
      <c r="P258" s="1255">
        <f>SUM(D258:O258)/7</f>
        <v>15477.857142857143</v>
      </c>
    </row>
    <row r="259" spans="3:16">
      <c r="C259" s="1239" t="s">
        <v>925</v>
      </c>
      <c r="D259" s="1248">
        <v>11777</v>
      </c>
      <c r="E259" s="1166">
        <v>12016</v>
      </c>
      <c r="F259" s="1166">
        <v>11862</v>
      </c>
      <c r="G259" s="1166">
        <v>12433</v>
      </c>
      <c r="H259" s="1166">
        <v>12127</v>
      </c>
      <c r="I259" s="1166">
        <v>12412</v>
      </c>
      <c r="J259" s="1166">
        <v>11788</v>
      </c>
      <c r="K259" s="1166">
        <v>12217</v>
      </c>
      <c r="L259" s="1166">
        <v>12201</v>
      </c>
      <c r="M259" s="1166">
        <v>12537</v>
      </c>
      <c r="N259" s="1166">
        <v>11172</v>
      </c>
      <c r="O259" s="1254">
        <v>11559</v>
      </c>
      <c r="P259" s="1255">
        <f>SUM(D259:O259)/12</f>
        <v>12008.416666666666</v>
      </c>
    </row>
    <row r="260" spans="3:16">
      <c r="C260" s="1239" t="s">
        <v>924</v>
      </c>
      <c r="D260" s="1248"/>
      <c r="E260" s="1166"/>
      <c r="F260" s="1166"/>
      <c r="G260" s="1166"/>
      <c r="H260" s="1166"/>
      <c r="I260" s="1166"/>
      <c r="J260" s="1166"/>
      <c r="K260" s="1166"/>
      <c r="L260" s="1166"/>
      <c r="M260" s="1166"/>
      <c r="N260" s="1166"/>
      <c r="O260" s="1166"/>
      <c r="P260" s="1247">
        <v>8864</v>
      </c>
    </row>
    <row r="261" spans="3:16">
      <c r="C261" s="1239" t="s">
        <v>1102</v>
      </c>
      <c r="D261" s="1248"/>
      <c r="E261" s="1166"/>
      <c r="F261" s="1166"/>
      <c r="G261" s="1166"/>
      <c r="H261" s="1166"/>
      <c r="I261" s="1166"/>
      <c r="J261" s="1166"/>
      <c r="K261" s="1166"/>
      <c r="L261" s="1166"/>
      <c r="M261" s="1166"/>
      <c r="N261" s="1166"/>
      <c r="O261" s="1166"/>
      <c r="P261" s="1247">
        <v>6558</v>
      </c>
    </row>
    <row r="262" spans="3:16">
      <c r="C262" s="1257"/>
      <c r="D262" s="1258"/>
      <c r="E262" s="1259"/>
      <c r="F262" s="1259"/>
      <c r="G262" s="1259"/>
      <c r="H262" s="1259"/>
      <c r="I262" s="1259"/>
      <c r="J262" s="1259"/>
      <c r="K262" s="1259"/>
      <c r="L262" s="1259"/>
      <c r="M262" s="1259"/>
      <c r="N262" s="1259"/>
      <c r="O262" s="1259"/>
      <c r="P262" s="1260"/>
    </row>
    <row r="264" spans="3:16">
      <c r="C264" s="1261" t="s">
        <v>1495</v>
      </c>
      <c r="D264" s="1261"/>
      <c r="E264" s="1261"/>
      <c r="F264" s="1261"/>
      <c r="G264" s="1261"/>
      <c r="H264" s="1261"/>
      <c r="I264" s="1261"/>
      <c r="J264" s="1261"/>
      <c r="K264" s="1261"/>
      <c r="L264" s="1261"/>
      <c r="M264" s="1261"/>
      <c r="N264" s="1261"/>
      <c r="O264" s="1261"/>
      <c r="P264" s="1261"/>
    </row>
    <row r="265" spans="3:16" ht="15.6">
      <c r="C265" s="1239" t="s">
        <v>1095</v>
      </c>
      <c r="D265" s="1262" t="s">
        <v>1497</v>
      </c>
      <c r="E265" s="1262" t="s">
        <v>1498</v>
      </c>
      <c r="F265" s="1262" t="s">
        <v>1499</v>
      </c>
      <c r="G265" s="1262" t="s">
        <v>1500</v>
      </c>
      <c r="H265" s="1262" t="s">
        <v>1501</v>
      </c>
      <c r="I265" s="1262" t="s">
        <v>1502</v>
      </c>
      <c r="J265" s="1262" t="s">
        <v>1503</v>
      </c>
      <c r="K265" s="1262" t="s">
        <v>1504</v>
      </c>
      <c r="L265" s="1262" t="s">
        <v>1505</v>
      </c>
      <c r="M265" s="1262" t="s">
        <v>1506</v>
      </c>
      <c r="N265" s="1262" t="s">
        <v>1507</v>
      </c>
      <c r="O265" s="1262" t="s">
        <v>1508</v>
      </c>
      <c r="P265" s="1253" t="s">
        <v>1515</v>
      </c>
    </row>
    <row r="266" spans="3:16">
      <c r="C266" s="1239" t="s">
        <v>1099</v>
      </c>
      <c r="D266" s="1173">
        <v>20660</v>
      </c>
      <c r="E266" s="1174">
        <v>18723</v>
      </c>
      <c r="F266" s="1174">
        <v>15263</v>
      </c>
      <c r="G266" s="1174">
        <v>15053</v>
      </c>
      <c r="H266" s="1174">
        <v>13285</v>
      </c>
      <c r="I266" s="1174">
        <v>14218</v>
      </c>
      <c r="J266" s="1174">
        <v>15269</v>
      </c>
      <c r="K266" s="1174">
        <v>16094</v>
      </c>
      <c r="L266" s="1174">
        <v>14875</v>
      </c>
      <c r="M266" s="1263">
        <v>15383</v>
      </c>
      <c r="N266" s="1174">
        <v>18280</v>
      </c>
      <c r="O266" s="1174">
        <v>18135</v>
      </c>
      <c r="P266" s="1255">
        <f>SUM(D266:O266)/12</f>
        <v>16269.833333333334</v>
      </c>
    </row>
    <row r="267" spans="3:16">
      <c r="C267" s="1239" t="s">
        <v>1100</v>
      </c>
      <c r="D267" s="1173">
        <v>20614</v>
      </c>
      <c r="E267" s="1174">
        <v>20356</v>
      </c>
      <c r="F267" s="1174">
        <v>15776</v>
      </c>
      <c r="G267" s="1174">
        <v>16841</v>
      </c>
      <c r="H267" s="1174">
        <v>15273</v>
      </c>
      <c r="I267" s="1174">
        <v>14724</v>
      </c>
      <c r="J267" s="1174">
        <v>15798</v>
      </c>
      <c r="K267" s="1174">
        <v>15715</v>
      </c>
      <c r="L267" s="1174">
        <v>15759</v>
      </c>
      <c r="M267" s="1263">
        <v>15189</v>
      </c>
      <c r="N267" s="1174">
        <v>15893</v>
      </c>
      <c r="O267" s="1174">
        <v>16869</v>
      </c>
      <c r="P267" s="1255">
        <f>SUM(D267:O267)/12</f>
        <v>16567.25</v>
      </c>
    </row>
    <row r="268" spans="3:16">
      <c r="C268" s="1239" t="s">
        <v>1510</v>
      </c>
      <c r="D268" s="1264"/>
      <c r="E268" s="1174">
        <v>18705</v>
      </c>
      <c r="F268" s="1174"/>
      <c r="G268" s="1174"/>
      <c r="H268" s="1174"/>
      <c r="I268" s="1174"/>
      <c r="J268" s="1174">
        <v>14099</v>
      </c>
      <c r="K268" s="1174">
        <v>13154</v>
      </c>
      <c r="L268" s="1174">
        <v>14495</v>
      </c>
      <c r="M268" s="1263">
        <v>14710</v>
      </c>
      <c r="N268" s="1174"/>
      <c r="O268" s="1174">
        <v>13795</v>
      </c>
      <c r="P268" s="1255">
        <f>SUM(D268:O268)/6</f>
        <v>14826.333333333334</v>
      </c>
    </row>
    <row r="269" spans="3:16">
      <c r="C269" s="1239" t="s">
        <v>1511</v>
      </c>
      <c r="D269" s="1173">
        <v>13697</v>
      </c>
      <c r="E269" s="1174">
        <v>14716</v>
      </c>
      <c r="F269" s="1174">
        <v>13778</v>
      </c>
      <c r="G269" s="1174">
        <v>12622</v>
      </c>
      <c r="H269" s="1174">
        <v>11229</v>
      </c>
      <c r="I269" s="1174">
        <v>12626</v>
      </c>
      <c r="J269" s="1174">
        <v>13087</v>
      </c>
      <c r="K269" s="1174">
        <v>13115</v>
      </c>
      <c r="L269" s="1174">
        <v>12258</v>
      </c>
      <c r="M269" s="1263">
        <v>12881</v>
      </c>
      <c r="N269" s="1174">
        <v>12632</v>
      </c>
      <c r="O269" s="1174">
        <v>15160</v>
      </c>
      <c r="P269" s="1255">
        <f>SUM(D269:O269)/12</f>
        <v>13150.083333333334</v>
      </c>
    </row>
    <row r="270" spans="3:16">
      <c r="C270" s="1239" t="s">
        <v>1512</v>
      </c>
      <c r="D270" s="1173"/>
      <c r="E270" s="1174"/>
      <c r="F270" s="1174"/>
      <c r="G270" s="1174"/>
      <c r="H270" s="1174"/>
      <c r="I270" s="1174"/>
      <c r="J270" s="1174"/>
      <c r="K270" s="1174"/>
      <c r="L270" s="1174"/>
      <c r="M270" s="1263">
        <v>14040</v>
      </c>
      <c r="N270" s="1174"/>
      <c r="O270" s="1174"/>
      <c r="P270" s="1174"/>
    </row>
    <row r="271" spans="3:16">
      <c r="C271" s="1239" t="s">
        <v>1513</v>
      </c>
      <c r="D271" s="1264"/>
      <c r="E271" s="1174"/>
      <c r="F271" s="1174"/>
      <c r="G271" s="1174"/>
      <c r="H271" s="1174"/>
      <c r="I271" s="1174"/>
      <c r="J271" s="1174"/>
      <c r="K271" s="1174"/>
      <c r="L271" s="1174">
        <v>13870</v>
      </c>
      <c r="M271" s="1263">
        <v>13968</v>
      </c>
      <c r="N271" s="1174"/>
      <c r="O271" s="1174">
        <v>13749</v>
      </c>
      <c r="P271" s="1174"/>
    </row>
    <row r="272" spans="3:16">
      <c r="C272" s="1241" t="s">
        <v>1514</v>
      </c>
      <c r="D272" s="1237"/>
      <c r="E272" s="1237"/>
      <c r="F272" s="1174">
        <v>20564</v>
      </c>
      <c r="G272" s="1174">
        <v>20432</v>
      </c>
      <c r="H272" s="1174">
        <v>12498</v>
      </c>
      <c r="I272" s="1174">
        <v>14377</v>
      </c>
      <c r="J272" s="1174">
        <v>15911</v>
      </c>
      <c r="K272" s="1174">
        <v>17040</v>
      </c>
      <c r="L272" s="1174">
        <v>14576</v>
      </c>
      <c r="M272" s="1265"/>
      <c r="N272" s="1174">
        <v>15784</v>
      </c>
      <c r="O272" s="1174">
        <v>16019</v>
      </c>
      <c r="P272" s="1255">
        <f>SUM(D272:O272)/9</f>
        <v>16355.666666666666</v>
      </c>
    </row>
    <row r="273" spans="3:16">
      <c r="C273" s="1239" t="s">
        <v>1101</v>
      </c>
      <c r="D273" s="1173"/>
      <c r="E273" s="1174"/>
      <c r="F273" s="1237">
        <v>15124</v>
      </c>
      <c r="G273" s="1174">
        <v>15573</v>
      </c>
      <c r="H273" s="1237">
        <v>15408</v>
      </c>
      <c r="I273" s="1174"/>
      <c r="J273" s="1174"/>
      <c r="K273" s="1237">
        <v>13989</v>
      </c>
      <c r="L273" s="1237">
        <v>13784</v>
      </c>
      <c r="M273" s="1265">
        <v>14443</v>
      </c>
      <c r="N273" s="1174"/>
      <c r="O273" s="1174"/>
      <c r="P273" s="1255">
        <f>SUM(D273:O273)/6</f>
        <v>14720.166666666666</v>
      </c>
    </row>
    <row r="274" spans="3:16">
      <c r="C274" s="1239" t="s">
        <v>925</v>
      </c>
      <c r="D274" s="1266">
        <v>13427</v>
      </c>
      <c r="E274" s="1174">
        <v>13711</v>
      </c>
      <c r="F274" s="1174">
        <v>10639</v>
      </c>
      <c r="G274" s="1174">
        <v>11162</v>
      </c>
      <c r="H274" s="1174">
        <v>10455</v>
      </c>
      <c r="I274" s="1174">
        <v>9605</v>
      </c>
      <c r="J274" s="1174">
        <v>9710</v>
      </c>
      <c r="K274" s="1174">
        <v>10458</v>
      </c>
      <c r="L274" s="1174">
        <v>10636</v>
      </c>
      <c r="M274" s="1263">
        <v>11004</v>
      </c>
      <c r="N274" s="1174">
        <v>10771</v>
      </c>
      <c r="O274" s="1174">
        <v>11103</v>
      </c>
      <c r="P274" s="1255">
        <f>SUM(D274:O274)/12</f>
        <v>11056.75</v>
      </c>
    </row>
    <row r="275" spans="3:16">
      <c r="C275" s="1239" t="s">
        <v>924</v>
      </c>
      <c r="D275" s="153"/>
      <c r="E275" s="153"/>
      <c r="F275" s="153"/>
      <c r="G275" s="153"/>
      <c r="H275" s="153"/>
      <c r="I275" s="153"/>
      <c r="J275" s="153"/>
      <c r="K275" s="153"/>
      <c r="L275" s="153"/>
      <c r="M275" s="153"/>
      <c r="N275" s="153"/>
      <c r="O275" s="153"/>
      <c r="P275" s="1247">
        <v>8993</v>
      </c>
    </row>
    <row r="276" spans="3:16">
      <c r="C276" s="1239" t="s">
        <v>1102</v>
      </c>
      <c r="D276" s="153"/>
      <c r="E276" s="153"/>
      <c r="F276" s="153"/>
      <c r="G276" s="153"/>
      <c r="H276" s="153"/>
      <c r="I276" s="153"/>
      <c r="J276" s="153"/>
      <c r="K276" s="153"/>
      <c r="L276" s="153"/>
      <c r="M276" s="153"/>
      <c r="N276" s="153"/>
      <c r="O276" s="153"/>
      <c r="P276" s="1247">
        <v>6717</v>
      </c>
    </row>
  </sheetData>
  <mergeCells count="2">
    <mergeCell ref="C3:F3"/>
    <mergeCell ref="G3:J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BY118"/>
  <sheetViews>
    <sheetView showZeros="0" topLeftCell="A6" workbookViewId="0">
      <selection activeCell="G16" sqref="G16"/>
    </sheetView>
  </sheetViews>
  <sheetFormatPr defaultColWidth="10.1796875" defaultRowHeight="15"/>
  <cols>
    <col min="1" max="1" width="5.54296875" style="42" customWidth="1"/>
    <col min="2" max="4" width="10.1796875" style="42"/>
    <col min="5" max="5" width="8.6328125" style="42" customWidth="1"/>
    <col min="6" max="6" width="12" style="42" customWidth="1"/>
    <col min="7" max="7" width="11.90625" style="42" customWidth="1"/>
    <col min="8" max="8" width="12.54296875" style="42" customWidth="1"/>
    <col min="9" max="9" width="9" style="42" customWidth="1"/>
    <col min="10" max="10" width="8" style="42" customWidth="1"/>
    <col min="11" max="11" width="18.36328125" style="383" customWidth="1"/>
    <col min="12" max="13" width="10.1796875" style="42"/>
    <col min="14" max="14" width="12.453125" style="42" customWidth="1"/>
    <col min="15" max="16384" width="10.1796875" style="42"/>
  </cols>
  <sheetData>
    <row r="4" spans="1:26" ht="15.6">
      <c r="G4" s="43" t="s">
        <v>322</v>
      </c>
      <c r="H4" s="43"/>
      <c r="J4" s="44"/>
      <c r="K4" s="413"/>
    </row>
    <row r="5" spans="1:26" s="219" customFormat="1" ht="21" customHeight="1">
      <c r="A5" s="1692" t="e">
        <f>#REF!</f>
        <v>#REF!</v>
      </c>
      <c r="B5" s="1692"/>
      <c r="C5" s="1692"/>
      <c r="D5" s="1692"/>
      <c r="E5" s="1692"/>
      <c r="F5" s="1692"/>
      <c r="G5" s="1692"/>
      <c r="H5" s="218"/>
      <c r="J5" s="220"/>
      <c r="K5" s="414"/>
    </row>
    <row r="6" spans="1:26" s="219" customFormat="1" ht="21.75" customHeight="1">
      <c r="A6" s="1693" t="e">
        <f>#REF!</f>
        <v>#REF!</v>
      </c>
      <c r="B6" s="1693"/>
      <c r="C6" s="1693"/>
      <c r="D6" s="1693"/>
      <c r="E6" s="1693"/>
      <c r="F6" s="1693"/>
      <c r="G6" s="1693"/>
      <c r="H6" s="218"/>
      <c r="J6" s="262"/>
      <c r="K6" s="415"/>
    </row>
    <row r="7" spans="1:26" s="219" customFormat="1" ht="22.5" customHeight="1">
      <c r="A7" s="1694" t="e">
        <f>#REF!</f>
        <v>#REF!</v>
      </c>
      <c r="B7" s="1694"/>
      <c r="C7" s="1694"/>
      <c r="D7" s="1694"/>
      <c r="E7" s="1694"/>
      <c r="F7" s="1694"/>
      <c r="G7" s="1694"/>
      <c r="H7" s="218"/>
      <c r="J7" s="220"/>
      <c r="K7" s="414"/>
    </row>
    <row r="8" spans="1:26" ht="18" customHeight="1">
      <c r="A8" s="1695" t="s">
        <v>1459</v>
      </c>
      <c r="B8" s="1695"/>
      <c r="C8" s="1695"/>
      <c r="D8" s="1695"/>
      <c r="E8" s="1695"/>
      <c r="F8" s="1695"/>
      <c r="G8" s="1695"/>
      <c r="H8" s="45"/>
    </row>
    <row r="9" spans="1:26" s="150" customFormat="1" ht="18" customHeight="1">
      <c r="B9" s="145"/>
      <c r="C9" s="145"/>
      <c r="D9" s="145"/>
      <c r="E9" s="145"/>
      <c r="F9" s="145"/>
      <c r="G9" s="182" t="e">
        <f>#REF!</f>
        <v>#REF!</v>
      </c>
      <c r="H9" s="145"/>
      <c r="K9" s="210"/>
    </row>
    <row r="10" spans="1:26" s="150" customFormat="1" ht="21" customHeight="1">
      <c r="A10" s="141" t="s">
        <v>9</v>
      </c>
      <c r="B10" s="1696" t="s">
        <v>223</v>
      </c>
      <c r="C10" s="1697"/>
      <c r="D10" s="1697"/>
      <c r="E10" s="1698"/>
      <c r="F10" s="141" t="s">
        <v>2</v>
      </c>
      <c r="G10" s="209" t="s">
        <v>584</v>
      </c>
      <c r="H10" s="1699" t="s">
        <v>603</v>
      </c>
      <c r="I10" s="1699"/>
      <c r="J10" s="1699"/>
      <c r="K10" s="410"/>
      <c r="L10" s="152"/>
      <c r="N10" s="151"/>
      <c r="O10" s="152"/>
      <c r="R10" s="152"/>
      <c r="U10" s="136"/>
      <c r="V10" s="136"/>
      <c r="W10" s="136"/>
      <c r="X10" s="392"/>
      <c r="Y10" s="136"/>
      <c r="Z10" s="136"/>
    </row>
    <row r="11" spans="1:26" ht="39.75" customHeight="1">
      <c r="A11" s="135">
        <v>1</v>
      </c>
      <c r="B11" s="1686" t="s">
        <v>592</v>
      </c>
      <c r="C11" s="1687"/>
      <c r="D11" s="1687"/>
      <c r="E11" s="1688"/>
      <c r="F11" s="135" t="s">
        <v>4</v>
      </c>
      <c r="G11" s="471">
        <f>F51</f>
        <v>670000</v>
      </c>
      <c r="H11" s="1670" t="s">
        <v>1463</v>
      </c>
      <c r="I11" s="1671"/>
      <c r="J11" s="1672"/>
      <c r="K11" s="391"/>
      <c r="L11" s="47"/>
      <c r="N11" s="46"/>
      <c r="O11" s="47"/>
      <c r="R11" s="47"/>
      <c r="U11" s="493"/>
      <c r="V11" s="493"/>
      <c r="W11" s="493"/>
      <c r="X11" s="703"/>
      <c r="Y11" s="493"/>
      <c r="Z11" s="493"/>
    </row>
    <row r="12" spans="1:26" ht="52.5" customHeight="1">
      <c r="A12" s="135">
        <f>A11+1</f>
        <v>2</v>
      </c>
      <c r="B12" s="1686" t="s">
        <v>751</v>
      </c>
      <c r="C12" s="1687"/>
      <c r="D12" s="1687"/>
      <c r="E12" s="1688"/>
      <c r="F12" s="135" t="s">
        <v>229</v>
      </c>
      <c r="G12" s="631">
        <f>'Coal &amp; Coke Data'!C18</f>
        <v>28023.843930635838</v>
      </c>
      <c r="H12" s="1670" t="s">
        <v>1461</v>
      </c>
      <c r="I12" s="1671"/>
      <c r="J12" s="1672"/>
      <c r="K12" s="108"/>
      <c r="L12" s="47"/>
      <c r="N12" s="46"/>
      <c r="P12" s="47"/>
      <c r="Q12" s="47"/>
      <c r="R12" s="47"/>
      <c r="U12" s="493"/>
      <c r="V12" s="493"/>
      <c r="W12" s="493"/>
      <c r="X12" s="493"/>
      <c r="Y12" s="493"/>
      <c r="Z12" s="493"/>
    </row>
    <row r="13" spans="1:26" ht="70.5" customHeight="1">
      <c r="A13" s="135">
        <f t="shared" ref="A13:A30" si="0">A12+1</f>
        <v>3</v>
      </c>
      <c r="B13" s="1686" t="s">
        <v>585</v>
      </c>
      <c r="C13" s="1687"/>
      <c r="D13" s="1687"/>
      <c r="E13" s="1688"/>
      <c r="F13" s="135" t="s">
        <v>229</v>
      </c>
      <c r="G13" s="471">
        <f>G12*70/67</f>
        <v>29278.642912604606</v>
      </c>
      <c r="H13" s="1691" t="s">
        <v>1464</v>
      </c>
      <c r="I13" s="1691"/>
      <c r="J13" s="1691"/>
      <c r="K13" s="108"/>
      <c r="L13" s="47"/>
      <c r="N13" s="46"/>
      <c r="P13" s="47"/>
      <c r="Q13" s="47"/>
      <c r="R13" s="47"/>
      <c r="U13" s="493"/>
      <c r="V13" s="493"/>
      <c r="W13" s="493"/>
      <c r="X13" s="493"/>
      <c r="Y13" s="493"/>
      <c r="Z13" s="493"/>
    </row>
    <row r="14" spans="1:26" ht="39" customHeight="1">
      <c r="A14" s="135">
        <f t="shared" si="0"/>
        <v>4</v>
      </c>
      <c r="B14" s="1686" t="s">
        <v>593</v>
      </c>
      <c r="C14" s="1687"/>
      <c r="D14" s="1687"/>
      <c r="E14" s="1688"/>
      <c r="F14" s="135" t="s">
        <v>4</v>
      </c>
      <c r="G14" s="471">
        <f>F49*1.02</f>
        <v>1020000</v>
      </c>
      <c r="H14" s="1689"/>
      <c r="I14" s="1689"/>
      <c r="J14" s="1689"/>
      <c r="K14" s="416"/>
      <c r="L14" s="701"/>
      <c r="M14" s="701"/>
      <c r="N14" s="701"/>
      <c r="O14" s="701"/>
      <c r="P14" s="701"/>
      <c r="Q14" s="701"/>
      <c r="R14" s="701"/>
      <c r="S14" s="701"/>
      <c r="T14" s="701"/>
      <c r="U14" s="699"/>
      <c r="V14" s="699"/>
      <c r="W14" s="699"/>
      <c r="X14" s="699"/>
      <c r="Y14" s="493"/>
      <c r="Z14" s="493"/>
    </row>
    <row r="15" spans="1:26" ht="42.75" customHeight="1">
      <c r="A15" s="135">
        <f t="shared" si="0"/>
        <v>5</v>
      </c>
      <c r="B15" s="1670" t="s">
        <v>1462</v>
      </c>
      <c r="C15" s="1671"/>
      <c r="D15" s="1671"/>
      <c r="E15" s="1672"/>
      <c r="F15" s="406" t="s">
        <v>586</v>
      </c>
      <c r="G15" s="631">
        <f>'Coal &amp; Coke Data'!D15</f>
        <v>12102.329081802311</v>
      </c>
      <c r="H15" s="1670" t="s">
        <v>1465</v>
      </c>
      <c r="I15" s="1671"/>
      <c r="J15" s="1672"/>
      <c r="K15" s="108"/>
      <c r="L15" s="702"/>
      <c r="M15" s="702"/>
      <c r="N15" s="702"/>
      <c r="O15" s="702"/>
      <c r="P15" s="702"/>
      <c r="Q15" s="702"/>
      <c r="R15" s="702"/>
      <c r="S15" s="702"/>
      <c r="T15" s="702"/>
      <c r="U15" s="700"/>
      <c r="V15" s="700"/>
      <c r="W15" s="700"/>
      <c r="X15" s="700"/>
      <c r="Y15" s="493"/>
      <c r="Z15" s="493"/>
    </row>
    <row r="16" spans="1:26" ht="42" customHeight="1">
      <c r="A16" s="135">
        <f t="shared" si="0"/>
        <v>6</v>
      </c>
      <c r="B16" s="1680" t="s">
        <v>587</v>
      </c>
      <c r="C16" s="1681"/>
      <c r="D16" s="1681"/>
      <c r="E16" s="1682"/>
      <c r="F16" s="406" t="s">
        <v>589</v>
      </c>
      <c r="G16" s="471">
        <f>G14*G15/G11</f>
        <v>18424.441288713966</v>
      </c>
      <c r="H16" s="1689"/>
      <c r="I16" s="1689"/>
      <c r="J16" s="1689"/>
      <c r="K16" s="417"/>
      <c r="L16" s="702"/>
      <c r="M16" s="702"/>
      <c r="N16" s="702"/>
      <c r="O16" s="702"/>
      <c r="P16" s="702"/>
      <c r="Q16" s="702"/>
      <c r="R16" s="702"/>
      <c r="S16" s="702"/>
      <c r="T16" s="702"/>
      <c r="U16" s="700"/>
      <c r="V16" s="700"/>
      <c r="W16" s="700"/>
      <c r="X16" s="700"/>
      <c r="Y16" s="700"/>
      <c r="Z16" s="493"/>
    </row>
    <row r="17" spans="1:18" ht="66.75" customHeight="1">
      <c r="A17" s="135">
        <f t="shared" si="0"/>
        <v>7</v>
      </c>
      <c r="B17" s="1686" t="s">
        <v>928</v>
      </c>
      <c r="C17" s="1687"/>
      <c r="D17" s="1687"/>
      <c r="E17" s="1688"/>
      <c r="F17" s="406" t="str">
        <f>F16</f>
        <v>Rs/t of BF coke</v>
      </c>
      <c r="G17" s="533">
        <f>((272.76+2439.67+528.23)*1731603/1446351+138.92+29.4+284.23)*0+'TE Tall 5'!D22+5*G26*G14/G11</f>
        <v>3217.2104477611938</v>
      </c>
      <c r="H17" s="1691" t="s">
        <v>1466</v>
      </c>
      <c r="I17" s="1691"/>
      <c r="J17" s="1691"/>
      <c r="K17" s="418"/>
      <c r="L17" s="47"/>
      <c r="N17" s="46"/>
      <c r="P17" s="47"/>
      <c r="Q17" s="47"/>
      <c r="R17" s="47"/>
    </row>
    <row r="18" spans="1:18" ht="34.5" customHeight="1">
      <c r="A18" s="135">
        <f t="shared" si="0"/>
        <v>8</v>
      </c>
      <c r="B18" s="1686" t="s">
        <v>929</v>
      </c>
      <c r="C18" s="1687"/>
      <c r="D18" s="1687"/>
      <c r="E18" s="1688"/>
      <c r="F18" s="406" t="s">
        <v>589</v>
      </c>
      <c r="G18" s="472">
        <f>(G16+G17)</f>
        <v>21641.65173647516</v>
      </c>
      <c r="H18" s="1691"/>
      <c r="I18" s="1691"/>
      <c r="J18" s="1691"/>
      <c r="K18" s="108"/>
    </row>
    <row r="19" spans="1:18" ht="45.75" customHeight="1">
      <c r="A19" s="135">
        <f>A18+1</f>
        <v>9</v>
      </c>
      <c r="B19" s="1686" t="s">
        <v>772</v>
      </c>
      <c r="C19" s="1687"/>
      <c r="D19" s="1687"/>
      <c r="E19" s="1688"/>
      <c r="F19" s="406" t="s">
        <v>589</v>
      </c>
      <c r="G19" s="532">
        <f>(652.05+137.98+309.29)</f>
        <v>1099.32</v>
      </c>
      <c r="H19" s="1691" t="str">
        <f>H17</f>
        <v>As per RSP Std cost sheet 2021-22</v>
      </c>
      <c r="I19" s="1691"/>
      <c r="J19" s="1691"/>
      <c r="K19" s="710"/>
    </row>
    <row r="20" spans="1:18" ht="43.5" customHeight="1">
      <c r="A20" s="135">
        <f t="shared" si="0"/>
        <v>10</v>
      </c>
      <c r="B20" s="1686" t="s">
        <v>590</v>
      </c>
      <c r="C20" s="1687"/>
      <c r="D20" s="1687"/>
      <c r="E20" s="1688"/>
      <c r="F20" s="406" t="s">
        <v>589</v>
      </c>
      <c r="G20" s="472">
        <f>G18+G19</f>
        <v>22740.97173647516</v>
      </c>
      <c r="H20" s="1691" t="s">
        <v>596</v>
      </c>
      <c r="I20" s="1691"/>
      <c r="J20" s="1691"/>
      <c r="K20" s="710"/>
    </row>
    <row r="21" spans="1:18" ht="43.5" customHeight="1">
      <c r="A21" s="135">
        <f t="shared" si="0"/>
        <v>11</v>
      </c>
      <c r="B21" s="1686" t="s">
        <v>595</v>
      </c>
      <c r="C21" s="1687"/>
      <c r="D21" s="1687"/>
      <c r="E21" s="1688"/>
      <c r="F21" s="406" t="s">
        <v>591</v>
      </c>
      <c r="G21" s="472">
        <f>320*F49</f>
        <v>320000000</v>
      </c>
      <c r="H21" s="1689"/>
      <c r="I21" s="1689"/>
      <c r="J21" s="1689"/>
      <c r="K21" s="710"/>
      <c r="L21" s="47"/>
      <c r="N21" s="46"/>
      <c r="P21" s="47"/>
      <c r="Q21" s="47"/>
      <c r="R21" s="47"/>
    </row>
    <row r="22" spans="1:18" ht="39" customHeight="1">
      <c r="A22" s="135">
        <f>A21+1</f>
        <v>12</v>
      </c>
      <c r="B22" s="1686" t="s">
        <v>597</v>
      </c>
      <c r="C22" s="1687"/>
      <c r="D22" s="1687"/>
      <c r="E22" s="1688"/>
      <c r="F22" s="135" t="s">
        <v>598</v>
      </c>
      <c r="G22" s="532">
        <v>1338</v>
      </c>
      <c r="H22" s="1670" t="str">
        <f>H19</f>
        <v>As per RSP Std cost sheet 2021-22</v>
      </c>
      <c r="I22" s="1671"/>
      <c r="J22" s="1672"/>
      <c r="K22" s="716"/>
      <c r="L22" s="47"/>
      <c r="N22" s="46"/>
      <c r="P22" s="47"/>
      <c r="Q22" s="47"/>
      <c r="R22" s="47"/>
    </row>
    <row r="23" spans="1:18" ht="32.25" customHeight="1">
      <c r="A23" s="135">
        <f t="shared" si="0"/>
        <v>13</v>
      </c>
      <c r="B23" s="1686" t="s">
        <v>594</v>
      </c>
      <c r="C23" s="1687"/>
      <c r="D23" s="1687"/>
      <c r="E23" s="1688"/>
      <c r="F23" s="406" t="s">
        <v>4</v>
      </c>
      <c r="G23" s="472">
        <f>F55</f>
        <v>32000</v>
      </c>
      <c r="H23" s="1689"/>
      <c r="I23" s="1689"/>
      <c r="J23" s="1689"/>
      <c r="K23" s="391"/>
      <c r="L23" s="47"/>
      <c r="N23" s="46"/>
      <c r="P23" s="47"/>
      <c r="Q23" s="47"/>
      <c r="R23" s="47"/>
    </row>
    <row r="24" spans="1:18" ht="39" customHeight="1">
      <c r="A24" s="135">
        <f t="shared" si="0"/>
        <v>14</v>
      </c>
      <c r="B24" s="1686" t="s">
        <v>599</v>
      </c>
      <c r="C24" s="1687"/>
      <c r="D24" s="1687"/>
      <c r="E24" s="1688"/>
      <c r="F24" s="135" t="s">
        <v>598</v>
      </c>
      <c r="G24" s="532">
        <f>G22</f>
        <v>1338</v>
      </c>
      <c r="H24" s="1670" t="str">
        <f>H22</f>
        <v>As per RSP Std cost sheet 2021-22</v>
      </c>
      <c r="I24" s="1671"/>
      <c r="J24" s="1672"/>
      <c r="K24" s="711"/>
      <c r="L24" s="47"/>
      <c r="N24" s="46"/>
      <c r="P24" s="47"/>
      <c r="Q24" s="47"/>
      <c r="R24" s="47"/>
    </row>
    <row r="25" spans="1:18" ht="35.25" customHeight="1">
      <c r="A25" s="135">
        <f t="shared" si="0"/>
        <v>15</v>
      </c>
      <c r="B25" s="1670" t="s">
        <v>773</v>
      </c>
      <c r="C25" s="1671"/>
      <c r="D25" s="1671"/>
      <c r="E25" s="1672"/>
      <c r="F25" s="135" t="s">
        <v>600</v>
      </c>
      <c r="G25" s="471">
        <f>5*10^3*24*345</f>
        <v>41400000</v>
      </c>
      <c r="H25" s="1690"/>
      <c r="I25" s="1690"/>
      <c r="J25" s="1690"/>
      <c r="K25" s="412"/>
      <c r="L25" s="47"/>
      <c r="N25" s="46"/>
      <c r="P25" s="47"/>
      <c r="Q25" s="47"/>
      <c r="R25" s="47"/>
    </row>
    <row r="26" spans="1:18" ht="44.25" customHeight="1">
      <c r="A26" s="135">
        <f t="shared" si="0"/>
        <v>16</v>
      </c>
      <c r="B26" s="1680" t="s">
        <v>752</v>
      </c>
      <c r="C26" s="1681"/>
      <c r="D26" s="1681"/>
      <c r="E26" s="1682"/>
      <c r="F26" s="135" t="s">
        <v>339</v>
      </c>
      <c r="G26" s="1212">
        <v>6.6369999999999996</v>
      </c>
      <c r="H26" s="1670" t="str">
        <f>H24</f>
        <v>As per RSP Std cost sheet 2021-22</v>
      </c>
      <c r="I26" s="1671"/>
      <c r="J26" s="1672"/>
      <c r="K26" s="711"/>
      <c r="L26" s="47"/>
      <c r="N26" s="46"/>
      <c r="P26" s="47"/>
      <c r="Q26" s="47"/>
      <c r="R26" s="47"/>
    </row>
    <row r="27" spans="1:18" ht="33.75" customHeight="1">
      <c r="A27" s="135">
        <f t="shared" si="0"/>
        <v>17</v>
      </c>
      <c r="B27" s="1670" t="s">
        <v>770</v>
      </c>
      <c r="C27" s="1671"/>
      <c r="D27" s="1671"/>
      <c r="E27" s="1672"/>
      <c r="F27" s="406" t="s">
        <v>4</v>
      </c>
      <c r="G27" s="472">
        <f>52*24*345</f>
        <v>430560</v>
      </c>
      <c r="H27" s="108"/>
      <c r="I27" s="180"/>
      <c r="J27" s="180"/>
      <c r="K27" s="180"/>
      <c r="L27" s="47"/>
      <c r="N27" s="46"/>
      <c r="P27" s="47"/>
      <c r="Q27" s="47"/>
      <c r="R27" s="47"/>
    </row>
    <row r="28" spans="1:18" ht="41.4" customHeight="1">
      <c r="A28" s="135">
        <f t="shared" si="0"/>
        <v>18</v>
      </c>
      <c r="B28" s="1680" t="s">
        <v>897</v>
      </c>
      <c r="C28" s="1681"/>
      <c r="D28" s="1681"/>
      <c r="E28" s="1682"/>
      <c r="F28" s="135" t="s">
        <v>229</v>
      </c>
      <c r="G28" s="532">
        <v>1218</v>
      </c>
      <c r="H28" s="1670" t="str">
        <f>H26</f>
        <v>As per RSP Std cost sheet 2021-22</v>
      </c>
      <c r="I28" s="1671"/>
      <c r="J28" s="1672"/>
      <c r="K28" s="712"/>
      <c r="L28" s="47"/>
      <c r="N28" s="46"/>
      <c r="P28" s="47"/>
      <c r="Q28" s="47"/>
      <c r="R28" s="47"/>
    </row>
    <row r="29" spans="1:18" s="210" customFormat="1" ht="22.5" customHeight="1">
      <c r="A29" s="135">
        <f>A28+1</f>
        <v>19</v>
      </c>
      <c r="B29" s="1670" t="s">
        <v>774</v>
      </c>
      <c r="C29" s="1671"/>
      <c r="D29" s="1671"/>
      <c r="E29" s="1672"/>
      <c r="F29" s="5" t="s">
        <v>4</v>
      </c>
      <c r="G29" s="471">
        <f>F52</f>
        <v>90000</v>
      </c>
      <c r="H29" s="214"/>
      <c r="I29" s="208"/>
      <c r="J29" s="208"/>
      <c r="K29" s="208"/>
      <c r="L29" s="212"/>
      <c r="N29" s="211"/>
      <c r="P29" s="212"/>
      <c r="Q29" s="212"/>
      <c r="R29" s="212"/>
    </row>
    <row r="30" spans="1:18" s="210" customFormat="1" ht="49.5" customHeight="1">
      <c r="A30" s="135">
        <f t="shared" si="0"/>
        <v>20</v>
      </c>
      <c r="B30" s="1670" t="s">
        <v>775</v>
      </c>
      <c r="C30" s="1671"/>
      <c r="D30" s="1671"/>
      <c r="E30" s="1672"/>
      <c r="F30" s="5" t="s">
        <v>229</v>
      </c>
      <c r="G30" s="631">
        <v>11488</v>
      </c>
      <c r="H30" s="1670" t="s">
        <v>1467</v>
      </c>
      <c r="I30" s="1671"/>
      <c r="J30" s="1672"/>
      <c r="K30" s="712" t="s">
        <v>912</v>
      </c>
      <c r="L30" s="212"/>
      <c r="N30" s="211"/>
      <c r="P30" s="212"/>
      <c r="Q30" s="212"/>
      <c r="R30" s="212"/>
    </row>
    <row r="31" spans="1:18" s="210" customFormat="1" ht="36" hidden="1" customHeight="1">
      <c r="A31" s="5"/>
      <c r="B31" s="1683" t="s">
        <v>601</v>
      </c>
      <c r="C31" s="1684"/>
      <c r="D31" s="1684"/>
      <c r="E31" s="1685"/>
      <c r="F31" s="15" t="s">
        <v>4</v>
      </c>
      <c r="G31" s="708">
        <f>41004*0</f>
        <v>0</v>
      </c>
      <c r="H31" s="214"/>
      <c r="I31" s="208"/>
      <c r="J31" s="208"/>
      <c r="K31" s="208"/>
      <c r="L31" s="212"/>
      <c r="N31" s="211"/>
      <c r="P31" s="212"/>
      <c r="Q31" s="212"/>
      <c r="R31" s="212"/>
    </row>
    <row r="32" spans="1:18" s="210" customFormat="1" ht="36" hidden="1" customHeight="1">
      <c r="A32" s="5"/>
      <c r="B32" s="1683" t="s">
        <v>602</v>
      </c>
      <c r="C32" s="1684"/>
      <c r="D32" s="1684"/>
      <c r="E32" s="1685"/>
      <c r="F32" s="15" t="s">
        <v>4</v>
      </c>
      <c r="G32" s="708">
        <f>18451*0</f>
        <v>0</v>
      </c>
      <c r="H32" s="214"/>
      <c r="I32" s="208"/>
      <c r="J32" s="208"/>
      <c r="K32" s="208"/>
      <c r="L32" s="212"/>
      <c r="N32" s="211"/>
      <c r="P32" s="212"/>
      <c r="Q32" s="212"/>
      <c r="R32" s="212"/>
    </row>
    <row r="33" spans="1:18" s="150" customFormat="1" ht="21.75" customHeight="1">
      <c r="A33" s="141" t="s">
        <v>10</v>
      </c>
      <c r="B33" s="1674" t="s">
        <v>340</v>
      </c>
      <c r="C33" s="1675"/>
      <c r="D33" s="1675"/>
      <c r="E33" s="1676"/>
      <c r="F33" s="149"/>
      <c r="G33" s="147"/>
      <c r="H33" s="473"/>
      <c r="I33" s="210"/>
      <c r="J33" s="210"/>
      <c r="K33" s="210"/>
      <c r="L33" s="152"/>
      <c r="N33" s="151"/>
      <c r="P33" s="152"/>
      <c r="Q33" s="152"/>
      <c r="R33" s="152"/>
    </row>
    <row r="34" spans="1:18" ht="36" customHeight="1">
      <c r="A34" s="135">
        <v>1</v>
      </c>
      <c r="B34" s="1686" t="s">
        <v>331</v>
      </c>
      <c r="C34" s="1687"/>
      <c r="D34" s="1687"/>
      <c r="E34" s="1688"/>
      <c r="F34" s="135" t="s">
        <v>272</v>
      </c>
      <c r="G34" s="174">
        <f>G11*G13/10^7</f>
        <v>1961.6690751445087</v>
      </c>
      <c r="H34" s="474"/>
      <c r="I34" s="383"/>
      <c r="J34" s="383"/>
      <c r="L34" s="47"/>
      <c r="N34" s="46"/>
      <c r="P34" s="47"/>
      <c r="Q34" s="47"/>
      <c r="R34" s="47"/>
    </row>
    <row r="35" spans="1:18" s="150" customFormat="1" ht="35.25" customHeight="1">
      <c r="A35" s="135">
        <v>2</v>
      </c>
      <c r="B35" s="1670" t="s">
        <v>344</v>
      </c>
      <c r="C35" s="1671"/>
      <c r="D35" s="1671"/>
      <c r="E35" s="1672"/>
      <c r="F35" s="5" t="s">
        <v>226</v>
      </c>
      <c r="G35" s="174">
        <f>G25*G26/10^7</f>
        <v>27.477180000000001</v>
      </c>
      <c r="H35" s="475"/>
      <c r="I35" s="210"/>
      <c r="J35" s="210"/>
      <c r="K35" s="210"/>
      <c r="L35" s="152"/>
      <c r="N35" s="151"/>
      <c r="P35" s="152"/>
      <c r="Q35" s="152"/>
      <c r="R35" s="152"/>
    </row>
    <row r="36" spans="1:18" s="150" customFormat="1" ht="35.25" customHeight="1">
      <c r="A36" s="135">
        <v>3</v>
      </c>
      <c r="B36" s="1670" t="s">
        <v>900</v>
      </c>
      <c r="C36" s="1671"/>
      <c r="D36" s="1671"/>
      <c r="E36" s="1672"/>
      <c r="F36" s="5" t="s">
        <v>226</v>
      </c>
      <c r="G36" s="174">
        <f>G27*G28/10^7</f>
        <v>52.442208000000001</v>
      </c>
      <c r="H36" s="475"/>
      <c r="I36" s="210"/>
      <c r="J36" s="210"/>
      <c r="K36" s="210"/>
      <c r="L36" s="152"/>
      <c r="N36" s="151"/>
      <c r="P36" s="152"/>
      <c r="Q36" s="152"/>
      <c r="R36" s="152"/>
    </row>
    <row r="37" spans="1:18" s="150" customFormat="1" ht="33" customHeight="1">
      <c r="A37" s="135">
        <v>4</v>
      </c>
      <c r="B37" s="1670" t="s">
        <v>683</v>
      </c>
      <c r="C37" s="1671"/>
      <c r="D37" s="1671"/>
      <c r="E37" s="1672"/>
      <c r="F37" s="5" t="s">
        <v>226</v>
      </c>
      <c r="G37" s="174">
        <f>G29*G30/10^7</f>
        <v>103.392</v>
      </c>
      <c r="H37" s="216"/>
      <c r="I37" s="217"/>
      <c r="J37" s="217"/>
      <c r="K37" s="217"/>
      <c r="L37" s="152"/>
      <c r="N37" s="151"/>
      <c r="P37" s="152"/>
      <c r="Q37" s="152"/>
      <c r="R37" s="152"/>
    </row>
    <row r="38" spans="1:18" s="210" customFormat="1" ht="55.5" customHeight="1">
      <c r="A38" s="5">
        <v>5</v>
      </c>
      <c r="B38" s="1670" t="s">
        <v>342</v>
      </c>
      <c r="C38" s="1671"/>
      <c r="D38" s="1671"/>
      <c r="E38" s="1672"/>
      <c r="F38" s="5" t="s">
        <v>226</v>
      </c>
      <c r="G38" s="174">
        <f>'Incr TE'!C13</f>
        <v>31.464852141176468</v>
      </c>
      <c r="H38" s="1673"/>
      <c r="I38" s="1673"/>
      <c r="J38" s="1673"/>
      <c r="K38" s="389"/>
      <c r="L38" s="212"/>
      <c r="N38" s="211"/>
      <c r="P38" s="212"/>
      <c r="Q38" s="212"/>
      <c r="R38" s="212"/>
    </row>
    <row r="39" spans="1:18" s="210" customFormat="1" ht="52.5" customHeight="1">
      <c r="A39" s="5">
        <v>6</v>
      </c>
      <c r="B39" s="1670" t="s">
        <v>343</v>
      </c>
      <c r="C39" s="1671"/>
      <c r="D39" s="1671"/>
      <c r="E39" s="1672"/>
      <c r="F39" s="5" t="s">
        <v>226</v>
      </c>
      <c r="G39" s="174">
        <f>'Incr TE'!C12</f>
        <v>21.879854999999999</v>
      </c>
      <c r="H39" s="475"/>
      <c r="L39" s="212"/>
      <c r="N39" s="211"/>
      <c r="P39" s="212"/>
      <c r="Q39" s="212"/>
      <c r="R39" s="212"/>
    </row>
    <row r="40" spans="1:18" ht="18" customHeight="1">
      <c r="A40" s="135"/>
      <c r="B40" s="1674" t="s">
        <v>327</v>
      </c>
      <c r="C40" s="1675"/>
      <c r="D40" s="1675"/>
      <c r="E40" s="1676"/>
      <c r="F40" s="141" t="s">
        <v>226</v>
      </c>
      <c r="G40" s="591">
        <f>SUM(G34:G39)</f>
        <v>2198.3251702856851</v>
      </c>
      <c r="H40" s="474"/>
      <c r="I40" s="383"/>
      <c r="J40" s="383"/>
      <c r="L40" s="47"/>
      <c r="N40" s="46"/>
      <c r="P40" s="47"/>
      <c r="Q40" s="47"/>
      <c r="R40" s="47"/>
    </row>
    <row r="41" spans="1:18" ht="15.6">
      <c r="A41" s="142" t="s">
        <v>11</v>
      </c>
      <c r="B41" s="1677" t="s">
        <v>328</v>
      </c>
      <c r="C41" s="1678"/>
      <c r="D41" s="1678"/>
      <c r="E41" s="1679"/>
      <c r="F41" s="48"/>
      <c r="G41" s="289"/>
      <c r="H41" s="474"/>
      <c r="I41" s="383"/>
      <c r="J41" s="383"/>
      <c r="L41" s="47"/>
      <c r="N41" s="46"/>
      <c r="P41" s="47"/>
      <c r="Q41" s="47"/>
      <c r="R41" s="47"/>
    </row>
    <row r="42" spans="1:18" s="150" customFormat="1" ht="33" customHeight="1">
      <c r="A42" s="135">
        <v>1</v>
      </c>
      <c r="B42" s="1670" t="s">
        <v>607</v>
      </c>
      <c r="C42" s="1671"/>
      <c r="D42" s="1671"/>
      <c r="E42" s="1672"/>
      <c r="F42" s="135" t="s">
        <v>226</v>
      </c>
      <c r="G42" s="592">
        <f>G11*G20/10^7</f>
        <v>1523.6451063438356</v>
      </c>
      <c r="H42" s="108"/>
      <c r="I42" s="208"/>
      <c r="J42" s="208"/>
      <c r="K42" s="208"/>
      <c r="L42" s="152"/>
      <c r="N42" s="151"/>
      <c r="P42" s="152"/>
      <c r="Q42" s="152"/>
      <c r="R42" s="152"/>
    </row>
    <row r="43" spans="1:18" s="150" customFormat="1" ht="25.5" customHeight="1">
      <c r="A43" s="135">
        <v>2</v>
      </c>
      <c r="B43" s="1680" t="s">
        <v>597</v>
      </c>
      <c r="C43" s="1681"/>
      <c r="D43" s="1681"/>
      <c r="E43" s="1682"/>
      <c r="F43" s="135" t="s">
        <v>226</v>
      </c>
      <c r="G43" s="174">
        <f>-G21*F53/10^6*G22/10^7</f>
        <v>-179.8272</v>
      </c>
      <c r="H43" s="108"/>
      <c r="I43" s="208"/>
      <c r="J43" s="208"/>
      <c r="K43" s="208"/>
      <c r="L43" s="152"/>
      <c r="N43" s="151"/>
      <c r="P43" s="152"/>
      <c r="Q43" s="152"/>
      <c r="R43" s="152"/>
    </row>
    <row r="44" spans="1:18" s="150" customFormat="1" ht="25.5" customHeight="1">
      <c r="A44" s="135">
        <v>3</v>
      </c>
      <c r="B44" s="1680" t="s">
        <v>606</v>
      </c>
      <c r="C44" s="1681"/>
      <c r="D44" s="1681"/>
      <c r="E44" s="1682"/>
      <c r="F44" s="135" t="s">
        <v>226</v>
      </c>
      <c r="G44" s="174">
        <f>-G23*F54*G24/10^7</f>
        <v>-36.821759999999998</v>
      </c>
      <c r="H44" s="108"/>
      <c r="I44" s="208"/>
      <c r="J44" s="208"/>
      <c r="K44" s="208"/>
      <c r="L44" s="152"/>
      <c r="N44" s="151"/>
      <c r="P44" s="152"/>
      <c r="Q44" s="152"/>
      <c r="R44" s="152"/>
    </row>
    <row r="45" spans="1:18" ht="24.75" customHeight="1">
      <c r="A45" s="135"/>
      <c r="B45" s="1662" t="s">
        <v>341</v>
      </c>
      <c r="C45" s="1663"/>
      <c r="D45" s="1663"/>
      <c r="E45" s="1664"/>
      <c r="F45" s="141" t="s">
        <v>226</v>
      </c>
      <c r="G45" s="714">
        <f>SUM(G42:G44)</f>
        <v>1306.9961463438356</v>
      </c>
      <c r="H45" s="715">
        <f>(G45-G37-G36-G35)*10^7/G11</f>
        <v>16771.414303639336</v>
      </c>
      <c r="I45" s="173" t="s">
        <v>740</v>
      </c>
      <c r="J45" s="383"/>
      <c r="L45" s="47"/>
      <c r="N45" s="46"/>
      <c r="P45" s="47"/>
      <c r="Q45" s="47"/>
      <c r="R45" s="47"/>
    </row>
    <row r="46" spans="1:18" ht="22.5" customHeight="1">
      <c r="A46" s="1667" t="s">
        <v>608</v>
      </c>
      <c r="B46" s="1668"/>
      <c r="C46" s="1668"/>
      <c r="D46" s="1668"/>
      <c r="E46" s="1669"/>
      <c r="F46" s="143" t="s">
        <v>226</v>
      </c>
      <c r="G46" s="713">
        <f>G40-G45</f>
        <v>891.32902394184953</v>
      </c>
      <c r="H46" s="477"/>
      <c r="I46" s="383"/>
      <c r="J46" s="419"/>
      <c r="K46" s="419"/>
      <c r="L46" s="47"/>
      <c r="N46" s="46"/>
      <c r="P46" s="47"/>
      <c r="Q46" s="47"/>
      <c r="R46" s="47"/>
    </row>
    <row r="47" spans="1:18">
      <c r="B47" s="112"/>
      <c r="C47" s="112"/>
      <c r="D47" s="112"/>
      <c r="E47" s="112"/>
      <c r="H47" s="45"/>
      <c r="I47" s="49"/>
      <c r="J47" s="47"/>
      <c r="K47" s="419"/>
      <c r="L47" s="47"/>
      <c r="N47" s="46"/>
      <c r="P47" s="47"/>
      <c r="Q47" s="47"/>
      <c r="R47" s="47"/>
    </row>
    <row r="49" spans="1:77" s="150" customFormat="1">
      <c r="B49" s="145" t="s">
        <v>588</v>
      </c>
      <c r="F49" s="150">
        <f>1*10^6</f>
        <v>1000000</v>
      </c>
      <c r="G49" s="184"/>
      <c r="H49" s="145"/>
      <c r="I49" s="161"/>
      <c r="J49" s="161"/>
      <c r="K49" s="210"/>
    </row>
    <row r="50" spans="1:77">
      <c r="B50" s="45" t="s">
        <v>582</v>
      </c>
      <c r="F50" s="42">
        <f>F49*0.76</f>
        <v>760000</v>
      </c>
    </row>
    <row r="51" spans="1:77">
      <c r="B51" s="45" t="s">
        <v>769</v>
      </c>
      <c r="F51" s="390">
        <f>F49*0.67</f>
        <v>670000</v>
      </c>
      <c r="G51" s="670" t="s">
        <v>867</v>
      </c>
      <c r="J51" s="49"/>
    </row>
    <row r="52" spans="1:77">
      <c r="B52" s="45" t="s">
        <v>583</v>
      </c>
      <c r="F52" s="390">
        <f>F50-F51</f>
        <v>90000</v>
      </c>
    </row>
    <row r="53" spans="1:77">
      <c r="B53" s="126" t="s">
        <v>605</v>
      </c>
      <c r="C53" s="383"/>
      <c r="E53" s="411" t="s">
        <v>604</v>
      </c>
      <c r="F53" s="390">
        <f>4300*0+4200</f>
        <v>4200</v>
      </c>
    </row>
    <row r="54" spans="1:77">
      <c r="B54" s="126" t="s">
        <v>610</v>
      </c>
      <c r="E54" s="45" t="s">
        <v>611</v>
      </c>
      <c r="F54" s="390">
        <v>8.6</v>
      </c>
    </row>
    <row r="55" spans="1:77">
      <c r="B55" s="126" t="s">
        <v>739</v>
      </c>
      <c r="F55" s="42">
        <f>F49*0.032</f>
        <v>32000</v>
      </c>
    </row>
    <row r="61" spans="1:77" s="17" customFormat="1">
      <c r="O61" s="114"/>
      <c r="P61" s="114"/>
    </row>
    <row r="62" spans="1:77" s="17" customFormat="1">
      <c r="O62" s="114"/>
      <c r="P62" s="114"/>
    </row>
    <row r="63" spans="1:77" s="17" customFormat="1" ht="20.100000000000001" customHeight="1">
      <c r="A63" s="38"/>
      <c r="B63" s="50" t="s">
        <v>230</v>
      </c>
      <c r="H63" s="38"/>
      <c r="N63" s="129" t="s">
        <v>379</v>
      </c>
      <c r="O63" s="114"/>
      <c r="P63" s="114"/>
      <c r="R63" s="51"/>
      <c r="X63" s="50" t="s">
        <v>306</v>
      </c>
      <c r="AH63" s="18" t="s">
        <v>323</v>
      </c>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row>
    <row r="64" spans="1:77" s="17" customFormat="1" ht="20.100000000000001" customHeight="1">
      <c r="B64" s="52" t="s">
        <v>231</v>
      </c>
      <c r="C64" s="52" t="s">
        <v>93</v>
      </c>
      <c r="D64" s="17" t="s">
        <v>232</v>
      </c>
      <c r="E64" s="32" t="s">
        <v>233</v>
      </c>
      <c r="F64" s="52" t="s">
        <v>95</v>
      </c>
      <c r="G64" s="32" t="s">
        <v>96</v>
      </c>
      <c r="H64" s="1665" t="s">
        <v>234</v>
      </c>
      <c r="I64" s="1665"/>
      <c r="J64" s="52" t="s">
        <v>868</v>
      </c>
      <c r="K64" s="52" t="s">
        <v>235</v>
      </c>
      <c r="L64" s="52"/>
      <c r="N64" s="129">
        <f>'[2]capcost Stamp'!E7</f>
        <v>0</v>
      </c>
      <c r="O64" s="114"/>
      <c r="P64" s="114"/>
      <c r="AH64" s="18">
        <f>'[2]capcost Stamp'!O8</f>
        <v>0</v>
      </c>
      <c r="AO64" s="53"/>
      <c r="AP64" s="54"/>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row>
    <row r="65" spans="1:77" s="17" customFormat="1" ht="20.100000000000001" customHeight="1">
      <c r="A65" s="38"/>
      <c r="B65" s="32"/>
      <c r="C65" s="52" t="s">
        <v>97</v>
      </c>
      <c r="D65" s="17" t="s">
        <v>236</v>
      </c>
      <c r="E65" s="32" t="s">
        <v>237</v>
      </c>
      <c r="F65" s="55" t="s">
        <v>898</v>
      </c>
      <c r="G65" s="32" t="s">
        <v>99</v>
      </c>
      <c r="H65" s="52" t="s">
        <v>94</v>
      </c>
      <c r="I65" s="52" t="s">
        <v>98</v>
      </c>
      <c r="J65" s="52"/>
      <c r="K65" s="52" t="s">
        <v>899</v>
      </c>
      <c r="L65" s="35"/>
      <c r="O65" s="186"/>
      <c r="P65" s="186"/>
      <c r="Q65" s="57"/>
      <c r="R65" s="56"/>
      <c r="S65" s="56"/>
      <c r="T65" s="56"/>
      <c r="U65" s="56"/>
      <c r="V65" s="56"/>
      <c r="W65" s="56"/>
      <c r="X65" s="56"/>
      <c r="Y65" s="56"/>
      <c r="Z65" s="56"/>
      <c r="AA65" s="56"/>
      <c r="AB65" s="56"/>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row>
    <row r="66" spans="1:77" s="17" customFormat="1" ht="20.100000000000001" customHeight="1">
      <c r="A66" s="38"/>
      <c r="B66" s="58" t="s">
        <v>87</v>
      </c>
      <c r="C66" s="58" t="s">
        <v>87</v>
      </c>
      <c r="D66" s="58" t="s">
        <v>87</v>
      </c>
      <c r="E66" s="58" t="s">
        <v>87</v>
      </c>
      <c r="F66" s="58" t="s">
        <v>87</v>
      </c>
      <c r="G66" s="58" t="s">
        <v>87</v>
      </c>
      <c r="H66" s="58" t="s">
        <v>87</v>
      </c>
      <c r="I66" s="58" t="s">
        <v>87</v>
      </c>
      <c r="J66" s="58"/>
      <c r="K66" s="58"/>
      <c r="L66" s="59"/>
      <c r="N66" s="60" t="s">
        <v>238</v>
      </c>
      <c r="O66" s="186"/>
      <c r="P66" s="186"/>
      <c r="Q66" s="61"/>
      <c r="R66" s="56"/>
      <c r="S66" s="56"/>
      <c r="T66" s="56"/>
      <c r="U66" s="56"/>
      <c r="V66" s="56"/>
      <c r="W66" s="56"/>
      <c r="X66" s="56"/>
      <c r="Z66" s="56"/>
      <c r="AA66" s="56"/>
      <c r="AB66" s="56"/>
      <c r="AI66" s="60" t="s">
        <v>239</v>
      </c>
      <c r="AO66" s="38"/>
      <c r="AP66" s="62"/>
      <c r="AQ66" s="62"/>
      <c r="AR66" s="62"/>
      <c r="AS66" s="62"/>
      <c r="AT66" s="62"/>
      <c r="AU66" s="62"/>
      <c r="AV66" s="62"/>
      <c r="AW66" s="62"/>
      <c r="AX66" s="62"/>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row>
    <row r="67" spans="1:77" s="17" customFormat="1" ht="20.100000000000001" customHeight="1">
      <c r="A67" s="63"/>
      <c r="B67" s="32"/>
      <c r="C67" s="32"/>
      <c r="E67" s="32"/>
      <c r="F67" s="32"/>
      <c r="G67" s="32"/>
      <c r="H67" s="32"/>
      <c r="I67" s="32"/>
      <c r="J67" s="32"/>
      <c r="K67" s="32"/>
      <c r="L67" s="38"/>
      <c r="N67" s="64" t="s">
        <v>240</v>
      </c>
      <c r="O67" s="187" t="s">
        <v>241</v>
      </c>
      <c r="P67" s="187" t="s">
        <v>242</v>
      </c>
      <c r="Q67" s="65" t="s">
        <v>243</v>
      </c>
      <c r="R67" s="65" t="s">
        <v>244</v>
      </c>
      <c r="S67" s="65" t="s">
        <v>245</v>
      </c>
      <c r="T67" s="65" t="s">
        <v>246</v>
      </c>
      <c r="U67" s="65" t="s">
        <v>247</v>
      </c>
      <c r="V67" s="65" t="s">
        <v>248</v>
      </c>
      <c r="W67" s="65" t="s">
        <v>249</v>
      </c>
      <c r="X67" s="65" t="s">
        <v>250</v>
      </c>
      <c r="Y67" s="65" t="s">
        <v>251</v>
      </c>
      <c r="Z67" s="65" t="s">
        <v>252</v>
      </c>
      <c r="AA67" s="65" t="s">
        <v>253</v>
      </c>
      <c r="AB67" s="65" t="s">
        <v>254</v>
      </c>
      <c r="AC67" s="65" t="s">
        <v>255</v>
      </c>
      <c r="AD67" s="65" t="s">
        <v>256</v>
      </c>
      <c r="AE67" s="65" t="s">
        <v>257</v>
      </c>
      <c r="AF67" s="65" t="s">
        <v>258</v>
      </c>
      <c r="AG67" s="65" t="s">
        <v>259</v>
      </c>
      <c r="AH67" s="65" t="s">
        <v>260</v>
      </c>
      <c r="AI67" s="65" t="s">
        <v>261</v>
      </c>
      <c r="AJ67" s="65" t="s">
        <v>262</v>
      </c>
      <c r="AK67" s="65" t="s">
        <v>305</v>
      </c>
      <c r="AL67" s="65" t="s">
        <v>581</v>
      </c>
      <c r="AN67" s="221" t="s">
        <v>613</v>
      </c>
      <c r="AO67"/>
      <c r="AP67"/>
      <c r="AQ67"/>
      <c r="AR67"/>
      <c r="AS67"/>
      <c r="AT67"/>
      <c r="AU67"/>
      <c r="AV67"/>
      <c r="AW67"/>
      <c r="AX67"/>
      <c r="AY67"/>
      <c r="AZ67"/>
      <c r="BA67"/>
      <c r="BB67"/>
      <c r="BC67"/>
      <c r="BD67"/>
      <c r="BE67"/>
      <c r="BF67"/>
      <c r="BG67"/>
      <c r="BH67"/>
      <c r="BI67"/>
      <c r="BJ67"/>
      <c r="BK67"/>
      <c r="BL67"/>
      <c r="BM67"/>
      <c r="BN67" s="38"/>
      <c r="BO67" s="38"/>
      <c r="BP67" s="38"/>
      <c r="BQ67" s="38"/>
      <c r="BR67" s="38"/>
      <c r="BS67" s="38"/>
      <c r="BT67" s="38"/>
      <c r="BU67" s="38"/>
      <c r="BV67" s="38"/>
      <c r="BW67" s="38"/>
      <c r="BX67" s="38"/>
      <c r="BY67" s="38"/>
    </row>
    <row r="68" spans="1:77" s="17" customFormat="1" ht="20.100000000000001" customHeight="1">
      <c r="A68" s="38"/>
      <c r="B68" s="606" t="s">
        <v>138</v>
      </c>
      <c r="C68" s="19" t="e">
        <f>#REF!</f>
        <v>#REF!</v>
      </c>
      <c r="E68" s="32" t="e">
        <f>C68</f>
        <v>#REF!</v>
      </c>
      <c r="F68" s="32" t="e">
        <f>#REF!</f>
        <v>#REF!</v>
      </c>
      <c r="G68" s="32" t="e">
        <f>D68+E68+F68</f>
        <v>#REF!</v>
      </c>
      <c r="H68" s="32">
        <f>D68</f>
        <v>0</v>
      </c>
      <c r="I68" s="32" t="e">
        <f>E68+F68</f>
        <v>#REF!</v>
      </c>
      <c r="J68" s="32"/>
      <c r="K68" s="32"/>
      <c r="L68" s="38"/>
      <c r="N68" s="67" t="s">
        <v>263</v>
      </c>
      <c r="O68" s="187"/>
      <c r="P68" s="188"/>
      <c r="Q68" s="68">
        <f>70%/2*0</f>
        <v>0</v>
      </c>
      <c r="R68" s="68">
        <f>80%*6/12</f>
        <v>0.40000000000000008</v>
      </c>
      <c r="S68" s="68">
        <v>0.9</v>
      </c>
      <c r="T68" s="68">
        <v>1</v>
      </c>
      <c r="U68" s="68">
        <v>1</v>
      </c>
      <c r="V68" s="68">
        <v>1</v>
      </c>
      <c r="W68" s="68">
        <v>1</v>
      </c>
      <c r="X68" s="68">
        <v>1</v>
      </c>
      <c r="Y68" s="68">
        <v>1</v>
      </c>
      <c r="Z68" s="68">
        <v>1</v>
      </c>
      <c r="AA68" s="68">
        <v>1</v>
      </c>
      <c r="AB68" s="68">
        <v>1</v>
      </c>
      <c r="AC68" s="68">
        <v>1</v>
      </c>
      <c r="AD68" s="68">
        <v>1</v>
      </c>
      <c r="AE68" s="68">
        <v>1</v>
      </c>
      <c r="AF68" s="68">
        <v>1</v>
      </c>
      <c r="AG68" s="68">
        <v>1</v>
      </c>
      <c r="AH68" s="68">
        <v>1</v>
      </c>
      <c r="AI68" s="68">
        <v>1</v>
      </c>
      <c r="AJ68" s="68">
        <v>1</v>
      </c>
      <c r="AK68" s="68">
        <v>1</v>
      </c>
      <c r="AL68" s="68">
        <v>0.5</v>
      </c>
      <c r="AN68"/>
      <c r="AO68" s="222">
        <v>0.15</v>
      </c>
      <c r="AP68"/>
      <c r="AQ68"/>
      <c r="AR68"/>
      <c r="AS68"/>
      <c r="AT68"/>
      <c r="AU68"/>
      <c r="AV68"/>
      <c r="AW68"/>
      <c r="AX68"/>
      <c r="AY68"/>
      <c r="AZ68"/>
      <c r="BA68"/>
      <c r="BB68"/>
      <c r="BC68"/>
      <c r="BD68"/>
      <c r="BE68"/>
      <c r="BF68"/>
      <c r="BG68"/>
      <c r="BH68"/>
      <c r="BI68"/>
      <c r="BJ68"/>
      <c r="BK68"/>
      <c r="BL68"/>
      <c r="BM68"/>
      <c r="BN68" s="38"/>
      <c r="BO68" s="38"/>
      <c r="BP68" s="38"/>
      <c r="BQ68" s="38"/>
      <c r="BR68" s="38"/>
      <c r="BS68" s="38"/>
      <c r="BT68" s="38"/>
      <c r="BU68" s="38"/>
      <c r="BV68" s="38"/>
      <c r="BW68" s="38"/>
      <c r="BX68" s="38"/>
      <c r="BY68" s="38"/>
    </row>
    <row r="69" spans="1:77" s="17" customFormat="1" ht="20.100000000000001" customHeight="1">
      <c r="A69" s="38"/>
      <c r="B69" s="606" t="s">
        <v>141</v>
      </c>
      <c r="C69" s="19" t="e">
        <f>#REF!</f>
        <v>#REF!</v>
      </c>
      <c r="E69" s="32" t="e">
        <f>C69</f>
        <v>#REF!</v>
      </c>
      <c r="F69" s="32" t="e">
        <f>#REF!</f>
        <v>#REF!</v>
      </c>
      <c r="G69" s="32" t="e">
        <f>D69+E69+F69</f>
        <v>#REF!</v>
      </c>
      <c r="H69" s="32">
        <f>D69</f>
        <v>0</v>
      </c>
      <c r="I69" s="32" t="e">
        <f>E69+F69</f>
        <v>#REF!</v>
      </c>
      <c r="J69" s="32"/>
      <c r="K69" s="32"/>
      <c r="L69" s="38"/>
      <c r="N69" s="56" t="s">
        <v>264</v>
      </c>
      <c r="O69" s="186"/>
      <c r="P69" s="186"/>
      <c r="Q69" s="56"/>
      <c r="R69" s="56">
        <f t="shared" ref="R69:AL69" si="1">+$D$75*R68</f>
        <v>356.53160957673987</v>
      </c>
      <c r="S69" s="56">
        <f t="shared" si="1"/>
        <v>802.19612154766457</v>
      </c>
      <c r="T69" s="56">
        <f t="shared" si="1"/>
        <v>891.32902394184953</v>
      </c>
      <c r="U69" s="56">
        <f t="shared" si="1"/>
        <v>891.32902394184953</v>
      </c>
      <c r="V69" s="56">
        <f t="shared" si="1"/>
        <v>891.32902394184953</v>
      </c>
      <c r="W69" s="56">
        <f t="shared" si="1"/>
        <v>891.32902394184953</v>
      </c>
      <c r="X69" s="56">
        <f t="shared" si="1"/>
        <v>891.32902394184953</v>
      </c>
      <c r="Y69" s="56">
        <f t="shared" si="1"/>
        <v>891.32902394184953</v>
      </c>
      <c r="Z69" s="56">
        <f t="shared" si="1"/>
        <v>891.32902394184953</v>
      </c>
      <c r="AA69" s="56">
        <f t="shared" si="1"/>
        <v>891.32902394184953</v>
      </c>
      <c r="AB69" s="56">
        <f t="shared" si="1"/>
        <v>891.32902394184953</v>
      </c>
      <c r="AC69" s="56">
        <f t="shared" si="1"/>
        <v>891.32902394184953</v>
      </c>
      <c r="AD69" s="56">
        <f t="shared" si="1"/>
        <v>891.32902394184953</v>
      </c>
      <c r="AE69" s="56">
        <f t="shared" si="1"/>
        <v>891.32902394184953</v>
      </c>
      <c r="AF69" s="56">
        <f t="shared" si="1"/>
        <v>891.32902394184953</v>
      </c>
      <c r="AG69" s="56">
        <f t="shared" si="1"/>
        <v>891.32902394184953</v>
      </c>
      <c r="AH69" s="56">
        <f t="shared" si="1"/>
        <v>891.32902394184953</v>
      </c>
      <c r="AI69" s="56">
        <f t="shared" si="1"/>
        <v>891.32902394184953</v>
      </c>
      <c r="AJ69" s="56">
        <f t="shared" si="1"/>
        <v>891.32902394184953</v>
      </c>
      <c r="AK69" s="56">
        <f t="shared" si="1"/>
        <v>891.32902394184953</v>
      </c>
      <c r="AL69" s="56">
        <f t="shared" si="1"/>
        <v>445.66451197092476</v>
      </c>
      <c r="AN69" t="s">
        <v>265</v>
      </c>
      <c r="AO69" s="16">
        <v>1</v>
      </c>
      <c r="AP69" s="70">
        <v>2</v>
      </c>
      <c r="AQ69" s="70">
        <v>3</v>
      </c>
      <c r="AR69" s="70">
        <v>4</v>
      </c>
      <c r="AS69" s="70">
        <v>5</v>
      </c>
      <c r="AT69" s="70">
        <v>6</v>
      </c>
      <c r="AU69" s="70">
        <v>7</v>
      </c>
      <c r="AV69" s="70">
        <v>8</v>
      </c>
      <c r="AW69" s="70">
        <v>9</v>
      </c>
      <c r="AX69" s="70">
        <v>10</v>
      </c>
      <c r="AY69" s="70">
        <v>11</v>
      </c>
      <c r="AZ69" s="70">
        <v>12</v>
      </c>
      <c r="BA69" s="70">
        <v>13</v>
      </c>
      <c r="BB69" s="70">
        <v>14</v>
      </c>
      <c r="BC69" s="70">
        <v>15</v>
      </c>
      <c r="BD69" s="70">
        <v>16</v>
      </c>
      <c r="BE69" s="70">
        <v>17</v>
      </c>
      <c r="BF69" s="70">
        <v>18</v>
      </c>
      <c r="BG69" s="70">
        <v>19</v>
      </c>
      <c r="BH69" s="70">
        <v>20</v>
      </c>
      <c r="BI69" s="70">
        <v>21</v>
      </c>
      <c r="BJ69" s="71">
        <v>22</v>
      </c>
      <c r="BK69" s="71">
        <v>23</v>
      </c>
      <c r="BL69"/>
      <c r="BM69"/>
      <c r="BN69" s="38"/>
      <c r="BO69" s="38"/>
      <c r="BP69" s="38"/>
      <c r="BQ69" s="38"/>
      <c r="BR69" s="38"/>
      <c r="BS69" s="38"/>
      <c r="BT69" s="38"/>
      <c r="BU69" s="38"/>
      <c r="BV69" s="38"/>
      <c r="BW69" s="38"/>
      <c r="BX69" s="38"/>
      <c r="BY69" s="38"/>
    </row>
    <row r="70" spans="1:77" s="17" customFormat="1" ht="20.100000000000001" customHeight="1">
      <c r="A70" s="38"/>
      <c r="B70" s="30" t="s">
        <v>579</v>
      </c>
      <c r="C70" s="19" t="e">
        <f>#REF!</f>
        <v>#REF!</v>
      </c>
      <c r="E70" s="32" t="e">
        <f>C70</f>
        <v>#REF!</v>
      </c>
      <c r="F70" s="32" t="e">
        <f>#REF!</f>
        <v>#REF!</v>
      </c>
      <c r="G70" s="32" t="e">
        <f>D70+E70+F70</f>
        <v>#REF!</v>
      </c>
      <c r="H70" s="32">
        <f>D70</f>
        <v>0</v>
      </c>
      <c r="I70" s="32" t="e">
        <f>E70+F70</f>
        <v>#REF!</v>
      </c>
      <c r="L70" s="38"/>
      <c r="N70" s="56" t="s">
        <v>266</v>
      </c>
      <c r="O70" s="186">
        <f t="shared" ref="O70:AL70" si="2">+O90</f>
        <v>0</v>
      </c>
      <c r="P70" s="186">
        <f t="shared" si="2"/>
        <v>0</v>
      </c>
      <c r="Q70" s="186" t="e">
        <f t="shared" si="2"/>
        <v>#REF!</v>
      </c>
      <c r="R70" s="56" t="e">
        <f t="shared" si="2"/>
        <v>#REF!</v>
      </c>
      <c r="S70" s="56" t="e">
        <f t="shared" si="2"/>
        <v>#REF!</v>
      </c>
      <c r="T70" s="56" t="e">
        <f t="shared" si="2"/>
        <v>#REF!</v>
      </c>
      <c r="U70" s="56" t="e">
        <f t="shared" si="2"/>
        <v>#REF!</v>
      </c>
      <c r="V70" s="56" t="e">
        <f t="shared" si="2"/>
        <v>#REF!</v>
      </c>
      <c r="W70" s="56" t="e">
        <f t="shared" si="2"/>
        <v>#REF!</v>
      </c>
      <c r="X70" s="56" t="e">
        <f t="shared" si="2"/>
        <v>#REF!</v>
      </c>
      <c r="Y70" s="56" t="e">
        <f t="shared" si="2"/>
        <v>#REF!</v>
      </c>
      <c r="Z70" s="56" t="e">
        <f t="shared" si="2"/>
        <v>#REF!</v>
      </c>
      <c r="AA70" s="56" t="e">
        <f t="shared" si="2"/>
        <v>#REF!</v>
      </c>
      <c r="AB70" s="56" t="e">
        <f t="shared" si="2"/>
        <v>#REF!</v>
      </c>
      <c r="AC70" s="56" t="e">
        <f t="shared" si="2"/>
        <v>#REF!</v>
      </c>
      <c r="AD70" s="56" t="e">
        <f t="shared" si="2"/>
        <v>#REF!</v>
      </c>
      <c r="AE70" s="56" t="e">
        <f t="shared" si="2"/>
        <v>#REF!</v>
      </c>
      <c r="AF70" s="56" t="e">
        <f t="shared" si="2"/>
        <v>#REF!</v>
      </c>
      <c r="AG70" s="56" t="e">
        <f t="shared" si="2"/>
        <v>#REF!</v>
      </c>
      <c r="AH70" s="56" t="e">
        <f t="shared" si="2"/>
        <v>#REF!</v>
      </c>
      <c r="AI70" s="56" t="e">
        <f t="shared" si="2"/>
        <v>#REF!</v>
      </c>
      <c r="AJ70" s="56" t="e">
        <f t="shared" si="2"/>
        <v>#REF!</v>
      </c>
      <c r="AK70" s="56">
        <f t="shared" si="2"/>
        <v>0</v>
      </c>
      <c r="AL70" s="56">
        <f t="shared" si="2"/>
        <v>0</v>
      </c>
      <c r="AN70" t="s">
        <v>267</v>
      </c>
      <c r="AO70" t="e">
        <f>+K73</f>
        <v>#REF!</v>
      </c>
      <c r="AP70" t="e">
        <f t="shared" ref="AP70:BK70" si="3">+AO72</f>
        <v>#REF!</v>
      </c>
      <c r="AQ70" t="e">
        <f t="shared" si="3"/>
        <v>#REF!</v>
      </c>
      <c r="AR70" t="e">
        <f t="shared" si="3"/>
        <v>#REF!</v>
      </c>
      <c r="AS70" t="e">
        <f t="shared" si="3"/>
        <v>#REF!</v>
      </c>
      <c r="AT70" t="e">
        <f t="shared" si="3"/>
        <v>#REF!</v>
      </c>
      <c r="AU70" t="e">
        <f t="shared" si="3"/>
        <v>#REF!</v>
      </c>
      <c r="AV70" t="e">
        <f t="shared" si="3"/>
        <v>#REF!</v>
      </c>
      <c r="AW70" t="e">
        <f t="shared" si="3"/>
        <v>#REF!</v>
      </c>
      <c r="AX70" t="e">
        <f t="shared" si="3"/>
        <v>#REF!</v>
      </c>
      <c r="AY70" t="e">
        <f t="shared" si="3"/>
        <v>#REF!</v>
      </c>
      <c r="AZ70" t="e">
        <f t="shared" si="3"/>
        <v>#REF!</v>
      </c>
      <c r="BA70" t="e">
        <f t="shared" si="3"/>
        <v>#REF!</v>
      </c>
      <c r="BB70" t="e">
        <f t="shared" si="3"/>
        <v>#REF!</v>
      </c>
      <c r="BC70" t="e">
        <f t="shared" si="3"/>
        <v>#REF!</v>
      </c>
      <c r="BD70" t="e">
        <f t="shared" si="3"/>
        <v>#REF!</v>
      </c>
      <c r="BE70" t="e">
        <f t="shared" si="3"/>
        <v>#REF!</v>
      </c>
      <c r="BF70" t="e">
        <f t="shared" si="3"/>
        <v>#REF!</v>
      </c>
      <c r="BG70" t="e">
        <f t="shared" si="3"/>
        <v>#REF!</v>
      </c>
      <c r="BH70" s="73" t="e">
        <f t="shared" si="3"/>
        <v>#REF!</v>
      </c>
      <c r="BI70" t="e">
        <f t="shared" si="3"/>
        <v>#REF!</v>
      </c>
      <c r="BJ70" t="e">
        <f t="shared" si="3"/>
        <v>#REF!</v>
      </c>
      <c r="BK70" t="e">
        <f t="shared" si="3"/>
        <v>#REF!</v>
      </c>
      <c r="BL70"/>
      <c r="BM70" t="s">
        <v>268</v>
      </c>
      <c r="BN70" s="38"/>
      <c r="BO70" s="38"/>
      <c r="BP70" s="38"/>
      <c r="BQ70" s="38"/>
      <c r="BR70" s="38"/>
      <c r="BS70" s="38"/>
      <c r="BT70" s="38"/>
      <c r="BU70" s="38"/>
      <c r="BV70" s="38"/>
      <c r="BW70" s="38"/>
      <c r="BX70" s="38"/>
      <c r="BY70" s="38"/>
    </row>
    <row r="71" spans="1:77" s="17" customFormat="1" ht="20.100000000000001" customHeight="1">
      <c r="A71" s="38"/>
      <c r="B71" s="138" t="s">
        <v>580</v>
      </c>
      <c r="C71" s="19" t="e">
        <f>#REF!</f>
        <v>#REF!</v>
      </c>
      <c r="E71" s="32" t="e">
        <f>C71</f>
        <v>#REF!</v>
      </c>
      <c r="F71" s="32" t="e">
        <f>#REF!</f>
        <v>#REF!</v>
      </c>
      <c r="G71" s="32" t="e">
        <f>D71+E71+F71</f>
        <v>#REF!</v>
      </c>
      <c r="H71" s="32">
        <f>D71</f>
        <v>0</v>
      </c>
      <c r="I71" s="32" t="e">
        <f>E71+F71</f>
        <v>#REF!</v>
      </c>
      <c r="L71" s="38"/>
      <c r="N71" s="56" t="s">
        <v>228</v>
      </c>
      <c r="O71" s="186">
        <v>0</v>
      </c>
      <c r="P71" s="189">
        <v>0</v>
      </c>
      <c r="Q71" s="189"/>
      <c r="R71" s="69" t="e">
        <f t="shared" ref="R71:AL71" si="4">AO71</f>
        <v>#REF!</v>
      </c>
      <c r="S71" s="69" t="e">
        <f t="shared" si="4"/>
        <v>#REF!</v>
      </c>
      <c r="T71" s="69" t="e">
        <f t="shared" si="4"/>
        <v>#REF!</v>
      </c>
      <c r="U71" s="69" t="e">
        <f t="shared" si="4"/>
        <v>#REF!</v>
      </c>
      <c r="V71" s="69" t="e">
        <f t="shared" si="4"/>
        <v>#REF!</v>
      </c>
      <c r="W71" s="69" t="e">
        <f t="shared" si="4"/>
        <v>#REF!</v>
      </c>
      <c r="X71" s="69" t="e">
        <f t="shared" si="4"/>
        <v>#REF!</v>
      </c>
      <c r="Y71" s="69" t="e">
        <f t="shared" si="4"/>
        <v>#REF!</v>
      </c>
      <c r="Z71" s="69" t="e">
        <f t="shared" si="4"/>
        <v>#REF!</v>
      </c>
      <c r="AA71" s="69" t="e">
        <f t="shared" si="4"/>
        <v>#REF!</v>
      </c>
      <c r="AB71" s="69" t="e">
        <f t="shared" si="4"/>
        <v>#REF!</v>
      </c>
      <c r="AC71" s="69" t="e">
        <f t="shared" si="4"/>
        <v>#REF!</v>
      </c>
      <c r="AD71" s="69" t="e">
        <f t="shared" si="4"/>
        <v>#REF!</v>
      </c>
      <c r="AE71" s="69" t="e">
        <f t="shared" si="4"/>
        <v>#REF!</v>
      </c>
      <c r="AF71" s="69" t="e">
        <f t="shared" si="4"/>
        <v>#REF!</v>
      </c>
      <c r="AG71" s="69" t="e">
        <f t="shared" si="4"/>
        <v>#REF!</v>
      </c>
      <c r="AH71" s="69" t="e">
        <f t="shared" si="4"/>
        <v>#REF!</v>
      </c>
      <c r="AI71" s="69" t="e">
        <f t="shared" si="4"/>
        <v>#REF!</v>
      </c>
      <c r="AJ71" s="69" t="e">
        <f t="shared" si="4"/>
        <v>#REF!</v>
      </c>
      <c r="AK71" s="69" t="e">
        <f t="shared" si="4"/>
        <v>#REF!</v>
      </c>
      <c r="AL71" s="69">
        <f t="shared" si="4"/>
        <v>0</v>
      </c>
      <c r="AM71" s="69" t="e">
        <f>SUM(O71:AL71)</f>
        <v>#REF!</v>
      </c>
      <c r="AN71" s="33" t="s">
        <v>612</v>
      </c>
      <c r="AO71" s="73" t="e">
        <f>+AO70*$AO$68/2</f>
        <v>#REF!</v>
      </c>
      <c r="AP71" s="73" t="e">
        <f t="shared" ref="AP71:BF71" si="5">+AP70*$AO$68</f>
        <v>#REF!</v>
      </c>
      <c r="AQ71" s="73" t="e">
        <f t="shared" si="5"/>
        <v>#REF!</v>
      </c>
      <c r="AR71" s="73" t="e">
        <f t="shared" si="5"/>
        <v>#REF!</v>
      </c>
      <c r="AS71" s="73" t="e">
        <f t="shared" si="5"/>
        <v>#REF!</v>
      </c>
      <c r="AT71" s="73" t="e">
        <f t="shared" si="5"/>
        <v>#REF!</v>
      </c>
      <c r="AU71" s="73" t="e">
        <f t="shared" si="5"/>
        <v>#REF!</v>
      </c>
      <c r="AV71" s="73" t="e">
        <f t="shared" si="5"/>
        <v>#REF!</v>
      </c>
      <c r="AW71" s="73" t="e">
        <f t="shared" si="5"/>
        <v>#REF!</v>
      </c>
      <c r="AX71" s="73" t="e">
        <f t="shared" si="5"/>
        <v>#REF!</v>
      </c>
      <c r="AY71" s="73" t="e">
        <f t="shared" si="5"/>
        <v>#REF!</v>
      </c>
      <c r="AZ71" s="73" t="e">
        <f t="shared" si="5"/>
        <v>#REF!</v>
      </c>
      <c r="BA71" s="73" t="e">
        <f t="shared" si="5"/>
        <v>#REF!</v>
      </c>
      <c r="BB71" s="73" t="e">
        <f t="shared" si="5"/>
        <v>#REF!</v>
      </c>
      <c r="BC71" s="73" t="e">
        <f t="shared" si="5"/>
        <v>#REF!</v>
      </c>
      <c r="BD71" s="73" t="e">
        <f t="shared" si="5"/>
        <v>#REF!</v>
      </c>
      <c r="BE71" s="73" t="e">
        <f t="shared" si="5"/>
        <v>#REF!</v>
      </c>
      <c r="BF71" s="73" t="e">
        <f t="shared" si="5"/>
        <v>#REF!</v>
      </c>
      <c r="BG71" s="73" t="e">
        <f>+BG70*$AO$64*0+AO70*0.95-SUM(AO71:BF71)</f>
        <v>#REF!</v>
      </c>
      <c r="BH71" s="73" t="e">
        <f>AO70*0.95-SUM(AO71:BG71)</f>
        <v>#REF!</v>
      </c>
      <c r="BI71" s="73"/>
      <c r="BJ71" s="73"/>
      <c r="BK71"/>
      <c r="BL71" t="e">
        <f>SUM(AO71:BK71)</f>
        <v>#REF!</v>
      </c>
      <c r="BM71" t="e">
        <f>+K73*0.95</f>
        <v>#REF!</v>
      </c>
      <c r="BN71" s="38"/>
      <c r="BO71" s="38"/>
      <c r="BP71" s="38"/>
      <c r="BQ71" s="38"/>
      <c r="BR71" s="38"/>
      <c r="BS71" s="38"/>
      <c r="BT71" s="38"/>
      <c r="BU71" s="38"/>
      <c r="BV71" s="38"/>
      <c r="BW71" s="38"/>
      <c r="BX71" s="38"/>
      <c r="BY71" s="38"/>
    </row>
    <row r="72" spans="1:77" s="19" customFormat="1" ht="33.75" customHeight="1">
      <c r="A72" s="137"/>
      <c r="B72" s="607" t="s">
        <v>180</v>
      </c>
      <c r="C72" s="19" t="e">
        <f>#REF!</f>
        <v>#REF!</v>
      </c>
      <c r="E72" s="32" t="e">
        <f>C72</f>
        <v>#REF!</v>
      </c>
      <c r="F72" s="32"/>
      <c r="G72" s="761" t="e">
        <f>D72+E72+F72</f>
        <v>#REF!</v>
      </c>
      <c r="H72" s="761">
        <f>D72</f>
        <v>0</v>
      </c>
      <c r="I72" s="761" t="e">
        <f>E72+F72</f>
        <v>#REF!</v>
      </c>
      <c r="J72" s="762"/>
      <c r="K72" s="762"/>
      <c r="L72" s="137"/>
      <c r="N72" s="1213" t="s">
        <v>269</v>
      </c>
      <c r="O72" s="764">
        <v>0</v>
      </c>
      <c r="P72" s="765">
        <f t="shared" ref="P72:AL72" si="6">+P69-P70-P71</f>
        <v>0</v>
      </c>
      <c r="Q72" s="765" t="e">
        <f t="shared" si="6"/>
        <v>#REF!</v>
      </c>
      <c r="R72" s="766" t="e">
        <f t="shared" si="6"/>
        <v>#REF!</v>
      </c>
      <c r="S72" s="766" t="e">
        <f t="shared" si="6"/>
        <v>#REF!</v>
      </c>
      <c r="T72" s="766" t="e">
        <f t="shared" si="6"/>
        <v>#REF!</v>
      </c>
      <c r="U72" s="766" t="e">
        <f t="shared" si="6"/>
        <v>#REF!</v>
      </c>
      <c r="V72" s="766" t="e">
        <f t="shared" si="6"/>
        <v>#REF!</v>
      </c>
      <c r="W72" s="766" t="e">
        <f t="shared" si="6"/>
        <v>#REF!</v>
      </c>
      <c r="X72" s="766" t="e">
        <f t="shared" si="6"/>
        <v>#REF!</v>
      </c>
      <c r="Y72" s="766" t="e">
        <f t="shared" si="6"/>
        <v>#REF!</v>
      </c>
      <c r="Z72" s="766" t="e">
        <f t="shared" si="6"/>
        <v>#REF!</v>
      </c>
      <c r="AA72" s="766" t="e">
        <f t="shared" si="6"/>
        <v>#REF!</v>
      </c>
      <c r="AB72" s="766" t="e">
        <f t="shared" si="6"/>
        <v>#REF!</v>
      </c>
      <c r="AC72" s="766" t="e">
        <f t="shared" si="6"/>
        <v>#REF!</v>
      </c>
      <c r="AD72" s="766" t="e">
        <f t="shared" si="6"/>
        <v>#REF!</v>
      </c>
      <c r="AE72" s="766" t="e">
        <f t="shared" si="6"/>
        <v>#REF!</v>
      </c>
      <c r="AF72" s="766" t="e">
        <f t="shared" si="6"/>
        <v>#REF!</v>
      </c>
      <c r="AG72" s="766" t="e">
        <f t="shared" si="6"/>
        <v>#REF!</v>
      </c>
      <c r="AH72" s="766" t="e">
        <f t="shared" si="6"/>
        <v>#REF!</v>
      </c>
      <c r="AI72" s="766" t="e">
        <f t="shared" si="6"/>
        <v>#REF!</v>
      </c>
      <c r="AJ72" s="766" t="e">
        <f t="shared" si="6"/>
        <v>#REF!</v>
      </c>
      <c r="AK72" s="766" t="e">
        <f t="shared" si="6"/>
        <v>#REF!</v>
      </c>
      <c r="AL72" s="766">
        <f t="shared" si="6"/>
        <v>445.66451197092476</v>
      </c>
      <c r="AN72" s="21" t="s">
        <v>270</v>
      </c>
      <c r="AO72" s="767" t="e">
        <f t="shared" ref="AO72:BK72" si="7">+AO70-AO71</f>
        <v>#REF!</v>
      </c>
      <c r="AP72" s="767" t="e">
        <f t="shared" si="7"/>
        <v>#REF!</v>
      </c>
      <c r="AQ72" s="767" t="e">
        <f t="shared" si="7"/>
        <v>#REF!</v>
      </c>
      <c r="AR72" s="767" t="e">
        <f t="shared" si="7"/>
        <v>#REF!</v>
      </c>
      <c r="AS72" s="767" t="e">
        <f t="shared" si="7"/>
        <v>#REF!</v>
      </c>
      <c r="AT72" s="767" t="e">
        <f t="shared" si="7"/>
        <v>#REF!</v>
      </c>
      <c r="AU72" s="767" t="e">
        <f t="shared" si="7"/>
        <v>#REF!</v>
      </c>
      <c r="AV72" s="767" t="e">
        <f t="shared" si="7"/>
        <v>#REF!</v>
      </c>
      <c r="AW72" s="767" t="e">
        <f t="shared" si="7"/>
        <v>#REF!</v>
      </c>
      <c r="AX72" s="767" t="e">
        <f t="shared" si="7"/>
        <v>#REF!</v>
      </c>
      <c r="AY72" s="767" t="e">
        <f t="shared" si="7"/>
        <v>#REF!</v>
      </c>
      <c r="AZ72" s="767" t="e">
        <f t="shared" si="7"/>
        <v>#REF!</v>
      </c>
      <c r="BA72" s="767" t="e">
        <f t="shared" si="7"/>
        <v>#REF!</v>
      </c>
      <c r="BB72" s="767" t="e">
        <f t="shared" si="7"/>
        <v>#REF!</v>
      </c>
      <c r="BC72" s="767" t="e">
        <f t="shared" si="7"/>
        <v>#REF!</v>
      </c>
      <c r="BD72" s="767" t="e">
        <f t="shared" si="7"/>
        <v>#REF!</v>
      </c>
      <c r="BE72" s="767" t="e">
        <f t="shared" si="7"/>
        <v>#REF!</v>
      </c>
      <c r="BF72" s="767" t="e">
        <f t="shared" si="7"/>
        <v>#REF!</v>
      </c>
      <c r="BG72" s="767" t="e">
        <f t="shared" si="7"/>
        <v>#REF!</v>
      </c>
      <c r="BH72" s="767" t="e">
        <f t="shared" si="7"/>
        <v>#REF!</v>
      </c>
      <c r="BI72" s="767" t="e">
        <f t="shared" si="7"/>
        <v>#REF!</v>
      </c>
      <c r="BJ72" s="767" t="e">
        <f t="shared" si="7"/>
        <v>#REF!</v>
      </c>
      <c r="BK72" s="767" t="e">
        <f t="shared" si="7"/>
        <v>#REF!</v>
      </c>
      <c r="BL72" s="21"/>
      <c r="BM72" s="21"/>
      <c r="BN72" s="137"/>
      <c r="BO72" s="137"/>
      <c r="BP72" s="137"/>
      <c r="BQ72" s="137"/>
      <c r="BR72" s="137"/>
      <c r="BS72" s="137"/>
      <c r="BT72" s="137"/>
      <c r="BU72" s="137"/>
      <c r="BV72" s="137"/>
      <c r="BW72" s="137"/>
      <c r="BX72" s="137"/>
      <c r="BY72" s="137"/>
    </row>
    <row r="73" spans="1:77" s="19" customFormat="1" ht="28.5" customHeight="1">
      <c r="A73" s="137"/>
      <c r="B73" s="768" t="s">
        <v>72</v>
      </c>
      <c r="C73" s="769" t="e">
        <f t="shared" ref="C73:I73" si="8">SUM(C68:C72)</f>
        <v>#REF!</v>
      </c>
      <c r="D73" s="769">
        <f t="shared" si="8"/>
        <v>0</v>
      </c>
      <c r="E73" s="769" t="e">
        <f t="shared" si="8"/>
        <v>#REF!</v>
      </c>
      <c r="F73" s="769" t="e">
        <f t="shared" si="8"/>
        <v>#REF!</v>
      </c>
      <c r="G73" s="769" t="e">
        <f t="shared" si="8"/>
        <v>#REF!</v>
      </c>
      <c r="H73" s="769">
        <f t="shared" si="8"/>
        <v>0</v>
      </c>
      <c r="I73" s="769" t="e">
        <f t="shared" si="8"/>
        <v>#REF!</v>
      </c>
      <c r="J73" s="769" t="e">
        <f>#REF!</f>
        <v>#REF!</v>
      </c>
      <c r="K73" s="769" t="e">
        <f>+G73-J73</f>
        <v>#REF!</v>
      </c>
      <c r="L73" s="137"/>
      <c r="M73" s="770">
        <f>0.3*1.12*1.04</f>
        <v>0.34944000000000003</v>
      </c>
      <c r="N73" s="1213" t="s">
        <v>271</v>
      </c>
      <c r="O73" s="766">
        <f>IF(+O72*$M$73*$M$74&gt;0,O72*$M$73*$M$74,0)</f>
        <v>0</v>
      </c>
      <c r="P73" s="766">
        <f t="shared" ref="P73:V73" si="9">IF(+P72*$M$73*$M$74&gt;0,P72*$M$73*$M$74,0)</f>
        <v>0</v>
      </c>
      <c r="Q73" s="766" t="e">
        <f t="shared" si="9"/>
        <v>#REF!</v>
      </c>
      <c r="R73" s="766" t="e">
        <f t="shared" si="9"/>
        <v>#REF!</v>
      </c>
      <c r="S73" s="766" t="e">
        <f t="shared" si="9"/>
        <v>#REF!</v>
      </c>
      <c r="T73" s="766" t="e">
        <f t="shared" si="9"/>
        <v>#REF!</v>
      </c>
      <c r="U73" s="766" t="e">
        <f t="shared" si="9"/>
        <v>#REF!</v>
      </c>
      <c r="V73" s="766" t="e">
        <f t="shared" si="9"/>
        <v>#REF!</v>
      </c>
      <c r="W73" s="766" t="e">
        <f t="shared" ref="W73:AL73" si="10">IF(+W72*$M$73*$M$74&gt;0,W72*$M$73*$M$74,0)</f>
        <v>#REF!</v>
      </c>
      <c r="X73" s="766" t="e">
        <f t="shared" si="10"/>
        <v>#REF!</v>
      </c>
      <c r="Y73" s="766" t="e">
        <f t="shared" si="10"/>
        <v>#REF!</v>
      </c>
      <c r="Z73" s="766" t="e">
        <f t="shared" si="10"/>
        <v>#REF!</v>
      </c>
      <c r="AA73" s="766" t="e">
        <f t="shared" si="10"/>
        <v>#REF!</v>
      </c>
      <c r="AB73" s="766" t="e">
        <f t="shared" si="10"/>
        <v>#REF!</v>
      </c>
      <c r="AC73" s="766" t="e">
        <f t="shared" si="10"/>
        <v>#REF!</v>
      </c>
      <c r="AD73" s="766" t="e">
        <f t="shared" si="10"/>
        <v>#REF!</v>
      </c>
      <c r="AE73" s="766" t="e">
        <f t="shared" si="10"/>
        <v>#REF!</v>
      </c>
      <c r="AF73" s="766" t="e">
        <f t="shared" si="10"/>
        <v>#REF!</v>
      </c>
      <c r="AG73" s="766" t="e">
        <f t="shared" si="10"/>
        <v>#REF!</v>
      </c>
      <c r="AH73" s="766" t="e">
        <f t="shared" si="10"/>
        <v>#REF!</v>
      </c>
      <c r="AI73" s="766" t="e">
        <f t="shared" si="10"/>
        <v>#REF!</v>
      </c>
      <c r="AJ73" s="766" t="e">
        <f t="shared" si="10"/>
        <v>#REF!</v>
      </c>
      <c r="AK73" s="766" t="e">
        <f t="shared" si="10"/>
        <v>#REF!</v>
      </c>
      <c r="AL73" s="766">
        <f t="shared" si="10"/>
        <v>155.73300706311997</v>
      </c>
      <c r="AO73" s="137"/>
      <c r="AP73" s="624"/>
      <c r="AQ73" s="624"/>
      <c r="AR73" s="624"/>
      <c r="AS73" s="624"/>
      <c r="AT73" s="624"/>
      <c r="AU73" s="624"/>
      <c r="AV73" s="624"/>
      <c r="AW73" s="624"/>
      <c r="AX73" s="624"/>
      <c r="AY73" s="137"/>
      <c r="AZ73" s="137"/>
      <c r="BA73" s="137"/>
      <c r="BB73" s="137"/>
      <c r="BC73" s="137"/>
      <c r="BD73" s="137"/>
      <c r="BE73" s="137"/>
      <c r="BF73" s="137"/>
      <c r="BG73" s="137"/>
      <c r="BH73" s="137"/>
      <c r="BI73" s="137"/>
      <c r="BJ73" s="137"/>
      <c r="BK73" s="137"/>
      <c r="BL73" s="137"/>
      <c r="BM73" s="137"/>
      <c r="BN73" s="137"/>
      <c r="BO73" s="137"/>
      <c r="BP73" s="137"/>
      <c r="BQ73" s="137"/>
      <c r="BR73" s="137"/>
      <c r="BS73" s="137"/>
      <c r="BT73" s="137"/>
      <c r="BU73" s="137"/>
      <c r="BV73" s="137"/>
      <c r="BW73" s="137"/>
      <c r="BX73" s="137"/>
      <c r="BY73" s="137"/>
    </row>
    <row r="74" spans="1:77" s="17" customFormat="1" ht="20.100000000000001" customHeight="1">
      <c r="A74" s="41"/>
      <c r="B74" s="38"/>
      <c r="C74" s="38"/>
      <c r="D74" s="38"/>
      <c r="E74" s="38"/>
      <c r="F74" s="38"/>
      <c r="G74" s="38"/>
      <c r="H74" s="59"/>
      <c r="I74" s="59"/>
      <c r="J74" s="58"/>
      <c r="K74" s="58"/>
      <c r="L74" s="38"/>
      <c r="M74" s="17">
        <v>1</v>
      </c>
      <c r="O74" s="186"/>
      <c r="P74" s="189"/>
      <c r="Q74" s="189"/>
      <c r="R74" s="69"/>
      <c r="S74" s="69"/>
      <c r="T74" s="69"/>
      <c r="U74" s="69"/>
      <c r="V74" s="69"/>
      <c r="W74" s="69"/>
      <c r="X74" s="69"/>
      <c r="Y74" s="69"/>
      <c r="Z74" s="69"/>
      <c r="AA74" s="69"/>
      <c r="AB74" s="69"/>
      <c r="AC74" s="69"/>
      <c r="AD74" s="69"/>
      <c r="AE74" s="69"/>
      <c r="AF74" s="69"/>
      <c r="AG74" s="69"/>
      <c r="AH74" s="69"/>
      <c r="AI74" s="69"/>
      <c r="AJ74" s="69"/>
      <c r="AK74" s="69"/>
      <c r="AL74" s="69"/>
      <c r="AN74" s="17" t="e">
        <f>AO70*0.95</f>
        <v>#REF!</v>
      </c>
      <c r="AO74" s="38"/>
      <c r="AP74" s="62"/>
      <c r="AQ74" s="62"/>
      <c r="AR74" s="62"/>
      <c r="AS74" s="62"/>
      <c r="AT74" s="62"/>
      <c r="AU74" s="62"/>
      <c r="AV74" s="62"/>
      <c r="AW74" s="62"/>
      <c r="AX74" s="62"/>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row>
    <row r="75" spans="1:77" s="17" customFormat="1" ht="20.100000000000001" customHeight="1">
      <c r="A75" s="41"/>
      <c r="B75" s="78" t="s">
        <v>225</v>
      </c>
      <c r="C75" s="79" t="s">
        <v>272</v>
      </c>
      <c r="D75" s="421">
        <f>G46</f>
        <v>891.32902394184953</v>
      </c>
      <c r="E75" s="38"/>
      <c r="F75" s="38"/>
      <c r="G75" s="38"/>
      <c r="H75" s="38"/>
      <c r="I75" s="38"/>
      <c r="N75" s="56" t="s">
        <v>273</v>
      </c>
      <c r="O75" s="186">
        <v>0</v>
      </c>
      <c r="P75" s="189">
        <f t="shared" ref="P75:AL75" si="11">+P72-P73</f>
        <v>0</v>
      </c>
      <c r="Q75" s="189" t="e">
        <f t="shared" si="11"/>
        <v>#REF!</v>
      </c>
      <c r="R75" s="69" t="e">
        <f t="shared" si="11"/>
        <v>#REF!</v>
      </c>
      <c r="S75" s="69" t="e">
        <f t="shared" si="11"/>
        <v>#REF!</v>
      </c>
      <c r="T75" s="69" t="e">
        <f t="shared" si="11"/>
        <v>#REF!</v>
      </c>
      <c r="U75" s="69" t="e">
        <f t="shared" si="11"/>
        <v>#REF!</v>
      </c>
      <c r="V75" s="69" t="e">
        <f t="shared" si="11"/>
        <v>#REF!</v>
      </c>
      <c r="W75" s="69" t="e">
        <f t="shared" si="11"/>
        <v>#REF!</v>
      </c>
      <c r="X75" s="69" t="e">
        <f t="shared" si="11"/>
        <v>#REF!</v>
      </c>
      <c r="Y75" s="69" t="e">
        <f t="shared" si="11"/>
        <v>#REF!</v>
      </c>
      <c r="Z75" s="69" t="e">
        <f t="shared" si="11"/>
        <v>#REF!</v>
      </c>
      <c r="AA75" s="69" t="e">
        <f t="shared" si="11"/>
        <v>#REF!</v>
      </c>
      <c r="AB75" s="69" t="e">
        <f t="shared" si="11"/>
        <v>#REF!</v>
      </c>
      <c r="AC75" s="69" t="e">
        <f t="shared" si="11"/>
        <v>#REF!</v>
      </c>
      <c r="AD75" s="69" t="e">
        <f t="shared" si="11"/>
        <v>#REF!</v>
      </c>
      <c r="AE75" s="69" t="e">
        <f t="shared" si="11"/>
        <v>#REF!</v>
      </c>
      <c r="AF75" s="69" t="e">
        <f t="shared" si="11"/>
        <v>#REF!</v>
      </c>
      <c r="AG75" s="69" t="e">
        <f t="shared" si="11"/>
        <v>#REF!</v>
      </c>
      <c r="AH75" s="69" t="e">
        <f t="shared" si="11"/>
        <v>#REF!</v>
      </c>
      <c r="AI75" s="69" t="e">
        <f t="shared" si="11"/>
        <v>#REF!</v>
      </c>
      <c r="AJ75" s="69" t="e">
        <f t="shared" si="11"/>
        <v>#REF!</v>
      </c>
      <c r="AK75" s="69" t="e">
        <f t="shared" si="11"/>
        <v>#REF!</v>
      </c>
      <c r="AL75" s="69">
        <f t="shared" si="11"/>
        <v>289.93150490780477</v>
      </c>
      <c r="AO75" s="38"/>
      <c r="AP75" s="62"/>
      <c r="AQ75" s="62"/>
      <c r="AR75" s="62"/>
      <c r="AS75" s="62"/>
      <c r="AT75" s="62"/>
      <c r="AU75" s="62"/>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row>
    <row r="76" spans="1:77" s="17" customFormat="1" ht="20.100000000000001" customHeight="1">
      <c r="A76" s="41"/>
      <c r="B76" s="80"/>
      <c r="C76" s="35"/>
      <c r="D76" s="38"/>
      <c r="E76" s="40"/>
      <c r="F76" s="35"/>
      <c r="G76" s="40"/>
      <c r="H76" s="38"/>
      <c r="I76" s="38"/>
      <c r="N76" s="81" t="s">
        <v>274</v>
      </c>
      <c r="O76" s="190">
        <v>0</v>
      </c>
      <c r="P76" s="191">
        <f>+P75</f>
        <v>0</v>
      </c>
      <c r="Q76" s="191" t="e">
        <f>+Q75</f>
        <v>#REF!</v>
      </c>
      <c r="R76" s="82" t="e">
        <f t="shared" ref="R76:AG76" si="12">+R75+Q76</f>
        <v>#REF!</v>
      </c>
      <c r="S76" s="82" t="e">
        <f t="shared" si="12"/>
        <v>#REF!</v>
      </c>
      <c r="T76" s="82" t="e">
        <f t="shared" si="12"/>
        <v>#REF!</v>
      </c>
      <c r="U76" s="82" t="e">
        <f t="shared" si="12"/>
        <v>#REF!</v>
      </c>
      <c r="V76" s="82" t="e">
        <f t="shared" si="12"/>
        <v>#REF!</v>
      </c>
      <c r="W76" s="82" t="e">
        <f t="shared" si="12"/>
        <v>#REF!</v>
      </c>
      <c r="X76" s="82" t="e">
        <f t="shared" si="12"/>
        <v>#REF!</v>
      </c>
      <c r="Y76" s="82" t="e">
        <f t="shared" si="12"/>
        <v>#REF!</v>
      </c>
      <c r="Z76" s="82" t="e">
        <f t="shared" si="12"/>
        <v>#REF!</v>
      </c>
      <c r="AA76" s="82" t="e">
        <f t="shared" si="12"/>
        <v>#REF!</v>
      </c>
      <c r="AB76" s="82" t="e">
        <f t="shared" si="12"/>
        <v>#REF!</v>
      </c>
      <c r="AC76" s="82" t="e">
        <f t="shared" si="12"/>
        <v>#REF!</v>
      </c>
      <c r="AD76" s="82" t="e">
        <f t="shared" si="12"/>
        <v>#REF!</v>
      </c>
      <c r="AE76" s="82" t="e">
        <f t="shared" si="12"/>
        <v>#REF!</v>
      </c>
      <c r="AF76" s="82" t="e">
        <f t="shared" si="12"/>
        <v>#REF!</v>
      </c>
      <c r="AG76" s="82" t="e">
        <f t="shared" si="12"/>
        <v>#REF!</v>
      </c>
      <c r="AH76" s="82" t="e">
        <f>+AH75+AF76</f>
        <v>#REF!</v>
      </c>
      <c r="AI76" s="82" t="e">
        <f>+AI75+AH76</f>
        <v>#REF!</v>
      </c>
      <c r="AJ76" s="82" t="e">
        <f>+AJ75+AI76</f>
        <v>#REF!</v>
      </c>
      <c r="AK76" s="82" t="e">
        <f>+AK75+AJ76</f>
        <v>#REF!</v>
      </c>
      <c r="AL76" s="82" t="e">
        <f>+AL75+AK76</f>
        <v>#REF!</v>
      </c>
      <c r="AO76" s="38"/>
      <c r="AP76" s="62"/>
      <c r="AQ76" s="62"/>
      <c r="AR76" s="62"/>
      <c r="AS76" s="62"/>
      <c r="AT76" s="62"/>
      <c r="AU76" s="62"/>
      <c r="AV76" s="62"/>
      <c r="AW76" s="62"/>
      <c r="AX76" s="62"/>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row>
    <row r="77" spans="1:77" s="17" customFormat="1" ht="20.100000000000001" customHeight="1">
      <c r="A77" s="38"/>
      <c r="B77" s="20"/>
      <c r="C77" s="38"/>
      <c r="D77" s="38"/>
      <c r="E77" s="38"/>
      <c r="F77" s="38"/>
      <c r="G77" s="38"/>
      <c r="H77" s="38"/>
      <c r="I77" s="38"/>
      <c r="J77" s="38"/>
      <c r="K77" s="38"/>
      <c r="O77" s="114"/>
      <c r="P77" s="114"/>
      <c r="AJ77" s="69"/>
      <c r="AK77" s="69"/>
      <c r="AL77" s="69"/>
      <c r="AO77" s="38"/>
      <c r="AP77" s="62"/>
      <c r="AQ77" s="62"/>
      <c r="AR77" s="62"/>
      <c r="AS77" s="62"/>
      <c r="AT77" s="62"/>
      <c r="AU77" s="62"/>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row>
    <row r="78" spans="1:77" s="17" customFormat="1" ht="20.100000000000001" customHeight="1">
      <c r="A78" s="38"/>
      <c r="B78" s="20"/>
      <c r="C78" s="38"/>
      <c r="D78" s="38"/>
      <c r="E78" s="38"/>
      <c r="F78" s="38"/>
      <c r="G78" s="38"/>
      <c r="H78" s="1666"/>
      <c r="I78" s="1666"/>
      <c r="J78" s="35"/>
      <c r="K78" s="35"/>
      <c r="N78" s="83" t="s">
        <v>275</v>
      </c>
      <c r="O78" s="186"/>
      <c r="P78" s="186"/>
      <c r="Q78" s="56"/>
      <c r="R78" s="69"/>
      <c r="S78" s="69"/>
      <c r="T78" s="69"/>
      <c r="U78" s="69"/>
      <c r="V78" s="69"/>
      <c r="W78" s="69"/>
      <c r="X78" s="69"/>
      <c r="Y78" s="69"/>
      <c r="Z78" s="69"/>
      <c r="AA78" s="69"/>
      <c r="AB78" s="69"/>
      <c r="AC78" s="39"/>
      <c r="AD78" s="39"/>
      <c r="AE78" s="39"/>
      <c r="AF78" s="39"/>
      <c r="AG78" s="39"/>
      <c r="AH78" s="39"/>
      <c r="AJ78" s="69"/>
      <c r="AK78" s="69"/>
      <c r="AL78" s="69"/>
      <c r="AO78" s="38"/>
      <c r="AP78" s="62"/>
      <c r="AQ78" s="62"/>
      <c r="AR78" s="62"/>
      <c r="AS78" s="62"/>
      <c r="AT78" s="62"/>
      <c r="AU78" s="62"/>
      <c r="AV78" s="62"/>
      <c r="AW78" s="62"/>
      <c r="AX78" s="62"/>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row>
    <row r="79" spans="1:77" s="17" customFormat="1" ht="20.100000000000001" customHeight="1">
      <c r="A79" s="38"/>
      <c r="B79" s="38"/>
      <c r="C79" s="38"/>
      <c r="D79" s="38"/>
      <c r="E79" s="38"/>
      <c r="F79" s="38"/>
      <c r="G79" s="38"/>
      <c r="H79" s="35"/>
      <c r="I79" s="35"/>
      <c r="J79" s="35"/>
      <c r="K79" s="35"/>
      <c r="N79" s="83"/>
      <c r="O79" s="186"/>
      <c r="P79" s="186"/>
      <c r="Q79" s="56"/>
      <c r="R79" s="69"/>
      <c r="S79" s="69"/>
      <c r="T79" s="69"/>
      <c r="U79" s="69">
        <f>+U66</f>
        <v>0</v>
      </c>
      <c r="W79" s="69"/>
      <c r="X79" s="69"/>
      <c r="Y79" s="69"/>
      <c r="Z79" s="69"/>
      <c r="AA79" s="69"/>
      <c r="AB79" s="69"/>
      <c r="AC79" s="39"/>
      <c r="AD79" s="39"/>
      <c r="AE79" s="39"/>
      <c r="AF79" s="39"/>
      <c r="AG79" s="39"/>
      <c r="AH79" s="39">
        <f>+U79</f>
        <v>0</v>
      </c>
      <c r="AJ79" s="69"/>
      <c r="AK79" s="69"/>
      <c r="AL79" s="69"/>
      <c r="AO79" s="38"/>
      <c r="AP79" s="62"/>
      <c r="AQ79" s="62"/>
      <c r="AR79" s="62"/>
      <c r="AS79" s="62"/>
      <c r="AT79" s="62"/>
      <c r="AU79" s="62"/>
      <c r="AV79" s="62"/>
      <c r="AW79" s="62"/>
      <c r="AX79" s="62"/>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row>
    <row r="80" spans="1:77" s="17" customFormat="1" ht="20.100000000000001" customHeight="1">
      <c r="H80" s="35"/>
      <c r="I80" s="35"/>
      <c r="J80" s="35"/>
      <c r="K80" s="35"/>
      <c r="N80" s="84" t="s">
        <v>276</v>
      </c>
      <c r="O80" s="192" t="str">
        <f t="shared" ref="O80:T80" si="13">+O67</f>
        <v>Yr 1</v>
      </c>
      <c r="P80" s="192" t="str">
        <f t="shared" si="13"/>
        <v>Yr 2</v>
      </c>
      <c r="Q80" s="85" t="str">
        <f t="shared" si="13"/>
        <v>Yr 3</v>
      </c>
      <c r="R80" s="85" t="str">
        <f t="shared" si="13"/>
        <v>Yr 4</v>
      </c>
      <c r="S80" s="85" t="str">
        <f t="shared" si="13"/>
        <v>Yr 5</v>
      </c>
      <c r="T80" s="85" t="str">
        <f t="shared" si="13"/>
        <v>Yr 6</v>
      </c>
      <c r="U80" s="85" t="str">
        <f>+U67</f>
        <v>Yr 7</v>
      </c>
      <c r="V80" s="85" t="str">
        <f t="shared" ref="V80:AI80" si="14">+V67</f>
        <v>Yr 8</v>
      </c>
      <c r="W80" s="85" t="str">
        <f t="shared" si="14"/>
        <v>Yr 9</v>
      </c>
      <c r="X80" s="85" t="str">
        <f t="shared" si="14"/>
        <v>Yr 10</v>
      </c>
      <c r="Y80" s="85" t="str">
        <f t="shared" si="14"/>
        <v>Yr 11</v>
      </c>
      <c r="Z80" s="85" t="str">
        <f t="shared" si="14"/>
        <v>Yr 12</v>
      </c>
      <c r="AA80" s="85" t="str">
        <f t="shared" si="14"/>
        <v>Yr 13</v>
      </c>
      <c r="AB80" s="85" t="str">
        <f t="shared" si="14"/>
        <v>Yr 14</v>
      </c>
      <c r="AC80" s="85" t="str">
        <f t="shared" si="14"/>
        <v>Yr 15</v>
      </c>
      <c r="AD80" s="85" t="str">
        <f t="shared" si="14"/>
        <v>Yr 16</v>
      </c>
      <c r="AE80" s="85" t="str">
        <f t="shared" si="14"/>
        <v>Yr 17</v>
      </c>
      <c r="AF80" s="85" t="str">
        <f t="shared" si="14"/>
        <v>Yr 18</v>
      </c>
      <c r="AG80" s="85" t="str">
        <f t="shared" si="14"/>
        <v>Yr 19</v>
      </c>
      <c r="AH80" s="85" t="str">
        <f t="shared" si="14"/>
        <v>Yr 20</v>
      </c>
      <c r="AI80" s="86" t="str">
        <f t="shared" si="14"/>
        <v>Yr 21</v>
      </c>
      <c r="AJ80" s="65" t="s">
        <v>305</v>
      </c>
      <c r="AK80" s="65" t="str">
        <f>AK67</f>
        <v>Yr 23</v>
      </c>
      <c r="AL80" s="65" t="str">
        <f>AL67</f>
        <v>Yr 24</v>
      </c>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row>
    <row r="81" spans="1:39" s="17" customFormat="1" ht="20.100000000000001" customHeight="1">
      <c r="H81" s="59"/>
      <c r="I81" s="59"/>
      <c r="J81" s="59"/>
      <c r="K81" s="59"/>
      <c r="N81" s="56" t="s">
        <v>277</v>
      </c>
      <c r="O81" s="186">
        <v>0</v>
      </c>
      <c r="P81" s="186">
        <f t="shared" ref="P81:AL81" si="15">+P69</f>
        <v>0</v>
      </c>
      <c r="Q81" s="56">
        <f t="shared" si="15"/>
        <v>0</v>
      </c>
      <c r="R81" s="56">
        <f t="shared" si="15"/>
        <v>356.53160957673987</v>
      </c>
      <c r="S81" s="56">
        <f t="shared" si="15"/>
        <v>802.19612154766457</v>
      </c>
      <c r="T81" s="56">
        <f t="shared" si="15"/>
        <v>891.32902394184953</v>
      </c>
      <c r="U81" s="56">
        <f t="shared" si="15"/>
        <v>891.32902394184953</v>
      </c>
      <c r="V81" s="56">
        <f t="shared" si="15"/>
        <v>891.32902394184953</v>
      </c>
      <c r="W81" s="56">
        <f t="shared" si="15"/>
        <v>891.32902394184953</v>
      </c>
      <c r="X81" s="56">
        <f t="shared" si="15"/>
        <v>891.32902394184953</v>
      </c>
      <c r="Y81" s="56">
        <f t="shared" si="15"/>
        <v>891.32902394184953</v>
      </c>
      <c r="Z81" s="56">
        <f t="shared" si="15"/>
        <v>891.32902394184953</v>
      </c>
      <c r="AA81" s="56">
        <f t="shared" si="15"/>
        <v>891.32902394184953</v>
      </c>
      <c r="AB81" s="56">
        <f t="shared" si="15"/>
        <v>891.32902394184953</v>
      </c>
      <c r="AC81" s="56">
        <f t="shared" si="15"/>
        <v>891.32902394184953</v>
      </c>
      <c r="AD81" s="56">
        <f t="shared" si="15"/>
        <v>891.32902394184953</v>
      </c>
      <c r="AE81" s="56">
        <f t="shared" si="15"/>
        <v>891.32902394184953</v>
      </c>
      <c r="AF81" s="56">
        <f t="shared" si="15"/>
        <v>891.32902394184953</v>
      </c>
      <c r="AG81" s="56">
        <f t="shared" si="15"/>
        <v>891.32902394184953</v>
      </c>
      <c r="AH81" s="56">
        <f t="shared" si="15"/>
        <v>891.32902394184953</v>
      </c>
      <c r="AI81" s="56">
        <f t="shared" si="15"/>
        <v>891.32902394184953</v>
      </c>
      <c r="AJ81" s="56">
        <f t="shared" si="15"/>
        <v>891.32902394184953</v>
      </c>
      <c r="AK81" s="56">
        <f t="shared" si="15"/>
        <v>891.32902394184953</v>
      </c>
      <c r="AL81" s="56">
        <f t="shared" si="15"/>
        <v>445.66451197092476</v>
      </c>
      <c r="AM81" s="69">
        <f>SUM(O81:AI81)</f>
        <v>15419.992114193994</v>
      </c>
    </row>
    <row r="82" spans="1:39" s="17" customFormat="1" ht="20.100000000000001" customHeight="1">
      <c r="H82" s="40"/>
      <c r="I82" s="40"/>
      <c r="J82" s="40"/>
      <c r="K82" s="40"/>
      <c r="M82" s="17">
        <f>SUM(O82:R82)</f>
        <v>0</v>
      </c>
      <c r="N82" s="56" t="s">
        <v>278</v>
      </c>
      <c r="O82" s="189">
        <f>+H68</f>
        <v>0</v>
      </c>
      <c r="P82" s="189">
        <f>+H69</f>
        <v>0</v>
      </c>
      <c r="Q82" s="69">
        <f>H70</f>
        <v>0</v>
      </c>
      <c r="R82" s="69">
        <f>H71+H72</f>
        <v>0</v>
      </c>
      <c r="S82" s="69">
        <v>0</v>
      </c>
      <c r="T82" s="69">
        <v>0</v>
      </c>
      <c r="U82" s="69">
        <v>0</v>
      </c>
      <c r="V82" s="69">
        <v>0</v>
      </c>
      <c r="W82" s="69">
        <v>0</v>
      </c>
      <c r="X82" s="69">
        <v>0</v>
      </c>
      <c r="Y82" s="69">
        <v>0</v>
      </c>
      <c r="Z82" s="69">
        <v>0</v>
      </c>
      <c r="AA82" s="69">
        <v>0</v>
      </c>
      <c r="AB82" s="69">
        <v>0</v>
      </c>
      <c r="AC82" s="69">
        <v>0</v>
      </c>
      <c r="AD82" s="69">
        <v>0</v>
      </c>
      <c r="AE82" s="69">
        <v>0</v>
      </c>
      <c r="AF82" s="69">
        <v>0</v>
      </c>
      <c r="AG82" s="69">
        <v>0</v>
      </c>
      <c r="AH82" s="69">
        <v>0</v>
      </c>
      <c r="AI82" s="69">
        <v>0</v>
      </c>
      <c r="AM82" s="69">
        <f>SUM(O82:AI82)</f>
        <v>0</v>
      </c>
    </row>
    <row r="83" spans="1:39" s="17" customFormat="1" ht="20.100000000000001" customHeight="1">
      <c r="A83" s="41"/>
      <c r="B83" s="40"/>
      <c r="C83" s="35"/>
      <c r="D83" s="38"/>
      <c r="E83" s="40"/>
      <c r="F83" s="87"/>
      <c r="G83" s="40"/>
      <c r="H83" s="40"/>
      <c r="I83" s="40"/>
      <c r="J83" s="40"/>
      <c r="K83" s="40"/>
      <c r="M83" s="17" t="e">
        <f>SUM(O83:R83)</f>
        <v>#REF!</v>
      </c>
      <c r="N83" s="56" t="s">
        <v>279</v>
      </c>
      <c r="O83" s="189" t="e">
        <f>+I68</f>
        <v>#REF!</v>
      </c>
      <c r="P83" s="189" t="e">
        <f>+I69</f>
        <v>#REF!</v>
      </c>
      <c r="Q83" s="69" t="e">
        <f>I70</f>
        <v>#REF!</v>
      </c>
      <c r="R83" s="69" t="e">
        <f>I71+I72</f>
        <v>#REF!</v>
      </c>
      <c r="S83" s="69">
        <v>0</v>
      </c>
      <c r="T83" s="69">
        <v>0</v>
      </c>
      <c r="U83" s="69">
        <v>0</v>
      </c>
      <c r="V83" s="69">
        <v>0</v>
      </c>
      <c r="W83" s="69">
        <v>0</v>
      </c>
      <c r="X83" s="69">
        <v>0</v>
      </c>
      <c r="Y83" s="69">
        <v>0</v>
      </c>
      <c r="Z83" s="69">
        <v>0</v>
      </c>
      <c r="AA83" s="69">
        <v>0</v>
      </c>
      <c r="AB83" s="69">
        <v>0</v>
      </c>
      <c r="AC83" s="69">
        <v>0</v>
      </c>
      <c r="AD83" s="69">
        <v>0</v>
      </c>
      <c r="AE83" s="69">
        <v>0</v>
      </c>
      <c r="AF83" s="69">
        <v>0</v>
      </c>
      <c r="AG83" s="69">
        <v>0</v>
      </c>
      <c r="AH83" s="69">
        <v>0</v>
      </c>
      <c r="AI83" s="69">
        <v>0</v>
      </c>
      <c r="AM83" s="69" t="e">
        <f>SUM(O83:AI83)</f>
        <v>#REF!</v>
      </c>
    </row>
    <row r="84" spans="1:39" s="17" customFormat="1" ht="20.100000000000001" customHeight="1">
      <c r="A84" s="41"/>
      <c r="E84" s="38"/>
      <c r="F84" s="38"/>
      <c r="G84" s="59"/>
      <c r="H84" s="40"/>
      <c r="I84" s="40"/>
      <c r="J84" s="40"/>
      <c r="K84" s="40"/>
      <c r="M84" s="88" t="e">
        <f>+M83+M82</f>
        <v>#REF!</v>
      </c>
      <c r="N84" s="67" t="s">
        <v>72</v>
      </c>
      <c r="O84" s="193" t="e">
        <f t="shared" ref="O84:AL84" si="16">SUM(O81:O83)</f>
        <v>#REF!</v>
      </c>
      <c r="P84" s="193" t="e">
        <f t="shared" si="16"/>
        <v>#REF!</v>
      </c>
      <c r="Q84" s="89" t="e">
        <f t="shared" si="16"/>
        <v>#REF!</v>
      </c>
      <c r="R84" s="89" t="e">
        <f t="shared" si="16"/>
        <v>#REF!</v>
      </c>
      <c r="S84" s="89">
        <f t="shared" si="16"/>
        <v>802.19612154766457</v>
      </c>
      <c r="T84" s="89">
        <f t="shared" si="16"/>
        <v>891.32902394184953</v>
      </c>
      <c r="U84" s="89">
        <f t="shared" si="16"/>
        <v>891.32902394184953</v>
      </c>
      <c r="V84" s="89">
        <f t="shared" si="16"/>
        <v>891.32902394184953</v>
      </c>
      <c r="W84" s="89">
        <f t="shared" si="16"/>
        <v>891.32902394184953</v>
      </c>
      <c r="X84" s="89">
        <f t="shared" si="16"/>
        <v>891.32902394184953</v>
      </c>
      <c r="Y84" s="89">
        <f t="shared" si="16"/>
        <v>891.32902394184953</v>
      </c>
      <c r="Z84" s="89">
        <f t="shared" si="16"/>
        <v>891.32902394184953</v>
      </c>
      <c r="AA84" s="89">
        <f t="shared" si="16"/>
        <v>891.32902394184953</v>
      </c>
      <c r="AB84" s="89">
        <f t="shared" si="16"/>
        <v>891.32902394184953</v>
      </c>
      <c r="AC84" s="89">
        <f t="shared" si="16"/>
        <v>891.32902394184953</v>
      </c>
      <c r="AD84" s="89">
        <f t="shared" si="16"/>
        <v>891.32902394184953</v>
      </c>
      <c r="AE84" s="89">
        <f t="shared" si="16"/>
        <v>891.32902394184953</v>
      </c>
      <c r="AF84" s="89">
        <f t="shared" si="16"/>
        <v>891.32902394184953</v>
      </c>
      <c r="AG84" s="89">
        <f t="shared" si="16"/>
        <v>891.32902394184953</v>
      </c>
      <c r="AH84" s="89">
        <f t="shared" si="16"/>
        <v>891.32902394184953</v>
      </c>
      <c r="AI84" s="89">
        <f t="shared" si="16"/>
        <v>891.32902394184953</v>
      </c>
      <c r="AJ84" s="89">
        <f t="shared" si="16"/>
        <v>891.32902394184953</v>
      </c>
      <c r="AK84" s="89">
        <f t="shared" si="16"/>
        <v>891.32902394184953</v>
      </c>
      <c r="AL84" s="89">
        <f t="shared" si="16"/>
        <v>445.66451197092476</v>
      </c>
      <c r="AM84" s="69" t="e">
        <f>SUM(O84:AI84)</f>
        <v>#REF!</v>
      </c>
    </row>
    <row r="85" spans="1:39" s="17" customFormat="1" ht="20.100000000000001" customHeight="1">
      <c r="A85" s="41"/>
      <c r="B85" s="59"/>
      <c r="C85" s="35"/>
      <c r="D85" s="35"/>
      <c r="E85" s="35"/>
      <c r="F85" s="35"/>
      <c r="G85" s="40"/>
      <c r="H85" s="40"/>
      <c r="I85" s="40"/>
      <c r="J85" s="40"/>
      <c r="K85" s="40"/>
      <c r="O85" s="114"/>
      <c r="P85" s="114"/>
      <c r="AM85" s="69"/>
    </row>
    <row r="86" spans="1:39" s="17" customFormat="1" ht="20.100000000000001" customHeight="1">
      <c r="A86" s="41"/>
      <c r="B86" s="40"/>
      <c r="C86" s="90"/>
      <c r="D86" s="38"/>
      <c r="E86" s="40"/>
      <c r="F86" s="40"/>
      <c r="G86" s="40"/>
      <c r="H86" s="59"/>
      <c r="I86" s="59"/>
      <c r="J86" s="59"/>
      <c r="K86" s="59"/>
      <c r="N86" s="56" t="s">
        <v>280</v>
      </c>
      <c r="O86" s="189"/>
      <c r="P86" s="189"/>
      <c r="Q86" s="69"/>
      <c r="R86" s="69"/>
      <c r="S86" s="69"/>
      <c r="T86" s="91"/>
      <c r="U86" s="69"/>
      <c r="V86" s="69"/>
      <c r="W86" s="69"/>
      <c r="X86" s="69"/>
      <c r="Y86" s="69"/>
      <c r="Z86" s="69"/>
      <c r="AA86" s="69"/>
      <c r="AB86" s="69"/>
      <c r="AC86" s="69"/>
      <c r="AD86" s="69"/>
      <c r="AE86" s="69"/>
      <c r="AF86" s="69"/>
      <c r="AG86" s="69"/>
      <c r="AH86" s="69"/>
      <c r="AI86" s="69"/>
      <c r="AM86" s="69">
        <f>SUM(O86:AI86)</f>
        <v>0</v>
      </c>
    </row>
    <row r="87" spans="1:39" s="17" customFormat="1" ht="20.100000000000001" customHeight="1">
      <c r="A87" s="41"/>
      <c r="B87" s="35"/>
      <c r="C87" s="38"/>
      <c r="D87" s="40"/>
      <c r="E87" s="40"/>
      <c r="F87" s="40"/>
      <c r="G87" s="40"/>
      <c r="H87" s="40"/>
      <c r="I87" s="40"/>
      <c r="J87" s="40"/>
      <c r="K87" s="40"/>
      <c r="N87" s="56" t="s">
        <v>281</v>
      </c>
      <c r="O87" s="189"/>
      <c r="P87" s="189"/>
      <c r="Q87" s="69"/>
      <c r="R87" s="69"/>
      <c r="S87" s="69"/>
      <c r="T87" s="69"/>
      <c r="U87" s="69"/>
      <c r="V87" s="69"/>
      <c r="W87" s="69"/>
      <c r="X87" s="69"/>
      <c r="Y87" s="69"/>
      <c r="Z87" s="69"/>
      <c r="AA87" s="69"/>
      <c r="AB87" s="69"/>
      <c r="AC87" s="69"/>
      <c r="AD87" s="69"/>
      <c r="AE87" s="69"/>
      <c r="AF87" s="69"/>
      <c r="AG87" s="69"/>
      <c r="AH87" s="69"/>
      <c r="AI87" s="69"/>
      <c r="AM87" s="69"/>
    </row>
    <row r="88" spans="1:39" s="17" customFormat="1" ht="20.100000000000001" customHeight="1">
      <c r="A88" s="41"/>
      <c r="B88" s="80"/>
      <c r="C88" s="38"/>
      <c r="D88" s="40"/>
      <c r="E88" s="40"/>
      <c r="F88" s="40"/>
      <c r="G88" s="40"/>
      <c r="H88" s="59"/>
      <c r="I88" s="59"/>
      <c r="J88" s="59"/>
      <c r="K88" s="59"/>
      <c r="M88" s="17">
        <f>SUM(O88:R88)</f>
        <v>0</v>
      </c>
      <c r="N88" s="56" t="s">
        <v>282</v>
      </c>
      <c r="O88" s="189">
        <f t="shared" ref="O88:R89" si="17">+O82</f>
        <v>0</v>
      </c>
      <c r="P88" s="189">
        <f t="shared" si="17"/>
        <v>0</v>
      </c>
      <c r="Q88" s="69">
        <f t="shared" si="17"/>
        <v>0</v>
      </c>
      <c r="R88" s="69">
        <f t="shared" si="17"/>
        <v>0</v>
      </c>
      <c r="S88" s="69">
        <v>0</v>
      </c>
      <c r="T88" s="69">
        <v>0</v>
      </c>
      <c r="U88" s="69">
        <v>0</v>
      </c>
      <c r="V88" s="69">
        <v>0</v>
      </c>
      <c r="W88" s="69">
        <v>0</v>
      </c>
      <c r="X88" s="69">
        <v>0</v>
      </c>
      <c r="Y88" s="69">
        <v>0</v>
      </c>
      <c r="Z88" s="69">
        <v>0</v>
      </c>
      <c r="AA88" s="69">
        <v>0</v>
      </c>
      <c r="AB88" s="69">
        <v>0</v>
      </c>
      <c r="AC88" s="69">
        <v>0</v>
      </c>
      <c r="AD88" s="69">
        <v>0</v>
      </c>
      <c r="AE88" s="69">
        <v>0</v>
      </c>
      <c r="AF88" s="69">
        <v>0</v>
      </c>
      <c r="AG88" s="69">
        <v>0</v>
      </c>
      <c r="AH88" s="69">
        <v>0</v>
      </c>
      <c r="AI88" s="69">
        <v>0</v>
      </c>
      <c r="AM88" s="69">
        <f t="shared" ref="AM88:AM94" si="18">SUM(O88:AI88)</f>
        <v>0</v>
      </c>
    </row>
    <row r="89" spans="1:39" s="17" customFormat="1" ht="20.100000000000001" customHeight="1">
      <c r="A89" s="41"/>
      <c r="B89" s="35"/>
      <c r="C89" s="38"/>
      <c r="D89" s="40"/>
      <c r="E89" s="40"/>
      <c r="F89" s="40"/>
      <c r="G89" s="59"/>
      <c r="H89" s="38"/>
      <c r="I89" s="38"/>
      <c r="J89" s="38"/>
      <c r="K89" s="38"/>
      <c r="M89" s="17" t="e">
        <f>SUM(O89:R89)</f>
        <v>#REF!</v>
      </c>
      <c r="N89" s="56" t="s">
        <v>283</v>
      </c>
      <c r="O89" s="189" t="e">
        <f t="shared" si="17"/>
        <v>#REF!</v>
      </c>
      <c r="P89" s="189" t="e">
        <f t="shared" si="17"/>
        <v>#REF!</v>
      </c>
      <c r="Q89" s="69" t="e">
        <f t="shared" si="17"/>
        <v>#REF!</v>
      </c>
      <c r="R89" s="69" t="e">
        <f t="shared" si="17"/>
        <v>#REF!</v>
      </c>
      <c r="S89" s="69">
        <v>0</v>
      </c>
      <c r="T89" s="69">
        <v>0</v>
      </c>
      <c r="U89" s="69">
        <v>0</v>
      </c>
      <c r="V89" s="69">
        <v>0</v>
      </c>
      <c r="W89" s="69">
        <v>0</v>
      </c>
      <c r="X89" s="69">
        <v>0</v>
      </c>
      <c r="Y89" s="69">
        <v>0</v>
      </c>
      <c r="Z89" s="69">
        <v>0</v>
      </c>
      <c r="AA89" s="69">
        <v>0</v>
      </c>
      <c r="AB89" s="69">
        <v>0</v>
      </c>
      <c r="AC89" s="69">
        <v>0</v>
      </c>
      <c r="AD89" s="69">
        <v>0</v>
      </c>
      <c r="AE89" s="69">
        <v>0</v>
      </c>
      <c r="AF89" s="69">
        <v>0</v>
      </c>
      <c r="AG89" s="69">
        <v>0</v>
      </c>
      <c r="AH89" s="69">
        <v>0</v>
      </c>
      <c r="AI89" s="69">
        <v>0</v>
      </c>
      <c r="AM89" s="69" t="e">
        <f t="shared" si="18"/>
        <v>#REF!</v>
      </c>
    </row>
    <row r="90" spans="1:39" s="17" customFormat="1" ht="20.100000000000001" customHeight="1">
      <c r="A90" s="41"/>
      <c r="B90" s="40"/>
      <c r="C90" s="40"/>
      <c r="D90" s="40"/>
      <c r="E90" s="40"/>
      <c r="F90" s="40"/>
      <c r="G90" s="40"/>
      <c r="M90" s="92">
        <v>0.1</v>
      </c>
      <c r="N90" s="763" t="s">
        <v>284</v>
      </c>
      <c r="O90" s="189">
        <f>+AP73</f>
        <v>0</v>
      </c>
      <c r="P90" s="189">
        <v>0</v>
      </c>
      <c r="Q90" s="114" t="e">
        <f>M83*M90*6/12*0</f>
        <v>#REF!</v>
      </c>
      <c r="R90" s="189" t="e">
        <f>($M$83-SUM($Q$91:Q91))*$M$90*6/12</f>
        <v>#REF!</v>
      </c>
      <c r="S90" s="189" t="e">
        <f>($M$83-SUM($Q$91:R91))*$M$90</f>
        <v>#REF!</v>
      </c>
      <c r="T90" s="189" t="e">
        <f>($M$83-SUM($Q$91:S91))*$M$90</f>
        <v>#REF!</v>
      </c>
      <c r="U90" s="189" t="e">
        <f>($M$83-SUM($Q$91:T91))*$M$90</f>
        <v>#REF!</v>
      </c>
      <c r="V90" s="189" t="e">
        <f>($M$83-SUM($Q$91:U91))*$M$90</f>
        <v>#REF!</v>
      </c>
      <c r="W90" s="189" t="e">
        <f>($M$83-SUM($Q$91:V91))*$M$90</f>
        <v>#REF!</v>
      </c>
      <c r="X90" s="189" t="e">
        <f>($M$83-SUM($Q$91:W91))*$M$90</f>
        <v>#REF!</v>
      </c>
      <c r="Y90" s="189" t="e">
        <f>($M$83-SUM($Q$91:X91))*$M$90</f>
        <v>#REF!</v>
      </c>
      <c r="Z90" s="189" t="e">
        <f>($M$83-SUM($Q$91:Y91))*$M$90</f>
        <v>#REF!</v>
      </c>
      <c r="AA90" s="189" t="e">
        <f>($M$83-SUM($Q$91:Z91))*$M$90</f>
        <v>#REF!</v>
      </c>
      <c r="AB90" s="189" t="e">
        <f>($M$83-SUM($Q$91:AA91))*$M$90</f>
        <v>#REF!</v>
      </c>
      <c r="AC90" s="189" t="e">
        <f>($M$83-SUM($Q$91:AB91))*$M$90</f>
        <v>#REF!</v>
      </c>
      <c r="AD90" s="189" t="e">
        <f>($M$83-SUM($Q$91:AC91))*$M$90</f>
        <v>#REF!</v>
      </c>
      <c r="AE90" s="189" t="e">
        <f>($M$83-SUM($Q$91:AD91))*$M$90</f>
        <v>#REF!</v>
      </c>
      <c r="AF90" s="189" t="e">
        <f>($M$83-SUM($Q$91:AE91))*$M$90</f>
        <v>#REF!</v>
      </c>
      <c r="AG90" s="189" t="e">
        <f>($M$83-SUM($Q$91:AF91))*$M$90</f>
        <v>#REF!</v>
      </c>
      <c r="AH90" s="189" t="e">
        <f>($M$83-SUM($Q$91:AG91))*$M$90</f>
        <v>#REF!</v>
      </c>
      <c r="AI90" s="189" t="e">
        <f>($M$83-SUM($Q$91:AH91))*$M$90</f>
        <v>#REF!</v>
      </c>
      <c r="AJ90" s="189" t="e">
        <f>($M$83-SUM($Q$91:AI91))*$M$90</f>
        <v>#REF!</v>
      </c>
      <c r="AM90" s="69" t="e">
        <f t="shared" si="18"/>
        <v>#REF!</v>
      </c>
    </row>
    <row r="91" spans="1:39" s="17" customFormat="1" ht="26.25" customHeight="1">
      <c r="A91" s="41"/>
      <c r="B91" s="59"/>
      <c r="C91" s="59"/>
      <c r="D91" s="59"/>
      <c r="E91" s="59"/>
      <c r="F91" s="40"/>
      <c r="G91" s="59"/>
      <c r="M91" s="17" t="e">
        <f>SUM(P91:AL91)</f>
        <v>#REF!</v>
      </c>
      <c r="N91" s="1214" t="s">
        <v>285</v>
      </c>
      <c r="O91" s="189">
        <f>+AP76</f>
        <v>0</v>
      </c>
      <c r="P91" s="189">
        <v>0</v>
      </c>
      <c r="Q91" s="69">
        <f>+$M$85/10*0</f>
        <v>0</v>
      </c>
      <c r="R91" s="69">
        <f>+$M$85/10*0</f>
        <v>0</v>
      </c>
      <c r="S91" s="69"/>
      <c r="T91" s="766" t="e">
        <f>+$M$89/16</f>
        <v>#REF!</v>
      </c>
      <c r="U91" s="766" t="e">
        <f t="shared" ref="U91:AI91" si="19">+$M$89/16</f>
        <v>#REF!</v>
      </c>
      <c r="V91" s="766" t="e">
        <f t="shared" si="19"/>
        <v>#REF!</v>
      </c>
      <c r="W91" s="766" t="e">
        <f t="shared" si="19"/>
        <v>#REF!</v>
      </c>
      <c r="X91" s="766" t="e">
        <f t="shared" si="19"/>
        <v>#REF!</v>
      </c>
      <c r="Y91" s="766" t="e">
        <f t="shared" si="19"/>
        <v>#REF!</v>
      </c>
      <c r="Z91" s="766" t="e">
        <f t="shared" si="19"/>
        <v>#REF!</v>
      </c>
      <c r="AA91" s="766" t="e">
        <f t="shared" si="19"/>
        <v>#REF!</v>
      </c>
      <c r="AB91" s="766" t="e">
        <f t="shared" si="19"/>
        <v>#REF!</v>
      </c>
      <c r="AC91" s="766" t="e">
        <f t="shared" si="19"/>
        <v>#REF!</v>
      </c>
      <c r="AD91" s="766" t="e">
        <f t="shared" si="19"/>
        <v>#REF!</v>
      </c>
      <c r="AE91" s="766" t="e">
        <f t="shared" si="19"/>
        <v>#REF!</v>
      </c>
      <c r="AF91" s="766" t="e">
        <f t="shared" si="19"/>
        <v>#REF!</v>
      </c>
      <c r="AG91" s="766" t="e">
        <f t="shared" si="19"/>
        <v>#REF!</v>
      </c>
      <c r="AH91" s="766" t="e">
        <f t="shared" si="19"/>
        <v>#REF!</v>
      </c>
      <c r="AI91" s="766" t="e">
        <f t="shared" si="19"/>
        <v>#REF!</v>
      </c>
      <c r="AM91" s="69" t="e">
        <f t="shared" si="18"/>
        <v>#REF!</v>
      </c>
    </row>
    <row r="92" spans="1:39" s="17" customFormat="1" ht="34.5" customHeight="1">
      <c r="A92" s="41"/>
      <c r="B92" s="38"/>
      <c r="C92" s="38"/>
      <c r="D92" s="38"/>
      <c r="E92" s="38"/>
      <c r="F92" s="38"/>
      <c r="G92" s="38"/>
      <c r="N92" s="1215" t="s">
        <v>286</v>
      </c>
      <c r="O92" s="191">
        <f t="shared" ref="O92:AL92" si="20">+O73</f>
        <v>0</v>
      </c>
      <c r="P92" s="191">
        <f t="shared" si="20"/>
        <v>0</v>
      </c>
      <c r="Q92" s="82" t="e">
        <f t="shared" si="20"/>
        <v>#REF!</v>
      </c>
      <c r="R92" s="82" t="e">
        <f t="shared" si="20"/>
        <v>#REF!</v>
      </c>
      <c r="S92" s="82" t="e">
        <f t="shared" si="20"/>
        <v>#REF!</v>
      </c>
      <c r="T92" s="82" t="e">
        <f t="shared" si="20"/>
        <v>#REF!</v>
      </c>
      <c r="U92" s="82" t="e">
        <f t="shared" si="20"/>
        <v>#REF!</v>
      </c>
      <c r="V92" s="82" t="e">
        <f t="shared" si="20"/>
        <v>#REF!</v>
      </c>
      <c r="W92" s="82" t="e">
        <f t="shared" si="20"/>
        <v>#REF!</v>
      </c>
      <c r="X92" s="82" t="e">
        <f t="shared" si="20"/>
        <v>#REF!</v>
      </c>
      <c r="Y92" s="82" t="e">
        <f t="shared" si="20"/>
        <v>#REF!</v>
      </c>
      <c r="Z92" s="82" t="e">
        <f t="shared" si="20"/>
        <v>#REF!</v>
      </c>
      <c r="AA92" s="82" t="e">
        <f t="shared" si="20"/>
        <v>#REF!</v>
      </c>
      <c r="AB92" s="82" t="e">
        <f t="shared" si="20"/>
        <v>#REF!</v>
      </c>
      <c r="AC92" s="82" t="e">
        <f t="shared" si="20"/>
        <v>#REF!</v>
      </c>
      <c r="AD92" s="82" t="e">
        <f t="shared" si="20"/>
        <v>#REF!</v>
      </c>
      <c r="AE92" s="82" t="e">
        <f t="shared" si="20"/>
        <v>#REF!</v>
      </c>
      <c r="AF92" s="82" t="e">
        <f t="shared" si="20"/>
        <v>#REF!</v>
      </c>
      <c r="AG92" s="82" t="e">
        <f t="shared" si="20"/>
        <v>#REF!</v>
      </c>
      <c r="AH92" s="82" t="e">
        <f t="shared" si="20"/>
        <v>#REF!</v>
      </c>
      <c r="AI92" s="82" t="e">
        <f t="shared" si="20"/>
        <v>#REF!</v>
      </c>
      <c r="AJ92" s="82" t="e">
        <f t="shared" si="20"/>
        <v>#REF!</v>
      </c>
      <c r="AK92" s="82" t="e">
        <f t="shared" si="20"/>
        <v>#REF!</v>
      </c>
      <c r="AL92" s="82">
        <f t="shared" si="20"/>
        <v>155.73300706311997</v>
      </c>
      <c r="AM92" s="69" t="e">
        <f t="shared" si="18"/>
        <v>#REF!</v>
      </c>
    </row>
    <row r="93" spans="1:39" s="17" customFormat="1" ht="20.100000000000001" customHeight="1">
      <c r="A93" s="93"/>
      <c r="B93" s="80"/>
      <c r="C93" s="35"/>
      <c r="D93" s="38"/>
      <c r="E93" s="40"/>
      <c r="F93" s="94"/>
      <c r="G93" s="40"/>
      <c r="N93" s="56" t="s">
        <v>72</v>
      </c>
      <c r="O93" s="189" t="e">
        <f t="shared" ref="O93:AL93" si="21">SUM(O87:O92)</f>
        <v>#REF!</v>
      </c>
      <c r="P93" s="189" t="e">
        <f t="shared" si="21"/>
        <v>#REF!</v>
      </c>
      <c r="Q93" s="69" t="e">
        <f t="shared" si="21"/>
        <v>#REF!</v>
      </c>
      <c r="R93" s="69" t="e">
        <f t="shared" si="21"/>
        <v>#REF!</v>
      </c>
      <c r="S93" s="69" t="e">
        <f t="shared" si="21"/>
        <v>#REF!</v>
      </c>
      <c r="T93" s="69" t="e">
        <f t="shared" si="21"/>
        <v>#REF!</v>
      </c>
      <c r="U93" s="69" t="e">
        <f t="shared" si="21"/>
        <v>#REF!</v>
      </c>
      <c r="V93" s="69" t="e">
        <f t="shared" si="21"/>
        <v>#REF!</v>
      </c>
      <c r="W93" s="69" t="e">
        <f t="shared" si="21"/>
        <v>#REF!</v>
      </c>
      <c r="X93" s="69" t="e">
        <f t="shared" si="21"/>
        <v>#REF!</v>
      </c>
      <c r="Y93" s="69" t="e">
        <f t="shared" si="21"/>
        <v>#REF!</v>
      </c>
      <c r="Z93" s="69" t="e">
        <f t="shared" si="21"/>
        <v>#REF!</v>
      </c>
      <c r="AA93" s="69" t="e">
        <f t="shared" si="21"/>
        <v>#REF!</v>
      </c>
      <c r="AB93" s="69" t="e">
        <f t="shared" si="21"/>
        <v>#REF!</v>
      </c>
      <c r="AC93" s="69" t="e">
        <f t="shared" si="21"/>
        <v>#REF!</v>
      </c>
      <c r="AD93" s="69" t="e">
        <f t="shared" si="21"/>
        <v>#REF!</v>
      </c>
      <c r="AE93" s="69" t="e">
        <f t="shared" si="21"/>
        <v>#REF!</v>
      </c>
      <c r="AF93" s="69" t="e">
        <f t="shared" si="21"/>
        <v>#REF!</v>
      </c>
      <c r="AG93" s="69" t="e">
        <f t="shared" si="21"/>
        <v>#REF!</v>
      </c>
      <c r="AH93" s="69" t="e">
        <f t="shared" si="21"/>
        <v>#REF!</v>
      </c>
      <c r="AI93" s="69" t="e">
        <f t="shared" si="21"/>
        <v>#REF!</v>
      </c>
      <c r="AJ93" s="69" t="e">
        <f t="shared" si="21"/>
        <v>#REF!</v>
      </c>
      <c r="AK93" s="69" t="e">
        <f t="shared" si="21"/>
        <v>#REF!</v>
      </c>
      <c r="AL93" s="69">
        <f t="shared" si="21"/>
        <v>155.73300706311997</v>
      </c>
      <c r="AM93" s="69" t="e">
        <f t="shared" si="18"/>
        <v>#REF!</v>
      </c>
    </row>
    <row r="94" spans="1:39" s="17" customFormat="1" ht="20.100000000000001" customHeight="1" thickBot="1">
      <c r="A94" s="38"/>
      <c r="B94" s="38"/>
      <c r="C94" s="38"/>
      <c r="D94" s="38"/>
      <c r="E94" s="38"/>
      <c r="F94" s="38"/>
      <c r="G94" s="38"/>
      <c r="N94" s="95" t="s">
        <v>287</v>
      </c>
      <c r="O94" s="194" t="e">
        <f t="shared" ref="O94:AL94" si="22">+O84-O93</f>
        <v>#REF!</v>
      </c>
      <c r="P94" s="194" t="e">
        <f t="shared" si="22"/>
        <v>#REF!</v>
      </c>
      <c r="Q94" s="96" t="e">
        <f t="shared" si="22"/>
        <v>#REF!</v>
      </c>
      <c r="R94" s="96" t="e">
        <f t="shared" si="22"/>
        <v>#REF!</v>
      </c>
      <c r="S94" s="96" t="e">
        <f t="shared" si="22"/>
        <v>#REF!</v>
      </c>
      <c r="T94" s="96" t="e">
        <f t="shared" si="22"/>
        <v>#REF!</v>
      </c>
      <c r="U94" s="96" t="e">
        <f t="shared" si="22"/>
        <v>#REF!</v>
      </c>
      <c r="V94" s="96" t="e">
        <f t="shared" si="22"/>
        <v>#REF!</v>
      </c>
      <c r="W94" s="96" t="e">
        <f t="shared" si="22"/>
        <v>#REF!</v>
      </c>
      <c r="X94" s="96" t="e">
        <f t="shared" si="22"/>
        <v>#REF!</v>
      </c>
      <c r="Y94" s="96" t="e">
        <f t="shared" si="22"/>
        <v>#REF!</v>
      </c>
      <c r="Z94" s="96" t="e">
        <f t="shared" si="22"/>
        <v>#REF!</v>
      </c>
      <c r="AA94" s="96" t="e">
        <f t="shared" si="22"/>
        <v>#REF!</v>
      </c>
      <c r="AB94" s="96" t="e">
        <f t="shared" si="22"/>
        <v>#REF!</v>
      </c>
      <c r="AC94" s="96" t="e">
        <f t="shared" si="22"/>
        <v>#REF!</v>
      </c>
      <c r="AD94" s="96" t="e">
        <f t="shared" si="22"/>
        <v>#REF!</v>
      </c>
      <c r="AE94" s="96" t="e">
        <f t="shared" si="22"/>
        <v>#REF!</v>
      </c>
      <c r="AF94" s="96" t="e">
        <f t="shared" si="22"/>
        <v>#REF!</v>
      </c>
      <c r="AG94" s="96" t="e">
        <f t="shared" si="22"/>
        <v>#REF!</v>
      </c>
      <c r="AH94" s="96" t="e">
        <f t="shared" si="22"/>
        <v>#REF!</v>
      </c>
      <c r="AI94" s="96" t="e">
        <f t="shared" si="22"/>
        <v>#REF!</v>
      </c>
      <c r="AJ94" s="96" t="e">
        <f t="shared" si="22"/>
        <v>#REF!</v>
      </c>
      <c r="AK94" s="96" t="e">
        <f t="shared" si="22"/>
        <v>#REF!</v>
      </c>
      <c r="AL94" s="96">
        <f t="shared" si="22"/>
        <v>289.93150490780477</v>
      </c>
      <c r="AM94" s="69" t="e">
        <f t="shared" si="18"/>
        <v>#REF!</v>
      </c>
    </row>
    <row r="95" spans="1:39" s="17" customFormat="1" ht="20.100000000000001" customHeight="1" thickBot="1">
      <c r="A95" s="38"/>
      <c r="B95" s="38"/>
      <c r="C95" s="38"/>
      <c r="D95" s="38"/>
      <c r="E95" s="38"/>
      <c r="F95" s="38"/>
      <c r="G95" s="38"/>
      <c r="N95" s="97" t="s">
        <v>288</v>
      </c>
      <c r="O95" s="195" t="e">
        <f>SUM($O$94:O94)</f>
        <v>#REF!</v>
      </c>
      <c r="P95" s="195" t="e">
        <f>SUM($O$94:P94)</f>
        <v>#REF!</v>
      </c>
      <c r="Q95" s="195" t="e">
        <f>SUM($O$94:Q94)</f>
        <v>#REF!</v>
      </c>
      <c r="R95" s="195" t="e">
        <f>SUM($O$94:R94)</f>
        <v>#REF!</v>
      </c>
      <c r="S95" s="195" t="e">
        <f>SUM($O$94:S94)</f>
        <v>#REF!</v>
      </c>
      <c r="T95" s="195" t="e">
        <f>SUM($O$94:T94)</f>
        <v>#REF!</v>
      </c>
      <c r="U95" s="195" t="e">
        <f>SUM($O$94:U94)</f>
        <v>#REF!</v>
      </c>
      <c r="V95" s="195" t="e">
        <f>SUM($O$94:V94)</f>
        <v>#REF!</v>
      </c>
      <c r="W95" s="195" t="e">
        <f>SUM($O$94:W94)</f>
        <v>#REF!</v>
      </c>
      <c r="X95" s="195" t="e">
        <f>SUM($O$94:X94)</f>
        <v>#REF!</v>
      </c>
      <c r="Y95" s="195" t="e">
        <f>SUM($O$94:Y94)</f>
        <v>#REF!</v>
      </c>
      <c r="Z95" s="195" t="e">
        <f>SUM($O$94:Z94)</f>
        <v>#REF!</v>
      </c>
      <c r="AA95" s="195" t="e">
        <f>SUM($O$94:AA94)</f>
        <v>#REF!</v>
      </c>
      <c r="AB95" s="195" t="e">
        <f>SUM($O$94:AB94)</f>
        <v>#REF!</v>
      </c>
      <c r="AC95" s="195" t="e">
        <f>SUM($O$94:AC94)</f>
        <v>#REF!</v>
      </c>
      <c r="AD95" s="195" t="e">
        <f>SUM($O$94:AD94)</f>
        <v>#REF!</v>
      </c>
      <c r="AE95" s="195" t="e">
        <f>SUM($O$94:AE94)</f>
        <v>#REF!</v>
      </c>
      <c r="AF95" s="195" t="e">
        <f>SUM($O$94:AF94)</f>
        <v>#REF!</v>
      </c>
      <c r="AG95" s="195" t="e">
        <f>SUM($O$94:AG94)</f>
        <v>#REF!</v>
      </c>
      <c r="AH95" s="195" t="e">
        <f>SUM($O$94:AH94)</f>
        <v>#REF!</v>
      </c>
      <c r="AI95" s="195" t="e">
        <f>SUM($O$94:AI94)</f>
        <v>#REF!</v>
      </c>
      <c r="AJ95" s="195" t="e">
        <f>SUM($O$94:AJ94)</f>
        <v>#REF!</v>
      </c>
      <c r="AK95" s="195" t="e">
        <f>SUM($O$94:AK94)</f>
        <v>#REF!</v>
      </c>
      <c r="AL95" s="195" t="e">
        <f>SUM($O$94:AL94)</f>
        <v>#REF!</v>
      </c>
      <c r="AM95" s="69"/>
    </row>
    <row r="96" spans="1:39" s="17" customFormat="1" ht="20.100000000000001" customHeight="1">
      <c r="A96" s="38"/>
      <c r="B96" s="38"/>
      <c r="C96" s="38"/>
      <c r="D96" s="38"/>
      <c r="E96" s="38"/>
      <c r="F96" s="38"/>
      <c r="G96" s="38"/>
      <c r="O96" s="114"/>
      <c r="P96" s="114"/>
      <c r="V96" s="17">
        <f>+V77</f>
        <v>0</v>
      </c>
      <c r="AH96" s="17">
        <f>+V96</f>
        <v>0</v>
      </c>
    </row>
    <row r="97" spans="1:42" s="17" customFormat="1" ht="20.100000000000001" customHeight="1">
      <c r="N97" s="18" t="s">
        <v>289</v>
      </c>
      <c r="O97" s="114"/>
      <c r="P97" s="114"/>
      <c r="Q97" s="32"/>
      <c r="T97" s="38"/>
      <c r="U97" s="39"/>
      <c r="V97" s="39"/>
      <c r="W97" s="39"/>
      <c r="X97" s="39"/>
      <c r="Y97" s="39"/>
      <c r="Z97" s="39"/>
      <c r="AA97" s="39"/>
      <c r="AB97" s="39"/>
      <c r="AC97" s="39"/>
      <c r="AD97" s="39"/>
      <c r="AM97" s="69"/>
    </row>
    <row r="98" spans="1:42" s="17" customFormat="1" ht="20.100000000000001" customHeight="1">
      <c r="A98" s="38"/>
      <c r="B98" s="35"/>
      <c r="C98" s="38"/>
      <c r="D98" s="38"/>
      <c r="E98" s="40"/>
      <c r="F98" s="40"/>
      <c r="G98" s="40"/>
      <c r="N98" s="18"/>
      <c r="O98" s="114"/>
      <c r="P98" s="114"/>
      <c r="Q98" s="32"/>
      <c r="T98" s="38"/>
      <c r="U98" s="39">
        <f>+U79</f>
        <v>0</v>
      </c>
      <c r="V98" s="39"/>
      <c r="W98" s="39"/>
      <c r="X98" s="39"/>
      <c r="Y98" s="39"/>
      <c r="Z98" s="39"/>
      <c r="AA98" s="39"/>
      <c r="AB98" s="39"/>
      <c r="AC98" s="39"/>
      <c r="AD98" s="39"/>
      <c r="AH98" s="17">
        <f>+U98</f>
        <v>0</v>
      </c>
      <c r="AM98" s="69"/>
    </row>
    <row r="99" spans="1:42" s="17" customFormat="1" ht="20.100000000000001" customHeight="1">
      <c r="A99" s="38"/>
      <c r="B99" s="59"/>
      <c r="C99" s="59"/>
      <c r="D99" s="59"/>
      <c r="E99" s="59"/>
      <c r="F99" s="59"/>
      <c r="G99" s="59"/>
      <c r="N99" s="25" t="s">
        <v>1</v>
      </c>
      <c r="O99" s="187" t="str">
        <f t="shared" ref="O99:AL99" si="23">+O67</f>
        <v>Yr 1</v>
      </c>
      <c r="P99" s="187" t="str">
        <f t="shared" si="23"/>
        <v>Yr 2</v>
      </c>
      <c r="Q99" s="65" t="str">
        <f t="shared" si="23"/>
        <v>Yr 3</v>
      </c>
      <c r="R99" s="65" t="str">
        <f t="shared" si="23"/>
        <v>Yr 4</v>
      </c>
      <c r="S99" s="65" t="str">
        <f t="shared" si="23"/>
        <v>Yr 5</v>
      </c>
      <c r="T99" s="65" t="str">
        <f t="shared" si="23"/>
        <v>Yr 6</v>
      </c>
      <c r="U99" s="65" t="str">
        <f t="shared" si="23"/>
        <v>Yr 7</v>
      </c>
      <c r="V99" s="65" t="str">
        <f t="shared" si="23"/>
        <v>Yr 8</v>
      </c>
      <c r="W99" s="65" t="str">
        <f t="shared" si="23"/>
        <v>Yr 9</v>
      </c>
      <c r="X99" s="65" t="str">
        <f t="shared" si="23"/>
        <v>Yr 10</v>
      </c>
      <c r="Y99" s="65" t="str">
        <f t="shared" si="23"/>
        <v>Yr 11</v>
      </c>
      <c r="Z99" s="65" t="str">
        <f t="shared" si="23"/>
        <v>Yr 12</v>
      </c>
      <c r="AA99" s="65" t="str">
        <f t="shared" si="23"/>
        <v>Yr 13</v>
      </c>
      <c r="AB99" s="65" t="str">
        <f t="shared" si="23"/>
        <v>Yr 14</v>
      </c>
      <c r="AC99" s="65" t="str">
        <f t="shared" si="23"/>
        <v>Yr 15</v>
      </c>
      <c r="AD99" s="65" t="str">
        <f t="shared" si="23"/>
        <v>Yr 16</v>
      </c>
      <c r="AE99" s="65" t="str">
        <f t="shared" si="23"/>
        <v>Yr 17</v>
      </c>
      <c r="AF99" s="65" t="str">
        <f t="shared" si="23"/>
        <v>Yr 18</v>
      </c>
      <c r="AG99" s="65" t="str">
        <f t="shared" si="23"/>
        <v>Yr 19</v>
      </c>
      <c r="AH99" s="65" t="str">
        <f t="shared" si="23"/>
        <v>Yr 20</v>
      </c>
      <c r="AI99" s="65" t="str">
        <f t="shared" si="23"/>
        <v>Yr 21</v>
      </c>
      <c r="AJ99" s="65" t="str">
        <f t="shared" si="23"/>
        <v>Yr 22</v>
      </c>
      <c r="AK99" s="65" t="str">
        <f t="shared" si="23"/>
        <v>Yr 23</v>
      </c>
      <c r="AL99" s="65" t="str">
        <f t="shared" si="23"/>
        <v>Yr 24</v>
      </c>
      <c r="AM99" s="99" t="s">
        <v>951</v>
      </c>
      <c r="AN99" s="26" t="s">
        <v>952</v>
      </c>
      <c r="AO99" s="26" t="s">
        <v>952</v>
      </c>
      <c r="AP99" s="26" t="s">
        <v>953</v>
      </c>
    </row>
    <row r="100" spans="1:42" s="17" customFormat="1" ht="20.100000000000001" customHeight="1">
      <c r="A100" s="38"/>
      <c r="B100" s="40"/>
      <c r="C100" s="40"/>
      <c r="D100" s="40"/>
      <c r="E100" s="40"/>
      <c r="F100" s="40"/>
      <c r="G100" s="40"/>
      <c r="M100" s="27" t="s">
        <v>9</v>
      </c>
      <c r="N100" s="18" t="s">
        <v>290</v>
      </c>
      <c r="O100" s="196"/>
      <c r="P100" s="196"/>
      <c r="Q100" s="100"/>
      <c r="R100" s="100"/>
      <c r="S100" s="100"/>
      <c r="T100" s="100"/>
      <c r="U100" s="100"/>
      <c r="V100" s="100"/>
      <c r="W100" s="100"/>
      <c r="X100" s="100"/>
      <c r="Y100" s="100"/>
      <c r="Z100" s="100"/>
      <c r="AA100" s="100"/>
      <c r="AB100" s="100"/>
      <c r="AC100" s="100"/>
      <c r="AD100" s="100"/>
      <c r="AE100" s="100"/>
      <c r="AF100" s="100"/>
      <c r="AG100" s="100"/>
      <c r="AH100" s="100"/>
      <c r="AI100" s="100"/>
      <c r="AM100" s="99"/>
      <c r="AN100" s="26"/>
      <c r="AO100" s="26"/>
      <c r="AP100" s="26"/>
    </row>
    <row r="101" spans="1:42" s="17" customFormat="1" ht="20.100000000000001" customHeight="1">
      <c r="A101" s="38"/>
      <c r="B101" s="59"/>
      <c r="C101" s="59"/>
      <c r="D101" s="59"/>
      <c r="E101" s="59"/>
      <c r="F101" s="59"/>
      <c r="G101" s="59"/>
      <c r="K101" s="17" t="e">
        <f>+C73</f>
        <v>#REF!</v>
      </c>
      <c r="L101" s="17" t="e">
        <f>SUM(O101:R101)</f>
        <v>#REF!</v>
      </c>
      <c r="M101" s="101">
        <v>1</v>
      </c>
      <c r="N101" s="17" t="s">
        <v>291</v>
      </c>
      <c r="O101" s="197" t="e">
        <f>+C68</f>
        <v>#REF!</v>
      </c>
      <c r="P101" s="197" t="e">
        <f>+C69</f>
        <v>#REF!</v>
      </c>
      <c r="Q101" s="102" t="e">
        <f>C70</f>
        <v>#REF!</v>
      </c>
      <c r="R101" s="102" t="e">
        <f>C71+C72</f>
        <v>#REF!</v>
      </c>
      <c r="S101" s="102">
        <f t="shared" ref="S101:AI101" si="24">+S88+S89</f>
        <v>0</v>
      </c>
      <c r="T101" s="102">
        <f t="shared" si="24"/>
        <v>0</v>
      </c>
      <c r="U101" s="102">
        <f t="shared" si="24"/>
        <v>0</v>
      </c>
      <c r="V101" s="102">
        <f t="shared" si="24"/>
        <v>0</v>
      </c>
      <c r="W101" s="102">
        <f t="shared" si="24"/>
        <v>0</v>
      </c>
      <c r="X101" s="102">
        <f t="shared" si="24"/>
        <v>0</v>
      </c>
      <c r="Y101" s="102">
        <f t="shared" si="24"/>
        <v>0</v>
      </c>
      <c r="Z101" s="102">
        <f t="shared" si="24"/>
        <v>0</v>
      </c>
      <c r="AA101" s="102">
        <f t="shared" si="24"/>
        <v>0</v>
      </c>
      <c r="AB101" s="102">
        <f t="shared" si="24"/>
        <v>0</v>
      </c>
      <c r="AC101" s="102">
        <f t="shared" si="24"/>
        <v>0</v>
      </c>
      <c r="AD101" s="102">
        <f t="shared" si="24"/>
        <v>0</v>
      </c>
      <c r="AE101" s="102">
        <f t="shared" si="24"/>
        <v>0</v>
      </c>
      <c r="AF101" s="102">
        <f t="shared" si="24"/>
        <v>0</v>
      </c>
      <c r="AG101" s="102">
        <f t="shared" si="24"/>
        <v>0</v>
      </c>
      <c r="AH101" s="102">
        <f t="shared" si="24"/>
        <v>0</v>
      </c>
      <c r="AI101" s="102">
        <f t="shared" si="24"/>
        <v>0</v>
      </c>
      <c r="AM101" s="69" t="e">
        <f>NPV(0.1,O101:AJ101)</f>
        <v>#REF!</v>
      </c>
      <c r="AP101" s="17" t="e">
        <f>+AM105/AM101</f>
        <v>#REF!</v>
      </c>
    </row>
    <row r="102" spans="1:42" s="17" customFormat="1" ht="20.100000000000001" customHeight="1">
      <c r="B102" s="38"/>
      <c r="C102" s="38"/>
      <c r="D102" s="38"/>
      <c r="E102" s="38"/>
      <c r="F102" s="38"/>
      <c r="G102" s="38"/>
      <c r="M102" s="101">
        <v>2</v>
      </c>
      <c r="N102" s="17" t="s">
        <v>286</v>
      </c>
      <c r="O102" s="197">
        <f t="shared" ref="O102:AL102" si="25">+O73</f>
        <v>0</v>
      </c>
      <c r="P102" s="197">
        <f t="shared" si="25"/>
        <v>0</v>
      </c>
      <c r="Q102" s="102" t="e">
        <f t="shared" si="25"/>
        <v>#REF!</v>
      </c>
      <c r="R102" s="102" t="e">
        <f t="shared" si="25"/>
        <v>#REF!</v>
      </c>
      <c r="S102" s="102" t="e">
        <f t="shared" si="25"/>
        <v>#REF!</v>
      </c>
      <c r="T102" s="102" t="e">
        <f t="shared" si="25"/>
        <v>#REF!</v>
      </c>
      <c r="U102" s="102" t="e">
        <f t="shared" si="25"/>
        <v>#REF!</v>
      </c>
      <c r="V102" s="102" t="e">
        <f t="shared" si="25"/>
        <v>#REF!</v>
      </c>
      <c r="W102" s="102" t="e">
        <f t="shared" si="25"/>
        <v>#REF!</v>
      </c>
      <c r="X102" s="102" t="e">
        <f t="shared" si="25"/>
        <v>#REF!</v>
      </c>
      <c r="Y102" s="102" t="e">
        <f t="shared" si="25"/>
        <v>#REF!</v>
      </c>
      <c r="Z102" s="102" t="e">
        <f t="shared" si="25"/>
        <v>#REF!</v>
      </c>
      <c r="AA102" s="102" t="e">
        <f t="shared" si="25"/>
        <v>#REF!</v>
      </c>
      <c r="AB102" s="102" t="e">
        <f t="shared" si="25"/>
        <v>#REF!</v>
      </c>
      <c r="AC102" s="102" t="e">
        <f t="shared" si="25"/>
        <v>#REF!</v>
      </c>
      <c r="AD102" s="102" t="e">
        <f t="shared" si="25"/>
        <v>#REF!</v>
      </c>
      <c r="AE102" s="102" t="e">
        <f t="shared" si="25"/>
        <v>#REF!</v>
      </c>
      <c r="AF102" s="102" t="e">
        <f t="shared" si="25"/>
        <v>#REF!</v>
      </c>
      <c r="AG102" s="102" t="e">
        <f t="shared" si="25"/>
        <v>#REF!</v>
      </c>
      <c r="AH102" s="102" t="e">
        <f t="shared" si="25"/>
        <v>#REF!</v>
      </c>
      <c r="AI102" s="102" t="e">
        <f t="shared" si="25"/>
        <v>#REF!</v>
      </c>
      <c r="AJ102" s="102" t="e">
        <f t="shared" si="25"/>
        <v>#REF!</v>
      </c>
      <c r="AK102" s="102" t="e">
        <f t="shared" si="25"/>
        <v>#REF!</v>
      </c>
      <c r="AL102" s="102">
        <f t="shared" si="25"/>
        <v>155.73300706311997</v>
      </c>
      <c r="AM102" s="69" t="e">
        <f>NPV(0.1,O102:AJ102)</f>
        <v>#REF!</v>
      </c>
    </row>
    <row r="103" spans="1:42" s="17" customFormat="1" ht="20.100000000000001" customHeight="1">
      <c r="A103" s="38"/>
      <c r="B103" s="76"/>
      <c r="C103" s="38"/>
      <c r="D103" s="38"/>
      <c r="M103" s="101"/>
      <c r="N103" s="103" t="s">
        <v>292</v>
      </c>
      <c r="O103" s="197" t="e">
        <f t="shared" ref="O103:AL103" si="26">SUM(O101:O102)</f>
        <v>#REF!</v>
      </c>
      <c r="P103" s="197" t="e">
        <f t="shared" si="26"/>
        <v>#REF!</v>
      </c>
      <c r="Q103" s="102" t="e">
        <f t="shared" si="26"/>
        <v>#REF!</v>
      </c>
      <c r="R103" s="102" t="e">
        <f t="shared" si="26"/>
        <v>#REF!</v>
      </c>
      <c r="S103" s="102" t="e">
        <f t="shared" si="26"/>
        <v>#REF!</v>
      </c>
      <c r="T103" s="102" t="e">
        <f t="shared" si="26"/>
        <v>#REF!</v>
      </c>
      <c r="U103" s="102" t="e">
        <f t="shared" si="26"/>
        <v>#REF!</v>
      </c>
      <c r="V103" s="102" t="e">
        <f t="shared" si="26"/>
        <v>#REF!</v>
      </c>
      <c r="W103" s="102" t="e">
        <f t="shared" si="26"/>
        <v>#REF!</v>
      </c>
      <c r="X103" s="102" t="e">
        <f t="shared" si="26"/>
        <v>#REF!</v>
      </c>
      <c r="Y103" s="102" t="e">
        <f t="shared" si="26"/>
        <v>#REF!</v>
      </c>
      <c r="Z103" s="102" t="e">
        <f t="shared" si="26"/>
        <v>#REF!</v>
      </c>
      <c r="AA103" s="102" t="e">
        <f t="shared" si="26"/>
        <v>#REF!</v>
      </c>
      <c r="AB103" s="102" t="e">
        <f t="shared" si="26"/>
        <v>#REF!</v>
      </c>
      <c r="AC103" s="102" t="e">
        <f t="shared" si="26"/>
        <v>#REF!</v>
      </c>
      <c r="AD103" s="102" t="e">
        <f t="shared" si="26"/>
        <v>#REF!</v>
      </c>
      <c r="AE103" s="102" t="e">
        <f t="shared" si="26"/>
        <v>#REF!</v>
      </c>
      <c r="AF103" s="102" t="e">
        <f t="shared" si="26"/>
        <v>#REF!</v>
      </c>
      <c r="AG103" s="102" t="e">
        <f t="shared" si="26"/>
        <v>#REF!</v>
      </c>
      <c r="AH103" s="102" t="e">
        <f t="shared" si="26"/>
        <v>#REF!</v>
      </c>
      <c r="AI103" s="102" t="e">
        <f t="shared" si="26"/>
        <v>#REF!</v>
      </c>
      <c r="AJ103" s="102" t="e">
        <f t="shared" si="26"/>
        <v>#REF!</v>
      </c>
      <c r="AK103" s="102" t="e">
        <f t="shared" si="26"/>
        <v>#REF!</v>
      </c>
      <c r="AL103" s="102">
        <f t="shared" si="26"/>
        <v>155.73300706311997</v>
      </c>
      <c r="AM103" s="69"/>
    </row>
    <row r="104" spans="1:42" s="17" customFormat="1" ht="20.100000000000001" customHeight="1">
      <c r="B104" s="35"/>
      <c r="C104" s="35"/>
      <c r="D104" s="38"/>
      <c r="E104" s="32"/>
      <c r="F104" s="52"/>
      <c r="G104" s="32"/>
      <c r="M104" s="27" t="s">
        <v>10</v>
      </c>
      <c r="N104" s="18" t="s">
        <v>293</v>
      </c>
      <c r="O104" s="197"/>
      <c r="P104" s="197"/>
      <c r="Q104" s="102"/>
      <c r="R104" s="102"/>
      <c r="S104" s="102"/>
      <c r="T104" s="102"/>
      <c r="U104" s="102"/>
      <c r="V104" s="102"/>
      <c r="W104" s="102"/>
      <c r="X104" s="102"/>
      <c r="Y104" s="102"/>
      <c r="Z104" s="102"/>
      <c r="AA104" s="102"/>
      <c r="AB104" s="102"/>
      <c r="AC104" s="102"/>
      <c r="AD104" s="102"/>
      <c r="AE104" s="102"/>
      <c r="AF104" s="102"/>
      <c r="AG104" s="102"/>
      <c r="AH104" s="102"/>
      <c r="AI104" s="102"/>
      <c r="AJ104" s="102"/>
      <c r="AK104" s="102"/>
      <c r="AL104" s="102"/>
      <c r="AM104" s="69"/>
    </row>
    <row r="105" spans="1:42" s="17" customFormat="1" ht="20.100000000000001" customHeight="1">
      <c r="A105" s="38"/>
      <c r="B105" s="40"/>
      <c r="C105" s="35"/>
      <c r="D105" s="38"/>
      <c r="E105" s="32"/>
      <c r="F105" s="55"/>
      <c r="G105" s="32"/>
      <c r="M105" s="101">
        <v>1</v>
      </c>
      <c r="N105" s="17" t="s">
        <v>294</v>
      </c>
      <c r="O105" s="185">
        <f t="shared" ref="O105:AK105" si="27">+O81</f>
        <v>0</v>
      </c>
      <c r="P105" s="185">
        <f t="shared" si="27"/>
        <v>0</v>
      </c>
      <c r="Q105" s="104">
        <f t="shared" si="27"/>
        <v>0</v>
      </c>
      <c r="R105" s="104">
        <f t="shared" si="27"/>
        <v>356.53160957673987</v>
      </c>
      <c r="S105" s="104">
        <f t="shared" si="27"/>
        <v>802.19612154766457</v>
      </c>
      <c r="T105" s="104">
        <f t="shared" si="27"/>
        <v>891.32902394184953</v>
      </c>
      <c r="U105" s="104">
        <f t="shared" si="27"/>
        <v>891.32902394184953</v>
      </c>
      <c r="V105" s="104">
        <f t="shared" si="27"/>
        <v>891.32902394184953</v>
      </c>
      <c r="W105" s="104">
        <f t="shared" si="27"/>
        <v>891.32902394184953</v>
      </c>
      <c r="X105" s="104">
        <f t="shared" si="27"/>
        <v>891.32902394184953</v>
      </c>
      <c r="Y105" s="104">
        <f t="shared" si="27"/>
        <v>891.32902394184953</v>
      </c>
      <c r="Z105" s="104">
        <f t="shared" si="27"/>
        <v>891.32902394184953</v>
      </c>
      <c r="AA105" s="104">
        <f t="shared" si="27"/>
        <v>891.32902394184953</v>
      </c>
      <c r="AB105" s="104">
        <f t="shared" si="27"/>
        <v>891.32902394184953</v>
      </c>
      <c r="AC105" s="104">
        <f t="shared" si="27"/>
        <v>891.32902394184953</v>
      </c>
      <c r="AD105" s="104">
        <f t="shared" si="27"/>
        <v>891.32902394184953</v>
      </c>
      <c r="AE105" s="104">
        <f t="shared" si="27"/>
        <v>891.32902394184953</v>
      </c>
      <c r="AF105" s="104">
        <f t="shared" si="27"/>
        <v>891.32902394184953</v>
      </c>
      <c r="AG105" s="104">
        <f t="shared" si="27"/>
        <v>891.32902394184953</v>
      </c>
      <c r="AH105" s="104">
        <f t="shared" si="27"/>
        <v>891.32902394184953</v>
      </c>
      <c r="AI105" s="104">
        <f t="shared" si="27"/>
        <v>891.32902394184953</v>
      </c>
      <c r="AJ105" s="104">
        <f t="shared" si="27"/>
        <v>891.32902394184953</v>
      </c>
      <c r="AK105" s="104">
        <f t="shared" si="27"/>
        <v>891.32902394184953</v>
      </c>
      <c r="AL105" s="104" t="e">
        <f>+AL81+AO70*0.05</f>
        <v>#REF!</v>
      </c>
      <c r="AM105" s="69">
        <f>NPV(0.1,O105:AJ105)</f>
        <v>5181.1067148120819</v>
      </c>
    </row>
    <row r="106" spans="1:42" s="17" customFormat="1" ht="20.100000000000001" customHeight="1">
      <c r="A106" s="38"/>
      <c r="B106" s="40"/>
      <c r="C106" s="35"/>
      <c r="D106" s="38"/>
      <c r="E106" s="32"/>
      <c r="F106" s="55"/>
      <c r="G106" s="32"/>
      <c r="L106" s="17" t="e">
        <f>SUM(O106:S106)</f>
        <v>#REF!</v>
      </c>
      <c r="M106" s="101">
        <v>2</v>
      </c>
      <c r="N106" s="17" t="s">
        <v>954</v>
      </c>
      <c r="O106" s="185"/>
      <c r="P106" s="185"/>
      <c r="Q106" s="185"/>
      <c r="R106" s="185" t="e">
        <f>+$J$73/2</f>
        <v>#REF!</v>
      </c>
      <c r="S106" s="185" t="e">
        <f>+$J$73/2</f>
        <v>#REF!</v>
      </c>
      <c r="T106" s="104"/>
      <c r="U106" s="104"/>
      <c r="V106" s="104"/>
      <c r="W106" s="104"/>
      <c r="X106" s="104"/>
      <c r="Y106" s="104"/>
      <c r="Z106" s="104"/>
      <c r="AA106" s="104"/>
      <c r="AB106" s="104"/>
      <c r="AC106" s="104"/>
      <c r="AD106" s="104"/>
      <c r="AE106" s="104"/>
      <c r="AF106" s="104"/>
      <c r="AG106" s="104"/>
      <c r="AH106" s="104"/>
      <c r="AI106" s="104"/>
      <c r="AJ106" s="104"/>
      <c r="AK106" s="104"/>
      <c r="AL106" s="104" t="e">
        <f>AO70*0.05</f>
        <v>#REF!</v>
      </c>
      <c r="AM106" s="69"/>
    </row>
    <row r="107" spans="1:42" s="17" customFormat="1" ht="20.100000000000001" customHeight="1">
      <c r="A107" s="38"/>
      <c r="B107" s="40"/>
      <c r="C107" s="35"/>
      <c r="D107" s="38"/>
      <c r="E107" s="32"/>
      <c r="F107" s="55"/>
      <c r="G107" s="32"/>
      <c r="M107" s="101"/>
      <c r="N107" s="31" t="s">
        <v>295</v>
      </c>
      <c r="O107" s="185">
        <f t="shared" ref="O107:AL107" si="28">SUM(O105:O106)</f>
        <v>0</v>
      </c>
      <c r="P107" s="185">
        <f t="shared" si="28"/>
        <v>0</v>
      </c>
      <c r="Q107" s="104">
        <f t="shared" si="28"/>
        <v>0</v>
      </c>
      <c r="R107" s="104" t="e">
        <f t="shared" si="28"/>
        <v>#REF!</v>
      </c>
      <c r="S107" s="104" t="e">
        <f t="shared" si="28"/>
        <v>#REF!</v>
      </c>
      <c r="T107" s="104">
        <f t="shared" si="28"/>
        <v>891.32902394184953</v>
      </c>
      <c r="U107" s="104">
        <f t="shared" si="28"/>
        <v>891.32902394184953</v>
      </c>
      <c r="V107" s="104">
        <f t="shared" si="28"/>
        <v>891.32902394184953</v>
      </c>
      <c r="W107" s="104">
        <f t="shared" si="28"/>
        <v>891.32902394184953</v>
      </c>
      <c r="X107" s="104">
        <f t="shared" si="28"/>
        <v>891.32902394184953</v>
      </c>
      <c r="Y107" s="104">
        <f t="shared" si="28"/>
        <v>891.32902394184953</v>
      </c>
      <c r="Z107" s="104">
        <f t="shared" si="28"/>
        <v>891.32902394184953</v>
      </c>
      <c r="AA107" s="104">
        <f t="shared" si="28"/>
        <v>891.32902394184953</v>
      </c>
      <c r="AB107" s="104">
        <f t="shared" si="28"/>
        <v>891.32902394184953</v>
      </c>
      <c r="AC107" s="104">
        <f t="shared" si="28"/>
        <v>891.32902394184953</v>
      </c>
      <c r="AD107" s="104">
        <f t="shared" si="28"/>
        <v>891.32902394184953</v>
      </c>
      <c r="AE107" s="104">
        <f t="shared" si="28"/>
        <v>891.32902394184953</v>
      </c>
      <c r="AF107" s="104">
        <f t="shared" si="28"/>
        <v>891.32902394184953</v>
      </c>
      <c r="AG107" s="104">
        <f t="shared" si="28"/>
        <v>891.32902394184953</v>
      </c>
      <c r="AH107" s="104">
        <f t="shared" si="28"/>
        <v>891.32902394184953</v>
      </c>
      <c r="AI107" s="104">
        <f t="shared" si="28"/>
        <v>891.32902394184953</v>
      </c>
      <c r="AJ107" s="104">
        <f t="shared" si="28"/>
        <v>891.32902394184953</v>
      </c>
      <c r="AK107" s="104">
        <f t="shared" si="28"/>
        <v>891.32902394184953</v>
      </c>
      <c r="AL107" s="104" t="e">
        <f t="shared" si="28"/>
        <v>#REF!</v>
      </c>
      <c r="AM107" s="69"/>
    </row>
    <row r="108" spans="1:42" s="17" customFormat="1" ht="20.100000000000001" customHeight="1">
      <c r="A108" s="38"/>
      <c r="B108" s="40"/>
      <c r="C108" s="40"/>
      <c r="D108" s="59"/>
      <c r="E108" s="58"/>
      <c r="F108" s="58"/>
      <c r="G108" s="58"/>
      <c r="M108" s="27" t="s">
        <v>11</v>
      </c>
      <c r="N108" s="18" t="s">
        <v>296</v>
      </c>
      <c r="O108" s="185"/>
      <c r="P108" s="185"/>
      <c r="Q108" s="104"/>
      <c r="R108" s="104"/>
      <c r="S108" s="104"/>
      <c r="T108" s="104"/>
      <c r="U108" s="104"/>
      <c r="V108" s="104"/>
      <c r="W108" s="104"/>
      <c r="X108" s="104"/>
      <c r="Y108" s="104"/>
      <c r="Z108" s="104"/>
      <c r="AA108" s="104"/>
      <c r="AB108" s="104"/>
      <c r="AC108" s="104"/>
      <c r="AD108" s="104"/>
      <c r="AE108" s="104"/>
      <c r="AF108" s="104"/>
      <c r="AG108" s="104"/>
      <c r="AH108" s="104"/>
      <c r="AI108" s="104"/>
      <c r="AJ108" s="104"/>
      <c r="AK108" s="104"/>
      <c r="AL108" s="104"/>
      <c r="AM108" s="69"/>
    </row>
    <row r="109" spans="1:42" s="17" customFormat="1" ht="20.100000000000001" customHeight="1">
      <c r="A109" s="38"/>
      <c r="B109" s="35"/>
      <c r="C109" s="38"/>
      <c r="D109" s="38"/>
      <c r="E109" s="32"/>
      <c r="F109" s="32"/>
      <c r="G109" s="32"/>
      <c r="M109" s="101">
        <v>1</v>
      </c>
      <c r="N109" s="17" t="s">
        <v>297</v>
      </c>
      <c r="O109" s="197" t="e">
        <f t="shared" ref="O109:AL109" si="29">+O107-O103+O102</f>
        <v>#REF!</v>
      </c>
      <c r="P109" s="197" t="e">
        <f t="shared" si="29"/>
        <v>#REF!</v>
      </c>
      <c r="Q109" s="102" t="e">
        <f t="shared" si="29"/>
        <v>#REF!</v>
      </c>
      <c r="R109" s="102" t="e">
        <f t="shared" si="29"/>
        <v>#REF!</v>
      </c>
      <c r="S109" s="102" t="e">
        <f t="shared" si="29"/>
        <v>#REF!</v>
      </c>
      <c r="T109" s="102" t="e">
        <f t="shared" si="29"/>
        <v>#REF!</v>
      </c>
      <c r="U109" s="102" t="e">
        <f t="shared" si="29"/>
        <v>#REF!</v>
      </c>
      <c r="V109" s="102" t="e">
        <f t="shared" si="29"/>
        <v>#REF!</v>
      </c>
      <c r="W109" s="102" t="e">
        <f t="shared" si="29"/>
        <v>#REF!</v>
      </c>
      <c r="X109" s="102" t="e">
        <f t="shared" si="29"/>
        <v>#REF!</v>
      </c>
      <c r="Y109" s="102" t="e">
        <f t="shared" si="29"/>
        <v>#REF!</v>
      </c>
      <c r="Z109" s="102" t="e">
        <f t="shared" si="29"/>
        <v>#REF!</v>
      </c>
      <c r="AA109" s="102" t="e">
        <f t="shared" si="29"/>
        <v>#REF!</v>
      </c>
      <c r="AB109" s="102" t="e">
        <f t="shared" si="29"/>
        <v>#REF!</v>
      </c>
      <c r="AC109" s="102" t="e">
        <f t="shared" si="29"/>
        <v>#REF!</v>
      </c>
      <c r="AD109" s="102" t="e">
        <f t="shared" si="29"/>
        <v>#REF!</v>
      </c>
      <c r="AE109" s="102" t="e">
        <f t="shared" si="29"/>
        <v>#REF!</v>
      </c>
      <c r="AF109" s="102" t="e">
        <f t="shared" si="29"/>
        <v>#REF!</v>
      </c>
      <c r="AG109" s="102" t="e">
        <f t="shared" si="29"/>
        <v>#REF!</v>
      </c>
      <c r="AH109" s="102" t="e">
        <f t="shared" si="29"/>
        <v>#REF!</v>
      </c>
      <c r="AI109" s="102" t="e">
        <f t="shared" si="29"/>
        <v>#REF!</v>
      </c>
      <c r="AJ109" s="102" t="e">
        <f t="shared" si="29"/>
        <v>#REF!</v>
      </c>
      <c r="AK109" s="102" t="e">
        <f t="shared" si="29"/>
        <v>#REF!</v>
      </c>
      <c r="AL109" s="102" t="e">
        <f t="shared" si="29"/>
        <v>#REF!</v>
      </c>
      <c r="AM109" s="69"/>
      <c r="AN109" s="105"/>
      <c r="AO109" s="105"/>
    </row>
    <row r="110" spans="1:42" s="17" customFormat="1" ht="20.100000000000001" customHeight="1">
      <c r="A110" s="38"/>
      <c r="B110" s="35"/>
      <c r="C110" s="38"/>
      <c r="D110" s="38"/>
      <c r="E110" s="32"/>
      <c r="F110" s="32"/>
      <c r="G110" s="32"/>
      <c r="M110" s="101">
        <v>2</v>
      </c>
      <c r="N110" s="17" t="s">
        <v>298</v>
      </c>
      <c r="O110" s="114" t="e">
        <f t="shared" ref="O110:AL110" si="30">+O107-O103</f>
        <v>#REF!</v>
      </c>
      <c r="P110" s="114" t="e">
        <f t="shared" si="30"/>
        <v>#REF!</v>
      </c>
      <c r="Q110" s="17" t="e">
        <f t="shared" si="30"/>
        <v>#REF!</v>
      </c>
      <c r="R110" s="17" t="e">
        <f t="shared" si="30"/>
        <v>#REF!</v>
      </c>
      <c r="S110" s="17" t="e">
        <f t="shared" si="30"/>
        <v>#REF!</v>
      </c>
      <c r="T110" s="17" t="e">
        <f t="shared" si="30"/>
        <v>#REF!</v>
      </c>
      <c r="U110" s="17" t="e">
        <f t="shared" si="30"/>
        <v>#REF!</v>
      </c>
      <c r="V110" s="17" t="e">
        <f t="shared" si="30"/>
        <v>#REF!</v>
      </c>
      <c r="W110" s="17" t="e">
        <f t="shared" si="30"/>
        <v>#REF!</v>
      </c>
      <c r="X110" s="17" t="e">
        <f t="shared" si="30"/>
        <v>#REF!</v>
      </c>
      <c r="Y110" s="17" t="e">
        <f t="shared" si="30"/>
        <v>#REF!</v>
      </c>
      <c r="Z110" s="17" t="e">
        <f t="shared" si="30"/>
        <v>#REF!</v>
      </c>
      <c r="AA110" s="17" t="e">
        <f t="shared" si="30"/>
        <v>#REF!</v>
      </c>
      <c r="AB110" s="17" t="e">
        <f t="shared" si="30"/>
        <v>#REF!</v>
      </c>
      <c r="AC110" s="17" t="e">
        <f t="shared" si="30"/>
        <v>#REF!</v>
      </c>
      <c r="AD110" s="17" t="e">
        <f t="shared" si="30"/>
        <v>#REF!</v>
      </c>
      <c r="AE110" s="17" t="e">
        <f t="shared" si="30"/>
        <v>#REF!</v>
      </c>
      <c r="AF110" s="17" t="e">
        <f t="shared" si="30"/>
        <v>#REF!</v>
      </c>
      <c r="AG110" s="17" t="e">
        <f t="shared" si="30"/>
        <v>#REF!</v>
      </c>
      <c r="AH110" s="17" t="e">
        <f t="shared" si="30"/>
        <v>#REF!</v>
      </c>
      <c r="AI110" s="17" t="e">
        <f t="shared" si="30"/>
        <v>#REF!</v>
      </c>
      <c r="AJ110" s="17" t="e">
        <f t="shared" si="30"/>
        <v>#REF!</v>
      </c>
      <c r="AK110" s="17" t="e">
        <f t="shared" si="30"/>
        <v>#REF!</v>
      </c>
      <c r="AL110" s="17" t="e">
        <f t="shared" si="30"/>
        <v>#REF!</v>
      </c>
      <c r="AM110" s="69"/>
      <c r="AN110" s="105"/>
    </row>
    <row r="111" spans="1:42" s="17" customFormat="1" ht="20.100000000000001" customHeight="1">
      <c r="A111" s="38"/>
      <c r="B111" s="35"/>
      <c r="C111" s="38"/>
      <c r="D111" s="38"/>
      <c r="E111" s="32"/>
      <c r="F111" s="32"/>
      <c r="G111" s="32"/>
      <c r="M111" s="27" t="s">
        <v>12</v>
      </c>
      <c r="N111" s="18" t="s">
        <v>738</v>
      </c>
      <c r="O111" s="114"/>
      <c r="P111" s="114"/>
      <c r="AJ111" s="69"/>
      <c r="AK111" s="69"/>
      <c r="AL111" s="69"/>
      <c r="AN111" s="105"/>
    </row>
    <row r="112" spans="1:42" s="17" customFormat="1" ht="20.100000000000001" customHeight="1">
      <c r="A112" s="38"/>
      <c r="B112" s="40"/>
      <c r="C112" s="40"/>
      <c r="D112" s="38"/>
      <c r="E112" s="32"/>
      <c r="F112" s="32"/>
      <c r="G112" s="32"/>
      <c r="M112" s="106">
        <v>1</v>
      </c>
      <c r="N112" s="17" t="s">
        <v>297</v>
      </c>
      <c r="O112" s="114" t="e">
        <f>NPV(M90,O109:AL109)</f>
        <v>#REF!</v>
      </c>
      <c r="P112" s="114"/>
      <c r="AJ112" s="69"/>
      <c r="AK112" s="69"/>
      <c r="AL112" s="69"/>
      <c r="AN112" s="105"/>
    </row>
    <row r="113" spans="1:40" s="17" customFormat="1" ht="20.100000000000001" customHeight="1">
      <c r="A113" s="38"/>
      <c r="B113" s="38"/>
      <c r="C113" s="38"/>
      <c r="D113" s="59"/>
      <c r="E113" s="58"/>
      <c r="F113" s="58"/>
      <c r="G113" s="58"/>
      <c r="M113" s="101">
        <v>2</v>
      </c>
      <c r="N113" s="17" t="s">
        <v>299</v>
      </c>
      <c r="O113" s="114" t="e">
        <f>NPV(M90,O110:AL110)</f>
        <v>#REF!</v>
      </c>
      <c r="P113" s="114"/>
      <c r="AJ113" s="69"/>
      <c r="AK113" s="69"/>
      <c r="AL113" s="69"/>
      <c r="AN113" s="105"/>
    </row>
    <row r="114" spans="1:40" s="17" customFormat="1" ht="20.100000000000001" customHeight="1">
      <c r="A114" s="38"/>
      <c r="B114" s="76"/>
      <c r="C114" s="38"/>
      <c r="D114" s="38"/>
      <c r="E114" s="32"/>
      <c r="F114" s="32"/>
      <c r="G114" s="32"/>
      <c r="M114" s="27" t="s">
        <v>13</v>
      </c>
      <c r="N114" s="18" t="s">
        <v>300</v>
      </c>
      <c r="O114" s="114"/>
      <c r="P114" s="114"/>
      <c r="AJ114" s="69"/>
      <c r="AK114" s="69"/>
      <c r="AL114" s="69"/>
      <c r="AN114" s="105"/>
    </row>
    <row r="115" spans="1:40" s="17" customFormat="1" ht="20.100000000000001" customHeight="1">
      <c r="A115" s="38"/>
      <c r="B115" s="52"/>
      <c r="C115" s="52"/>
      <c r="D115" s="38"/>
      <c r="E115" s="58"/>
      <c r="F115" s="58"/>
      <c r="G115" s="58"/>
      <c r="M115" s="101">
        <v>1</v>
      </c>
      <c r="N115" s="17" t="s">
        <v>297</v>
      </c>
      <c r="O115" s="198" t="e">
        <f>IRR(O109:AL109)</f>
        <v>#VALUE!</v>
      </c>
      <c r="P115" s="114"/>
      <c r="AJ115" s="69"/>
      <c r="AK115" s="69"/>
      <c r="AL115" s="69"/>
      <c r="AN115" s="105"/>
    </row>
    <row r="116" spans="1:40" s="17" customFormat="1" ht="20.100000000000001" customHeight="1">
      <c r="B116" s="32"/>
      <c r="C116" s="52"/>
      <c r="D116" s="38"/>
      <c r="M116" s="41">
        <v>2</v>
      </c>
      <c r="N116" s="17" t="s">
        <v>299</v>
      </c>
      <c r="O116" s="198" t="e">
        <f>IRR(O110:AL110)</f>
        <v>#VALUE!</v>
      </c>
      <c r="P116" s="144"/>
      <c r="AJ116" s="69"/>
      <c r="AK116" s="69"/>
      <c r="AL116" s="69"/>
    </row>
    <row r="117" spans="1:40" s="17" customFormat="1">
      <c r="A117" s="38"/>
      <c r="B117" s="32"/>
      <c r="C117" s="32"/>
      <c r="D117" s="59"/>
      <c r="M117" s="41"/>
      <c r="O117" s="198"/>
      <c r="P117" s="144"/>
    </row>
    <row r="118" spans="1:40" s="17" customFormat="1">
      <c r="B118" s="52"/>
      <c r="C118" s="38"/>
      <c r="D118" s="38"/>
      <c r="N118" s="66"/>
      <c r="O118" s="199"/>
      <c r="P118" s="199"/>
      <c r="Q118" s="107"/>
      <c r="R118" s="107"/>
      <c r="S118" s="107"/>
      <c r="T118" s="107"/>
      <c r="U118" s="107"/>
      <c r="V118" s="107"/>
      <c r="W118" s="107"/>
      <c r="X118" s="107"/>
      <c r="Y118" s="107"/>
      <c r="Z118" s="107"/>
      <c r="AA118" s="107"/>
      <c r="AB118" s="107"/>
      <c r="AC118" s="107"/>
      <c r="AD118" s="107"/>
      <c r="AE118" s="107"/>
      <c r="AF118" s="107"/>
      <c r="AG118" s="107"/>
      <c r="AH118" s="107"/>
      <c r="AI118" s="107"/>
      <c r="AJ118" s="107"/>
      <c r="AK118" s="107"/>
      <c r="AL118" s="107"/>
    </row>
  </sheetData>
  <mergeCells count="63">
    <mergeCell ref="A5:G5"/>
    <mergeCell ref="A6:G6"/>
    <mergeCell ref="A7:G7"/>
    <mergeCell ref="A8:G8"/>
    <mergeCell ref="B10:E10"/>
    <mergeCell ref="H10:J10"/>
    <mergeCell ref="B14:E14"/>
    <mergeCell ref="B11:E11"/>
    <mergeCell ref="H11:J11"/>
    <mergeCell ref="B12:E12"/>
    <mergeCell ref="H12:J12"/>
    <mergeCell ref="B13:E13"/>
    <mergeCell ref="H13:J13"/>
    <mergeCell ref="H14:J14"/>
    <mergeCell ref="H18:J18"/>
    <mergeCell ref="B19:E19"/>
    <mergeCell ref="H19:J19"/>
    <mergeCell ref="B17:E17"/>
    <mergeCell ref="H17:J17"/>
    <mergeCell ref="B15:E15"/>
    <mergeCell ref="H15:J15"/>
    <mergeCell ref="B16:E16"/>
    <mergeCell ref="H16:J16"/>
    <mergeCell ref="B18:E18"/>
    <mergeCell ref="B20:E20"/>
    <mergeCell ref="H20:J20"/>
    <mergeCell ref="B21:E21"/>
    <mergeCell ref="H21:J21"/>
    <mergeCell ref="B22:E22"/>
    <mergeCell ref="H22:J22"/>
    <mergeCell ref="B29:E29"/>
    <mergeCell ref="B23:E23"/>
    <mergeCell ref="H23:J23"/>
    <mergeCell ref="B24:E24"/>
    <mergeCell ref="H24:J24"/>
    <mergeCell ref="B25:E25"/>
    <mergeCell ref="H25:J25"/>
    <mergeCell ref="H30:J30"/>
    <mergeCell ref="B31:E31"/>
    <mergeCell ref="B32:E32"/>
    <mergeCell ref="B33:E33"/>
    <mergeCell ref="B34:E34"/>
    <mergeCell ref="B26:E26"/>
    <mergeCell ref="H26:J26"/>
    <mergeCell ref="B27:E27"/>
    <mergeCell ref="B28:E28"/>
    <mergeCell ref="H28:J28"/>
    <mergeCell ref="B43:E43"/>
    <mergeCell ref="B44:E44"/>
    <mergeCell ref="B30:E30"/>
    <mergeCell ref="B35:E35"/>
    <mergeCell ref="B36:E36"/>
    <mergeCell ref="B37:E37"/>
    <mergeCell ref="B45:E45"/>
    <mergeCell ref="H64:I64"/>
    <mergeCell ref="H78:I78"/>
    <mergeCell ref="A46:E46"/>
    <mergeCell ref="B38:E38"/>
    <mergeCell ref="H38:J38"/>
    <mergeCell ref="B39:E39"/>
    <mergeCell ref="B40:E40"/>
    <mergeCell ref="B41:E41"/>
    <mergeCell ref="B42:E42"/>
  </mergeCells>
  <printOptions horizontalCentered="1" verticalCentered="1"/>
  <pageMargins left="0.11811023622047245" right="0.11811023622047245" top="0.35433070866141736" bottom="0.19685039370078741" header="0.31496062992125984" footer="0.31496062992125984"/>
  <pageSetup paperSize="9" scale="5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BY118"/>
  <sheetViews>
    <sheetView showZeros="0" topLeftCell="A13" workbookViewId="0">
      <selection activeCell="G21" sqref="G21"/>
    </sheetView>
  </sheetViews>
  <sheetFormatPr defaultColWidth="10.1796875" defaultRowHeight="15"/>
  <cols>
    <col min="1" max="1" width="5.54296875" style="42" customWidth="1"/>
    <col min="2" max="4" width="10.1796875" style="42"/>
    <col min="5" max="5" width="8.6328125" style="42" customWidth="1"/>
    <col min="6" max="6" width="12" style="42" customWidth="1"/>
    <col min="7" max="7" width="11.90625" style="42" customWidth="1"/>
    <col min="8" max="8" width="12.54296875" style="42" customWidth="1"/>
    <col min="9" max="9" width="9" style="42" customWidth="1"/>
    <col min="10" max="10" width="8" style="42" customWidth="1"/>
    <col min="11" max="11" width="18.36328125" style="383" customWidth="1"/>
    <col min="12" max="13" width="10.1796875" style="42"/>
    <col min="14" max="14" width="12.453125" style="42" customWidth="1"/>
    <col min="15" max="16384" width="10.1796875" style="42"/>
  </cols>
  <sheetData>
    <row r="4" spans="1:26" ht="15.6">
      <c r="G4" s="43" t="s">
        <v>322</v>
      </c>
      <c r="H4" s="43"/>
      <c r="J4" s="44"/>
      <c r="K4" s="413"/>
    </row>
    <row r="5" spans="1:26" s="219" customFormat="1" ht="21" customHeight="1">
      <c r="A5" s="1692" t="e">
        <f>#REF!</f>
        <v>#REF!</v>
      </c>
      <c r="B5" s="1692"/>
      <c r="C5" s="1692"/>
      <c r="D5" s="1692"/>
      <c r="E5" s="1692"/>
      <c r="F5" s="1692"/>
      <c r="G5" s="1692"/>
      <c r="H5" s="218"/>
      <c r="J5" s="220"/>
      <c r="K5" s="414"/>
    </row>
    <row r="6" spans="1:26" s="219" customFormat="1" ht="21.75" customHeight="1">
      <c r="A6" s="1693" t="e">
        <f>#REF!</f>
        <v>#REF!</v>
      </c>
      <c r="B6" s="1693"/>
      <c r="C6" s="1693"/>
      <c r="D6" s="1693"/>
      <c r="E6" s="1693"/>
      <c r="F6" s="1693"/>
      <c r="G6" s="1693"/>
      <c r="H6" s="218"/>
      <c r="J6" s="262"/>
      <c r="K6" s="415"/>
    </row>
    <row r="7" spans="1:26" s="219" customFormat="1" ht="22.5" customHeight="1">
      <c r="A7" s="1694" t="e">
        <f>#REF!</f>
        <v>#REF!</v>
      </c>
      <c r="B7" s="1694"/>
      <c r="C7" s="1694"/>
      <c r="D7" s="1694"/>
      <c r="E7" s="1694"/>
      <c r="F7" s="1694"/>
      <c r="G7" s="1694"/>
      <c r="H7" s="218"/>
      <c r="J7" s="220"/>
      <c r="K7" s="414"/>
    </row>
    <row r="8" spans="1:26" ht="18" customHeight="1">
      <c r="A8" s="1695" t="s">
        <v>1459</v>
      </c>
      <c r="B8" s="1695"/>
      <c r="C8" s="1695"/>
      <c r="D8" s="1695"/>
      <c r="E8" s="1695"/>
      <c r="F8" s="1695"/>
      <c r="G8" s="1695"/>
      <c r="H8" s="45"/>
    </row>
    <row r="9" spans="1:26" s="150" customFormat="1" ht="18" customHeight="1">
      <c r="B9" s="145"/>
      <c r="C9" s="145"/>
      <c r="D9" s="145"/>
      <c r="E9" s="145"/>
      <c r="F9" s="145"/>
      <c r="G9" s="182" t="e">
        <f>#REF!</f>
        <v>#REF!</v>
      </c>
      <c r="H9" s="145"/>
      <c r="K9" s="210"/>
    </row>
    <row r="10" spans="1:26" s="150" customFormat="1" ht="21" customHeight="1">
      <c r="A10" s="141" t="s">
        <v>9</v>
      </c>
      <c r="B10" s="1696" t="s">
        <v>223</v>
      </c>
      <c r="C10" s="1697"/>
      <c r="D10" s="1697"/>
      <c r="E10" s="1698"/>
      <c r="F10" s="141" t="s">
        <v>2</v>
      </c>
      <c r="G10" s="209" t="s">
        <v>584</v>
      </c>
      <c r="H10" s="1699" t="s">
        <v>603</v>
      </c>
      <c r="I10" s="1699"/>
      <c r="J10" s="1699"/>
      <c r="K10" s="410"/>
      <c r="L10" s="152"/>
      <c r="N10" s="151"/>
      <c r="O10" s="152"/>
      <c r="R10" s="152"/>
      <c r="U10" s="136"/>
      <c r="V10" s="136"/>
      <c r="W10" s="136"/>
      <c r="X10" s="392"/>
      <c r="Y10" s="136"/>
      <c r="Z10" s="136"/>
    </row>
    <row r="11" spans="1:26" ht="39.75" customHeight="1">
      <c r="A11" s="135">
        <v>1</v>
      </c>
      <c r="B11" s="1686" t="s">
        <v>592</v>
      </c>
      <c r="C11" s="1687"/>
      <c r="D11" s="1687"/>
      <c r="E11" s="1688"/>
      <c r="F11" s="135" t="s">
        <v>4</v>
      </c>
      <c r="G11" s="471">
        <f>F51</f>
        <v>670000</v>
      </c>
      <c r="H11" s="1670" t="s">
        <v>1463</v>
      </c>
      <c r="I11" s="1671"/>
      <c r="J11" s="1672"/>
      <c r="K11" s="391"/>
      <c r="L11" s="47"/>
      <c r="N11" s="46"/>
      <c r="O11" s="47"/>
      <c r="R11" s="47"/>
      <c r="U11" s="493"/>
      <c r="V11" s="493"/>
      <c r="W11" s="493"/>
      <c r="X11" s="703"/>
      <c r="Y11" s="493"/>
      <c r="Z11" s="493"/>
    </row>
    <row r="12" spans="1:26" ht="52.5" customHeight="1">
      <c r="A12" s="135">
        <f>A11+1</f>
        <v>2</v>
      </c>
      <c r="B12" s="1686" t="s">
        <v>751</v>
      </c>
      <c r="C12" s="1687"/>
      <c r="D12" s="1687"/>
      <c r="E12" s="1688"/>
      <c r="F12" s="135" t="s">
        <v>229</v>
      </c>
      <c r="G12" s="631">
        <f>'Coal &amp; Coke Data'!C18</f>
        <v>28023.843930635838</v>
      </c>
      <c r="H12" s="1670" t="s">
        <v>1461</v>
      </c>
      <c r="I12" s="1671"/>
      <c r="J12" s="1672"/>
      <c r="K12" s="108"/>
      <c r="L12" s="47"/>
      <c r="N12" s="46"/>
      <c r="P12" s="47"/>
      <c r="Q12" s="47"/>
      <c r="R12" s="47"/>
      <c r="U12" s="493"/>
      <c r="V12" s="493"/>
      <c r="W12" s="493"/>
      <c r="X12" s="493"/>
      <c r="Y12" s="493"/>
      <c r="Z12" s="493"/>
    </row>
    <row r="13" spans="1:26" ht="70.5" customHeight="1">
      <c r="A13" s="135">
        <f t="shared" ref="A13:A30" si="0">A12+1</f>
        <v>3</v>
      </c>
      <c r="B13" s="1686" t="s">
        <v>585</v>
      </c>
      <c r="C13" s="1687"/>
      <c r="D13" s="1687"/>
      <c r="E13" s="1688"/>
      <c r="F13" s="135" t="s">
        <v>229</v>
      </c>
      <c r="G13" s="471">
        <f>G12*70/67</f>
        <v>29278.642912604606</v>
      </c>
      <c r="H13" s="1691" t="s">
        <v>1464</v>
      </c>
      <c r="I13" s="1691"/>
      <c r="J13" s="1691"/>
      <c r="K13" s="108"/>
      <c r="L13" s="47"/>
      <c r="N13" s="46"/>
      <c r="P13" s="47"/>
      <c r="Q13" s="47"/>
      <c r="R13" s="47"/>
      <c r="U13" s="493"/>
      <c r="V13" s="493"/>
      <c r="W13" s="493"/>
      <c r="X13" s="493"/>
      <c r="Y13" s="493"/>
      <c r="Z13" s="493"/>
    </row>
    <row r="14" spans="1:26" ht="39" customHeight="1">
      <c r="A14" s="135">
        <f t="shared" si="0"/>
        <v>4</v>
      </c>
      <c r="B14" s="1686" t="s">
        <v>593</v>
      </c>
      <c r="C14" s="1687"/>
      <c r="D14" s="1687"/>
      <c r="E14" s="1688"/>
      <c r="F14" s="135" t="s">
        <v>4</v>
      </c>
      <c r="G14" s="471">
        <f>F49*1.02</f>
        <v>1020000</v>
      </c>
      <c r="H14" s="1689"/>
      <c r="I14" s="1689"/>
      <c r="J14" s="1689"/>
      <c r="K14" s="416"/>
      <c r="L14" s="701"/>
      <c r="M14" s="701"/>
      <c r="N14" s="701"/>
      <c r="O14" s="701"/>
      <c r="P14" s="701"/>
      <c r="Q14" s="701"/>
      <c r="R14" s="701"/>
      <c r="S14" s="701"/>
      <c r="T14" s="701"/>
      <c r="U14" s="699"/>
      <c r="V14" s="699"/>
      <c r="W14" s="699"/>
      <c r="X14" s="699"/>
      <c r="Y14" s="493"/>
      <c r="Z14" s="493"/>
    </row>
    <row r="15" spans="1:26" ht="42.75" customHeight="1">
      <c r="A15" s="135">
        <f t="shared" si="0"/>
        <v>5</v>
      </c>
      <c r="B15" s="1670" t="s">
        <v>1462</v>
      </c>
      <c r="C15" s="1671"/>
      <c r="D15" s="1671"/>
      <c r="E15" s="1672"/>
      <c r="F15" s="406" t="s">
        <v>586</v>
      </c>
      <c r="G15" s="631">
        <f>'Coal &amp; Coke Data'!E15</f>
        <v>12881.670425123621</v>
      </c>
      <c r="H15" s="1670" t="s">
        <v>1465</v>
      </c>
      <c r="I15" s="1671"/>
      <c r="J15" s="1672"/>
      <c r="K15" s="108"/>
      <c r="L15" s="702"/>
      <c r="M15" s="702"/>
      <c r="N15" s="702"/>
      <c r="O15" s="702"/>
      <c r="P15" s="702"/>
      <c r="Q15" s="702"/>
      <c r="R15" s="702"/>
      <c r="S15" s="702"/>
      <c r="T15" s="702"/>
      <c r="U15" s="700"/>
      <c r="V15" s="700"/>
      <c r="W15" s="700"/>
      <c r="X15" s="700"/>
      <c r="Y15" s="493"/>
      <c r="Z15" s="493"/>
    </row>
    <row r="16" spans="1:26" ht="42" customHeight="1">
      <c r="A16" s="135">
        <f t="shared" si="0"/>
        <v>6</v>
      </c>
      <c r="B16" s="1680" t="s">
        <v>587</v>
      </c>
      <c r="C16" s="1681"/>
      <c r="D16" s="1681"/>
      <c r="E16" s="1682"/>
      <c r="F16" s="406" t="s">
        <v>589</v>
      </c>
      <c r="G16" s="471">
        <f>G14*G15/G11</f>
        <v>19610.90124421805</v>
      </c>
      <c r="H16" s="1689"/>
      <c r="I16" s="1689"/>
      <c r="J16" s="1689"/>
      <c r="K16" s="417"/>
      <c r="L16" s="702"/>
      <c r="M16" s="702"/>
      <c r="N16" s="702"/>
      <c r="O16" s="702"/>
      <c r="P16" s="702"/>
      <c r="Q16" s="702"/>
      <c r="R16" s="702"/>
      <c r="S16" s="702"/>
      <c r="T16" s="702"/>
      <c r="U16" s="700"/>
      <c r="V16" s="700"/>
      <c r="W16" s="700"/>
      <c r="X16" s="700"/>
      <c r="Y16" s="700"/>
      <c r="Z16" s="493"/>
    </row>
    <row r="17" spans="1:18" ht="66.75" customHeight="1">
      <c r="A17" s="135">
        <f t="shared" si="0"/>
        <v>7</v>
      </c>
      <c r="B17" s="1686" t="s">
        <v>928</v>
      </c>
      <c r="C17" s="1687"/>
      <c r="D17" s="1687"/>
      <c r="E17" s="1688"/>
      <c r="F17" s="406" t="str">
        <f>F16</f>
        <v>Rs/t of BF coke</v>
      </c>
      <c r="G17" s="533">
        <f>((272.76+2439.67+528.23)*1731603/1446351+138.92+29.4+284.23)*0+'TE Tall 5'!D22+5*G26*G14/G11</f>
        <v>3217.2104477611938</v>
      </c>
      <c r="H17" s="1691" t="s">
        <v>1466</v>
      </c>
      <c r="I17" s="1691"/>
      <c r="J17" s="1691"/>
      <c r="K17" s="418"/>
      <c r="L17" s="47"/>
      <c r="N17" s="46"/>
      <c r="P17" s="47"/>
      <c r="Q17" s="47"/>
      <c r="R17" s="47"/>
    </row>
    <row r="18" spans="1:18" ht="34.5" customHeight="1">
      <c r="A18" s="135">
        <f t="shared" si="0"/>
        <v>8</v>
      </c>
      <c r="B18" s="1686" t="s">
        <v>929</v>
      </c>
      <c r="C18" s="1687"/>
      <c r="D18" s="1687"/>
      <c r="E18" s="1688"/>
      <c r="F18" s="406" t="s">
        <v>589</v>
      </c>
      <c r="G18" s="472">
        <f>(G16+G17)</f>
        <v>22828.111691979244</v>
      </c>
      <c r="H18" s="1691"/>
      <c r="I18" s="1691"/>
      <c r="J18" s="1691"/>
      <c r="K18" s="108"/>
    </row>
    <row r="19" spans="1:18" ht="45.75" customHeight="1">
      <c r="A19" s="135">
        <f>A18+1</f>
        <v>9</v>
      </c>
      <c r="B19" s="1686" t="s">
        <v>772</v>
      </c>
      <c r="C19" s="1687"/>
      <c r="D19" s="1687"/>
      <c r="E19" s="1688"/>
      <c r="F19" s="406" t="s">
        <v>589</v>
      </c>
      <c r="G19" s="532">
        <f>(652.05+137.98+309.29)</f>
        <v>1099.32</v>
      </c>
      <c r="H19" s="1691" t="str">
        <f>H17</f>
        <v>As per RSP Std cost sheet 2021-22</v>
      </c>
      <c r="I19" s="1691"/>
      <c r="J19" s="1691"/>
      <c r="K19" s="710"/>
    </row>
    <row r="20" spans="1:18" ht="43.5" customHeight="1">
      <c r="A20" s="135">
        <f t="shared" si="0"/>
        <v>10</v>
      </c>
      <c r="B20" s="1686" t="s">
        <v>590</v>
      </c>
      <c r="C20" s="1687"/>
      <c r="D20" s="1687"/>
      <c r="E20" s="1688"/>
      <c r="F20" s="406" t="s">
        <v>589</v>
      </c>
      <c r="G20" s="472">
        <f>G18+G19</f>
        <v>23927.431691979244</v>
      </c>
      <c r="H20" s="1691" t="s">
        <v>596</v>
      </c>
      <c r="I20" s="1691"/>
      <c r="J20" s="1691"/>
      <c r="K20" s="710"/>
    </row>
    <row r="21" spans="1:18" ht="43.5" customHeight="1">
      <c r="A21" s="135">
        <f t="shared" si="0"/>
        <v>11</v>
      </c>
      <c r="B21" s="1686" t="s">
        <v>595</v>
      </c>
      <c r="C21" s="1687"/>
      <c r="D21" s="1687"/>
      <c r="E21" s="1688"/>
      <c r="F21" s="406" t="s">
        <v>591</v>
      </c>
      <c r="G21" s="472">
        <f>320*F49</f>
        <v>320000000</v>
      </c>
      <c r="H21" s="1689"/>
      <c r="I21" s="1689"/>
      <c r="J21" s="1689"/>
      <c r="K21" s="710"/>
      <c r="L21" s="47"/>
      <c r="N21" s="46"/>
      <c r="P21" s="47"/>
      <c r="Q21" s="47"/>
      <c r="R21" s="47"/>
    </row>
    <row r="22" spans="1:18" ht="39" customHeight="1">
      <c r="A22" s="135">
        <f>A21+1</f>
        <v>12</v>
      </c>
      <c r="B22" s="1686" t="s">
        <v>597</v>
      </c>
      <c r="C22" s="1687"/>
      <c r="D22" s="1687"/>
      <c r="E22" s="1688"/>
      <c r="F22" s="135" t="s">
        <v>598</v>
      </c>
      <c r="G22" s="532">
        <v>1338</v>
      </c>
      <c r="H22" s="1670" t="str">
        <f>H19</f>
        <v>As per RSP Std cost sheet 2021-22</v>
      </c>
      <c r="I22" s="1671"/>
      <c r="J22" s="1672"/>
      <c r="K22" s="716"/>
      <c r="L22" s="47"/>
      <c r="N22" s="46"/>
      <c r="P22" s="47"/>
      <c r="Q22" s="47"/>
      <c r="R22" s="47"/>
    </row>
    <row r="23" spans="1:18" ht="32.25" customHeight="1">
      <c r="A23" s="135">
        <f t="shared" si="0"/>
        <v>13</v>
      </c>
      <c r="B23" s="1686" t="s">
        <v>594</v>
      </c>
      <c r="C23" s="1687"/>
      <c r="D23" s="1687"/>
      <c r="E23" s="1688"/>
      <c r="F23" s="406" t="s">
        <v>4</v>
      </c>
      <c r="G23" s="472">
        <f>F55</f>
        <v>32000</v>
      </c>
      <c r="H23" s="1689"/>
      <c r="I23" s="1689"/>
      <c r="J23" s="1689"/>
      <c r="K23" s="391"/>
      <c r="L23" s="47"/>
      <c r="N23" s="46"/>
      <c r="P23" s="47"/>
      <c r="Q23" s="47"/>
      <c r="R23" s="47"/>
    </row>
    <row r="24" spans="1:18" ht="39" customHeight="1">
      <c r="A24" s="135">
        <f t="shared" si="0"/>
        <v>14</v>
      </c>
      <c r="B24" s="1686" t="s">
        <v>599</v>
      </c>
      <c r="C24" s="1687"/>
      <c r="D24" s="1687"/>
      <c r="E24" s="1688"/>
      <c r="F24" s="135" t="s">
        <v>598</v>
      </c>
      <c r="G24" s="532">
        <f>G22</f>
        <v>1338</v>
      </c>
      <c r="H24" s="1670" t="str">
        <f>H22</f>
        <v>As per RSP Std cost sheet 2021-22</v>
      </c>
      <c r="I24" s="1671"/>
      <c r="J24" s="1672"/>
      <c r="K24" s="711"/>
      <c r="L24" s="47"/>
      <c r="N24" s="46"/>
      <c r="P24" s="47"/>
      <c r="Q24" s="47"/>
      <c r="R24" s="47"/>
    </row>
    <row r="25" spans="1:18" ht="35.25" customHeight="1">
      <c r="A25" s="135">
        <f t="shared" si="0"/>
        <v>15</v>
      </c>
      <c r="B25" s="1670" t="s">
        <v>773</v>
      </c>
      <c r="C25" s="1671"/>
      <c r="D25" s="1671"/>
      <c r="E25" s="1672"/>
      <c r="F25" s="135" t="s">
        <v>600</v>
      </c>
      <c r="G25" s="471">
        <f>5*10^3*24*345</f>
        <v>41400000</v>
      </c>
      <c r="H25" s="1690"/>
      <c r="I25" s="1690"/>
      <c r="J25" s="1690"/>
      <c r="K25" s="412"/>
      <c r="L25" s="47"/>
      <c r="N25" s="46"/>
      <c r="P25" s="47"/>
      <c r="Q25" s="47"/>
      <c r="R25" s="47"/>
    </row>
    <row r="26" spans="1:18" ht="44.25" customHeight="1">
      <c r="A26" s="135">
        <f t="shared" si="0"/>
        <v>16</v>
      </c>
      <c r="B26" s="1680" t="s">
        <v>752</v>
      </c>
      <c r="C26" s="1681"/>
      <c r="D26" s="1681"/>
      <c r="E26" s="1682"/>
      <c r="F26" s="135" t="s">
        <v>339</v>
      </c>
      <c r="G26" s="1212">
        <v>6.6369999999999996</v>
      </c>
      <c r="H26" s="1670" t="str">
        <f>H24</f>
        <v>As per RSP Std cost sheet 2021-22</v>
      </c>
      <c r="I26" s="1671"/>
      <c r="J26" s="1672"/>
      <c r="K26" s="711"/>
      <c r="L26" s="47"/>
      <c r="N26" s="46"/>
      <c r="P26" s="47"/>
      <c r="Q26" s="47"/>
      <c r="R26" s="47"/>
    </row>
    <row r="27" spans="1:18" ht="33.75" customHeight="1">
      <c r="A27" s="135">
        <f t="shared" si="0"/>
        <v>17</v>
      </c>
      <c r="B27" s="1670" t="s">
        <v>770</v>
      </c>
      <c r="C27" s="1671"/>
      <c r="D27" s="1671"/>
      <c r="E27" s="1672"/>
      <c r="F27" s="406" t="s">
        <v>4</v>
      </c>
      <c r="G27" s="472">
        <f>52*24*345</f>
        <v>430560</v>
      </c>
      <c r="H27" s="108"/>
      <c r="I27" s="180"/>
      <c r="J27" s="180"/>
      <c r="K27" s="180"/>
      <c r="L27" s="47"/>
      <c r="N27" s="46"/>
      <c r="P27" s="47"/>
      <c r="Q27" s="47"/>
      <c r="R27" s="47"/>
    </row>
    <row r="28" spans="1:18" ht="41.4" customHeight="1">
      <c r="A28" s="135">
        <f t="shared" si="0"/>
        <v>18</v>
      </c>
      <c r="B28" s="1680" t="s">
        <v>897</v>
      </c>
      <c r="C28" s="1681"/>
      <c r="D28" s="1681"/>
      <c r="E28" s="1682"/>
      <c r="F28" s="135" t="s">
        <v>229</v>
      </c>
      <c r="G28" s="532">
        <v>1218</v>
      </c>
      <c r="H28" s="1670" t="str">
        <f>H26</f>
        <v>As per RSP Std cost sheet 2021-22</v>
      </c>
      <c r="I28" s="1671"/>
      <c r="J28" s="1672"/>
      <c r="K28" s="712"/>
      <c r="L28" s="47"/>
      <c r="N28" s="46"/>
      <c r="P28" s="47"/>
      <c r="Q28" s="47"/>
      <c r="R28" s="47"/>
    </row>
    <row r="29" spans="1:18" s="210" customFormat="1" ht="22.5" customHeight="1">
      <c r="A29" s="135">
        <f>A28+1</f>
        <v>19</v>
      </c>
      <c r="B29" s="1670" t="s">
        <v>774</v>
      </c>
      <c r="C29" s="1671"/>
      <c r="D29" s="1671"/>
      <c r="E29" s="1672"/>
      <c r="F29" s="5" t="s">
        <v>4</v>
      </c>
      <c r="G29" s="471">
        <f>F52</f>
        <v>90000</v>
      </c>
      <c r="H29" s="214"/>
      <c r="I29" s="208"/>
      <c r="J29" s="208"/>
      <c r="K29" s="208"/>
      <c r="L29" s="212"/>
      <c r="N29" s="211"/>
      <c r="P29" s="212"/>
      <c r="Q29" s="212"/>
      <c r="R29" s="212"/>
    </row>
    <row r="30" spans="1:18" s="210" customFormat="1" ht="49.5" customHeight="1">
      <c r="A30" s="135">
        <f t="shared" si="0"/>
        <v>20</v>
      </c>
      <c r="B30" s="1670" t="s">
        <v>775</v>
      </c>
      <c r="C30" s="1671"/>
      <c r="D30" s="1671"/>
      <c r="E30" s="1672"/>
      <c r="F30" s="5" t="s">
        <v>229</v>
      </c>
      <c r="G30" s="631">
        <v>11488</v>
      </c>
      <c r="H30" s="1670" t="s">
        <v>1467</v>
      </c>
      <c r="I30" s="1671"/>
      <c r="J30" s="1672"/>
      <c r="K30" s="712" t="s">
        <v>912</v>
      </c>
      <c r="L30" s="212"/>
      <c r="N30" s="211"/>
      <c r="P30" s="212"/>
      <c r="Q30" s="212"/>
      <c r="R30" s="212"/>
    </row>
    <row r="31" spans="1:18" s="210" customFormat="1" ht="36" hidden="1" customHeight="1">
      <c r="A31" s="5"/>
      <c r="B31" s="1683" t="s">
        <v>601</v>
      </c>
      <c r="C31" s="1684"/>
      <c r="D31" s="1684"/>
      <c r="E31" s="1685"/>
      <c r="F31" s="15" t="s">
        <v>4</v>
      </c>
      <c r="G31" s="708">
        <f>41004*0</f>
        <v>0</v>
      </c>
      <c r="H31" s="214"/>
      <c r="I31" s="208"/>
      <c r="J31" s="208"/>
      <c r="K31" s="208"/>
      <c r="L31" s="212"/>
      <c r="N31" s="211"/>
      <c r="P31" s="212"/>
      <c r="Q31" s="212"/>
      <c r="R31" s="212"/>
    </row>
    <row r="32" spans="1:18" s="210" customFormat="1" ht="36" hidden="1" customHeight="1">
      <c r="A32" s="5"/>
      <c r="B32" s="1683" t="s">
        <v>602</v>
      </c>
      <c r="C32" s="1684"/>
      <c r="D32" s="1684"/>
      <c r="E32" s="1685"/>
      <c r="F32" s="15" t="s">
        <v>4</v>
      </c>
      <c r="G32" s="708">
        <f>18451*0</f>
        <v>0</v>
      </c>
      <c r="H32" s="214"/>
      <c r="I32" s="208"/>
      <c r="J32" s="208"/>
      <c r="K32" s="208"/>
      <c r="L32" s="212"/>
      <c r="N32" s="211"/>
      <c r="P32" s="212"/>
      <c r="Q32" s="212"/>
      <c r="R32" s="212"/>
    </row>
    <row r="33" spans="1:18" s="150" customFormat="1" ht="21.75" customHeight="1">
      <c r="A33" s="141" t="s">
        <v>10</v>
      </c>
      <c r="B33" s="1674" t="s">
        <v>340</v>
      </c>
      <c r="C33" s="1675"/>
      <c r="D33" s="1675"/>
      <c r="E33" s="1676"/>
      <c r="F33" s="149"/>
      <c r="G33" s="147"/>
      <c r="H33" s="473"/>
      <c r="I33" s="210"/>
      <c r="J33" s="210"/>
      <c r="K33" s="210"/>
      <c r="L33" s="152"/>
      <c r="N33" s="151"/>
      <c r="P33" s="152"/>
      <c r="Q33" s="152"/>
      <c r="R33" s="152"/>
    </row>
    <row r="34" spans="1:18" ht="36" customHeight="1">
      <c r="A34" s="135">
        <v>1</v>
      </c>
      <c r="B34" s="1686" t="s">
        <v>331</v>
      </c>
      <c r="C34" s="1687"/>
      <c r="D34" s="1687"/>
      <c r="E34" s="1688"/>
      <c r="F34" s="135" t="s">
        <v>272</v>
      </c>
      <c r="G34" s="174">
        <f>G11*G13/10^7</f>
        <v>1961.6690751445087</v>
      </c>
      <c r="H34" s="474"/>
      <c r="I34" s="383"/>
      <c r="J34" s="383"/>
      <c r="L34" s="47"/>
      <c r="N34" s="46"/>
      <c r="P34" s="47"/>
      <c r="Q34" s="47"/>
      <c r="R34" s="47"/>
    </row>
    <row r="35" spans="1:18" s="150" customFormat="1" ht="35.25" customHeight="1">
      <c r="A35" s="135">
        <v>2</v>
      </c>
      <c r="B35" s="1670" t="s">
        <v>344</v>
      </c>
      <c r="C35" s="1671"/>
      <c r="D35" s="1671"/>
      <c r="E35" s="1672"/>
      <c r="F35" s="5" t="s">
        <v>226</v>
      </c>
      <c r="G35" s="174">
        <f>G25*G26/10^7</f>
        <v>27.477180000000001</v>
      </c>
      <c r="H35" s="475"/>
      <c r="I35" s="210"/>
      <c r="J35" s="210"/>
      <c r="K35" s="210"/>
      <c r="L35" s="152"/>
      <c r="N35" s="151"/>
      <c r="P35" s="152"/>
      <c r="Q35" s="152"/>
      <c r="R35" s="152"/>
    </row>
    <row r="36" spans="1:18" s="150" customFormat="1" ht="35.25" customHeight="1">
      <c r="A36" s="135">
        <v>3</v>
      </c>
      <c r="B36" s="1670" t="s">
        <v>900</v>
      </c>
      <c r="C36" s="1671"/>
      <c r="D36" s="1671"/>
      <c r="E36" s="1672"/>
      <c r="F36" s="5" t="s">
        <v>226</v>
      </c>
      <c r="G36" s="174">
        <f>G27*G28/10^7</f>
        <v>52.442208000000001</v>
      </c>
      <c r="H36" s="475"/>
      <c r="I36" s="210"/>
      <c r="J36" s="210"/>
      <c r="K36" s="210"/>
      <c r="L36" s="152"/>
      <c r="N36" s="151"/>
      <c r="P36" s="152"/>
      <c r="Q36" s="152"/>
      <c r="R36" s="152"/>
    </row>
    <row r="37" spans="1:18" s="150" customFormat="1" ht="33" customHeight="1">
      <c r="A37" s="135">
        <v>4</v>
      </c>
      <c r="B37" s="1670" t="s">
        <v>683</v>
      </c>
      <c r="C37" s="1671"/>
      <c r="D37" s="1671"/>
      <c r="E37" s="1672"/>
      <c r="F37" s="5" t="s">
        <v>226</v>
      </c>
      <c r="G37" s="174">
        <f>G29*G30/10^7</f>
        <v>103.392</v>
      </c>
      <c r="H37" s="216"/>
      <c r="I37" s="217"/>
      <c r="J37" s="217"/>
      <c r="K37" s="217"/>
      <c r="L37" s="152"/>
      <c r="N37" s="151"/>
      <c r="P37" s="152"/>
      <c r="Q37" s="152"/>
      <c r="R37" s="152"/>
    </row>
    <row r="38" spans="1:18" s="210" customFormat="1" ht="67.5" customHeight="1">
      <c r="A38" s="5">
        <v>5</v>
      </c>
      <c r="B38" s="1670" t="s">
        <v>342</v>
      </c>
      <c r="C38" s="1671"/>
      <c r="D38" s="1671"/>
      <c r="E38" s="1672"/>
      <c r="F38" s="5" t="s">
        <v>226</v>
      </c>
      <c r="G38" s="174">
        <f>'Incr TE'!C13</f>
        <v>31.464852141176468</v>
      </c>
      <c r="H38" s="1673"/>
      <c r="I38" s="1673"/>
      <c r="J38" s="1673"/>
      <c r="K38" s="389"/>
      <c r="L38" s="212"/>
      <c r="N38" s="211"/>
      <c r="P38" s="212"/>
      <c r="Q38" s="212"/>
      <c r="R38" s="212"/>
    </row>
    <row r="39" spans="1:18" s="210" customFormat="1" ht="52.5" customHeight="1">
      <c r="A39" s="5">
        <v>6</v>
      </c>
      <c r="B39" s="1670" t="s">
        <v>343</v>
      </c>
      <c r="C39" s="1671"/>
      <c r="D39" s="1671"/>
      <c r="E39" s="1672"/>
      <c r="F39" s="5" t="s">
        <v>226</v>
      </c>
      <c r="G39" s="174">
        <f>'Incr TE'!C12</f>
        <v>21.879854999999999</v>
      </c>
      <c r="H39" s="475"/>
      <c r="L39" s="212"/>
      <c r="N39" s="211"/>
      <c r="P39" s="212"/>
      <c r="Q39" s="212"/>
      <c r="R39" s="212"/>
    </row>
    <row r="40" spans="1:18" ht="18" customHeight="1">
      <c r="A40" s="135"/>
      <c r="B40" s="1674" t="s">
        <v>327</v>
      </c>
      <c r="C40" s="1675"/>
      <c r="D40" s="1675"/>
      <c r="E40" s="1676"/>
      <c r="F40" s="141" t="s">
        <v>226</v>
      </c>
      <c r="G40" s="591">
        <f>SUM(G34:G39)</f>
        <v>2198.3251702856851</v>
      </c>
      <c r="H40" s="474"/>
      <c r="I40" s="383"/>
      <c r="J40" s="383"/>
      <c r="L40" s="47"/>
      <c r="N40" s="46"/>
      <c r="P40" s="47"/>
      <c r="Q40" s="47"/>
      <c r="R40" s="47"/>
    </row>
    <row r="41" spans="1:18" ht="15.6">
      <c r="A41" s="142" t="s">
        <v>11</v>
      </c>
      <c r="B41" s="1677" t="s">
        <v>328</v>
      </c>
      <c r="C41" s="1678"/>
      <c r="D41" s="1678"/>
      <c r="E41" s="1679"/>
      <c r="F41" s="48"/>
      <c r="G41" s="289"/>
      <c r="H41" s="474"/>
      <c r="I41" s="383"/>
      <c r="J41" s="383"/>
      <c r="L41" s="47"/>
      <c r="N41" s="46"/>
      <c r="P41" s="47"/>
      <c r="Q41" s="47"/>
      <c r="R41" s="47"/>
    </row>
    <row r="42" spans="1:18" s="150" customFormat="1" ht="33" customHeight="1">
      <c r="A42" s="135">
        <v>1</v>
      </c>
      <c r="B42" s="1670" t="s">
        <v>607</v>
      </c>
      <c r="C42" s="1671"/>
      <c r="D42" s="1671"/>
      <c r="E42" s="1672"/>
      <c r="F42" s="135" t="s">
        <v>226</v>
      </c>
      <c r="G42" s="592">
        <f>G11*G20/10^7</f>
        <v>1603.1379233626094</v>
      </c>
      <c r="H42" s="108"/>
      <c r="I42" s="208"/>
      <c r="J42" s="208"/>
      <c r="K42" s="208"/>
      <c r="L42" s="152"/>
      <c r="N42" s="151"/>
      <c r="P42" s="152"/>
      <c r="Q42" s="152"/>
      <c r="R42" s="152"/>
    </row>
    <row r="43" spans="1:18" s="150" customFormat="1" ht="25.5" customHeight="1">
      <c r="A43" s="135">
        <v>2</v>
      </c>
      <c r="B43" s="1680" t="s">
        <v>597</v>
      </c>
      <c r="C43" s="1681"/>
      <c r="D43" s="1681"/>
      <c r="E43" s="1682"/>
      <c r="F43" s="135" t="s">
        <v>226</v>
      </c>
      <c r="G43" s="174">
        <f>-G21*F53/10^6*G22/10^7</f>
        <v>-179.8272</v>
      </c>
      <c r="H43" s="108"/>
      <c r="I43" s="208"/>
      <c r="J43" s="208"/>
      <c r="K43" s="208"/>
      <c r="L43" s="152"/>
      <c r="N43" s="151"/>
      <c r="P43" s="152"/>
      <c r="Q43" s="152"/>
      <c r="R43" s="152"/>
    </row>
    <row r="44" spans="1:18" s="150" customFormat="1" ht="25.5" customHeight="1">
      <c r="A44" s="135">
        <v>3</v>
      </c>
      <c r="B44" s="1680" t="s">
        <v>606</v>
      </c>
      <c r="C44" s="1681"/>
      <c r="D44" s="1681"/>
      <c r="E44" s="1682"/>
      <c r="F44" s="135" t="s">
        <v>226</v>
      </c>
      <c r="G44" s="174">
        <f>-G23*F54*G24/10^7</f>
        <v>-36.821759999999998</v>
      </c>
      <c r="H44" s="108"/>
      <c r="I44" s="208"/>
      <c r="J44" s="208"/>
      <c r="K44" s="208"/>
      <c r="L44" s="152"/>
      <c r="N44" s="151"/>
      <c r="P44" s="152"/>
      <c r="Q44" s="152"/>
      <c r="R44" s="152"/>
    </row>
    <row r="45" spans="1:18" ht="24.75" customHeight="1">
      <c r="A45" s="135"/>
      <c r="B45" s="1662" t="s">
        <v>341</v>
      </c>
      <c r="C45" s="1663"/>
      <c r="D45" s="1663"/>
      <c r="E45" s="1664"/>
      <c r="F45" s="141" t="s">
        <v>226</v>
      </c>
      <c r="G45" s="714">
        <f>SUM(G42:G44)</f>
        <v>1386.4889633626094</v>
      </c>
      <c r="H45" s="715">
        <f>G45*10^7/G11</f>
        <v>20693.865124815067</v>
      </c>
      <c r="I45" s="173" t="s">
        <v>740</v>
      </c>
      <c r="J45" s="383"/>
      <c r="L45" s="47"/>
      <c r="N45" s="46"/>
      <c r="P45" s="47"/>
      <c r="Q45" s="47"/>
      <c r="R45" s="47"/>
    </row>
    <row r="46" spans="1:18" ht="22.5" customHeight="1">
      <c r="A46" s="1667" t="s">
        <v>608</v>
      </c>
      <c r="B46" s="1668"/>
      <c r="C46" s="1668"/>
      <c r="D46" s="1668"/>
      <c r="E46" s="1669"/>
      <c r="F46" s="143" t="s">
        <v>226</v>
      </c>
      <c r="G46" s="713">
        <f>G40-G45</f>
        <v>811.83620692307568</v>
      </c>
      <c r="H46" s="477"/>
      <c r="I46" s="383"/>
      <c r="J46" s="419"/>
      <c r="K46" s="419"/>
      <c r="L46" s="47"/>
      <c r="N46" s="46"/>
      <c r="P46" s="47"/>
      <c r="Q46" s="47"/>
      <c r="R46" s="47"/>
    </row>
    <row r="47" spans="1:18">
      <c r="B47" s="112"/>
      <c r="C47" s="112"/>
      <c r="D47" s="112"/>
      <c r="E47" s="112"/>
      <c r="H47" s="45"/>
      <c r="I47" s="49"/>
      <c r="J47" s="47"/>
      <c r="K47" s="419"/>
      <c r="L47" s="47"/>
      <c r="N47" s="46"/>
      <c r="P47" s="47"/>
      <c r="Q47" s="47"/>
      <c r="R47" s="47"/>
    </row>
    <row r="49" spans="1:77" s="150" customFormat="1">
      <c r="B49" s="145" t="s">
        <v>588</v>
      </c>
      <c r="F49" s="150">
        <f>1*10^6</f>
        <v>1000000</v>
      </c>
      <c r="G49" s="184"/>
      <c r="H49" s="145"/>
      <c r="I49" s="161"/>
      <c r="J49" s="161"/>
      <c r="K49" s="210"/>
    </row>
    <row r="50" spans="1:77">
      <c r="B50" s="45" t="s">
        <v>582</v>
      </c>
      <c r="F50" s="42">
        <f>F49*0.76</f>
        <v>760000</v>
      </c>
    </row>
    <row r="51" spans="1:77">
      <c r="B51" s="45" t="s">
        <v>769</v>
      </c>
      <c r="F51" s="390">
        <f>F49*0.67</f>
        <v>670000</v>
      </c>
      <c r="G51" s="670" t="s">
        <v>867</v>
      </c>
      <c r="J51" s="49"/>
    </row>
    <row r="52" spans="1:77">
      <c r="B52" s="45" t="s">
        <v>583</v>
      </c>
      <c r="F52" s="390">
        <f>F50-F51</f>
        <v>90000</v>
      </c>
    </row>
    <row r="53" spans="1:77">
      <c r="B53" s="126" t="s">
        <v>605</v>
      </c>
      <c r="C53" s="383"/>
      <c r="E53" s="411" t="s">
        <v>604</v>
      </c>
      <c r="F53" s="390">
        <f>4300*0+4200</f>
        <v>4200</v>
      </c>
    </row>
    <row r="54" spans="1:77">
      <c r="B54" s="126" t="s">
        <v>610</v>
      </c>
      <c r="E54" s="45" t="s">
        <v>611</v>
      </c>
      <c r="F54" s="390">
        <v>8.6</v>
      </c>
    </row>
    <row r="55" spans="1:77">
      <c r="B55" s="126" t="s">
        <v>739</v>
      </c>
      <c r="F55" s="42">
        <f>F49*0.032</f>
        <v>32000</v>
      </c>
    </row>
    <row r="61" spans="1:77" s="17" customFormat="1">
      <c r="O61" s="114"/>
      <c r="P61" s="114"/>
    </row>
    <row r="62" spans="1:77" s="17" customFormat="1">
      <c r="O62" s="114"/>
      <c r="P62" s="114"/>
    </row>
    <row r="63" spans="1:77" s="17" customFormat="1" ht="20.100000000000001" customHeight="1">
      <c r="A63" s="38"/>
      <c r="B63" s="50" t="s">
        <v>230</v>
      </c>
      <c r="H63" s="38"/>
      <c r="N63" s="129" t="s">
        <v>379</v>
      </c>
      <c r="O63" s="114"/>
      <c r="P63" s="114"/>
      <c r="R63" s="51"/>
      <c r="X63" s="50" t="s">
        <v>306</v>
      </c>
      <c r="AH63" s="18" t="s">
        <v>323</v>
      </c>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row>
    <row r="64" spans="1:77" s="17" customFormat="1" ht="20.100000000000001" customHeight="1">
      <c r="B64" s="52" t="s">
        <v>231</v>
      </c>
      <c r="C64" s="52" t="s">
        <v>93</v>
      </c>
      <c r="D64" s="17" t="s">
        <v>232</v>
      </c>
      <c r="E64" s="32" t="s">
        <v>233</v>
      </c>
      <c r="F64" s="52" t="s">
        <v>95</v>
      </c>
      <c r="G64" s="32" t="s">
        <v>96</v>
      </c>
      <c r="H64" s="1665" t="s">
        <v>234</v>
      </c>
      <c r="I64" s="1665"/>
      <c r="J64" s="52" t="s">
        <v>868</v>
      </c>
      <c r="K64" s="52" t="s">
        <v>235</v>
      </c>
      <c r="L64" s="52"/>
      <c r="N64" s="129">
        <f>'[2]capcost Stamp'!E7</f>
        <v>0</v>
      </c>
      <c r="O64" s="114"/>
      <c r="P64" s="114"/>
      <c r="AH64" s="18">
        <f>'[2]capcost Stamp'!O8</f>
        <v>0</v>
      </c>
      <c r="AO64" s="53"/>
      <c r="AP64" s="54"/>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row>
    <row r="65" spans="1:77" s="17" customFormat="1" ht="20.100000000000001" customHeight="1">
      <c r="A65" s="38"/>
      <c r="B65" s="32"/>
      <c r="C65" s="52" t="s">
        <v>97</v>
      </c>
      <c r="D65" s="17" t="s">
        <v>236</v>
      </c>
      <c r="E65" s="32" t="s">
        <v>237</v>
      </c>
      <c r="F65" s="55" t="s">
        <v>898</v>
      </c>
      <c r="G65" s="32" t="s">
        <v>99</v>
      </c>
      <c r="H65" s="52" t="s">
        <v>94</v>
      </c>
      <c r="I65" s="52" t="s">
        <v>98</v>
      </c>
      <c r="J65" s="52"/>
      <c r="K65" s="52" t="s">
        <v>899</v>
      </c>
      <c r="L65" s="35"/>
      <c r="O65" s="186"/>
      <c r="P65" s="186"/>
      <c r="Q65" s="57"/>
      <c r="R65" s="56"/>
      <c r="S65" s="56"/>
      <c r="T65" s="56"/>
      <c r="U65" s="56"/>
      <c r="V65" s="56"/>
      <c r="W65" s="56"/>
      <c r="X65" s="56"/>
      <c r="Y65" s="56"/>
      <c r="Z65" s="56"/>
      <c r="AA65" s="56"/>
      <c r="AB65" s="56"/>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row>
    <row r="66" spans="1:77" s="17" customFormat="1" ht="20.100000000000001" customHeight="1">
      <c r="A66" s="38"/>
      <c r="B66" s="58" t="s">
        <v>87</v>
      </c>
      <c r="C66" s="58" t="s">
        <v>87</v>
      </c>
      <c r="D66" s="58" t="s">
        <v>87</v>
      </c>
      <c r="E66" s="58" t="s">
        <v>87</v>
      </c>
      <c r="F66" s="58" t="s">
        <v>87</v>
      </c>
      <c r="G66" s="58" t="s">
        <v>87</v>
      </c>
      <c r="H66" s="58" t="s">
        <v>87</v>
      </c>
      <c r="I66" s="58" t="s">
        <v>87</v>
      </c>
      <c r="J66" s="58"/>
      <c r="K66" s="58"/>
      <c r="L66" s="59"/>
      <c r="N66" s="60" t="s">
        <v>238</v>
      </c>
      <c r="O66" s="186"/>
      <c r="P66" s="186"/>
      <c r="Q66" s="61"/>
      <c r="R66" s="56"/>
      <c r="S66" s="56"/>
      <c r="T66" s="56"/>
      <c r="U66" s="56"/>
      <c r="V66" s="56"/>
      <c r="W66" s="56"/>
      <c r="X66" s="56"/>
      <c r="Z66" s="56"/>
      <c r="AA66" s="56"/>
      <c r="AB66" s="56"/>
      <c r="AI66" s="60" t="s">
        <v>239</v>
      </c>
      <c r="AO66" s="38"/>
      <c r="AP66" s="62"/>
      <c r="AQ66" s="62"/>
      <c r="AR66" s="62"/>
      <c r="AS66" s="62"/>
      <c r="AT66" s="62"/>
      <c r="AU66" s="62"/>
      <c r="AV66" s="62"/>
      <c r="AW66" s="62"/>
      <c r="AX66" s="62"/>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row>
    <row r="67" spans="1:77" s="17" customFormat="1" ht="20.100000000000001" customHeight="1">
      <c r="A67" s="63"/>
      <c r="B67" s="32"/>
      <c r="C67" s="32"/>
      <c r="E67" s="32"/>
      <c r="F67" s="32"/>
      <c r="G67" s="32"/>
      <c r="H67" s="32"/>
      <c r="I67" s="32"/>
      <c r="J67" s="32"/>
      <c r="K67" s="32"/>
      <c r="L67" s="38"/>
      <c r="N67" s="64" t="s">
        <v>240</v>
      </c>
      <c r="O67" s="187" t="s">
        <v>241</v>
      </c>
      <c r="P67" s="187" t="s">
        <v>242</v>
      </c>
      <c r="Q67" s="65" t="s">
        <v>243</v>
      </c>
      <c r="R67" s="65" t="s">
        <v>244</v>
      </c>
      <c r="S67" s="65" t="s">
        <v>245</v>
      </c>
      <c r="T67" s="65" t="s">
        <v>246</v>
      </c>
      <c r="U67" s="65" t="s">
        <v>247</v>
      </c>
      <c r="V67" s="65" t="s">
        <v>248</v>
      </c>
      <c r="W67" s="65" t="s">
        <v>249</v>
      </c>
      <c r="X67" s="65" t="s">
        <v>250</v>
      </c>
      <c r="Y67" s="65" t="s">
        <v>251</v>
      </c>
      <c r="Z67" s="65" t="s">
        <v>252</v>
      </c>
      <c r="AA67" s="65" t="s">
        <v>253</v>
      </c>
      <c r="AB67" s="65" t="s">
        <v>254</v>
      </c>
      <c r="AC67" s="65" t="s">
        <v>255</v>
      </c>
      <c r="AD67" s="65" t="s">
        <v>256</v>
      </c>
      <c r="AE67" s="65" t="s">
        <v>257</v>
      </c>
      <c r="AF67" s="65" t="s">
        <v>258</v>
      </c>
      <c r="AG67" s="65" t="s">
        <v>259</v>
      </c>
      <c r="AH67" s="65" t="s">
        <v>260</v>
      </c>
      <c r="AI67" s="65" t="s">
        <v>261</v>
      </c>
      <c r="AJ67" s="65" t="s">
        <v>262</v>
      </c>
      <c r="AK67" s="65" t="s">
        <v>305</v>
      </c>
      <c r="AL67" s="65" t="s">
        <v>581</v>
      </c>
      <c r="AN67" s="221" t="s">
        <v>613</v>
      </c>
      <c r="AO67"/>
      <c r="AP67"/>
      <c r="AQ67"/>
      <c r="AR67"/>
      <c r="AS67"/>
      <c r="AT67"/>
      <c r="AU67"/>
      <c r="AV67"/>
      <c r="AW67"/>
      <c r="AX67"/>
      <c r="AY67"/>
      <c r="AZ67"/>
      <c r="BA67"/>
      <c r="BB67"/>
      <c r="BC67"/>
      <c r="BD67"/>
      <c r="BE67"/>
      <c r="BF67"/>
      <c r="BG67"/>
      <c r="BH67"/>
      <c r="BI67"/>
      <c r="BJ67"/>
      <c r="BK67"/>
      <c r="BL67"/>
      <c r="BM67"/>
      <c r="BN67" s="38"/>
      <c r="BO67" s="38"/>
      <c r="BP67" s="38"/>
      <c r="BQ67" s="38"/>
      <c r="BR67" s="38"/>
      <c r="BS67" s="38"/>
      <c r="BT67" s="38"/>
      <c r="BU67" s="38"/>
      <c r="BV67" s="38"/>
      <c r="BW67" s="38"/>
      <c r="BX67" s="38"/>
      <c r="BY67" s="38"/>
    </row>
    <row r="68" spans="1:77" s="17" customFormat="1" ht="20.100000000000001" customHeight="1">
      <c r="A68" s="38"/>
      <c r="B68" s="606" t="s">
        <v>138</v>
      </c>
      <c r="C68" s="19" t="e">
        <f>#REF!</f>
        <v>#REF!</v>
      </c>
      <c r="E68" s="32" t="e">
        <f>C68</f>
        <v>#REF!</v>
      </c>
      <c r="F68" s="32" t="e">
        <f>#REF!</f>
        <v>#REF!</v>
      </c>
      <c r="G68" s="32" t="e">
        <f>D68+E68+F68</f>
        <v>#REF!</v>
      </c>
      <c r="H68" s="32">
        <f>D68</f>
        <v>0</v>
      </c>
      <c r="I68" s="32" t="e">
        <f>E68+F68</f>
        <v>#REF!</v>
      </c>
      <c r="J68" s="32"/>
      <c r="K68" s="32"/>
      <c r="L68" s="38"/>
      <c r="N68" s="67" t="s">
        <v>263</v>
      </c>
      <c r="O68" s="187"/>
      <c r="P68" s="188"/>
      <c r="Q68" s="68">
        <f>70%/2*0</f>
        <v>0</v>
      </c>
      <c r="R68" s="68">
        <f>80%*6/12</f>
        <v>0.40000000000000008</v>
      </c>
      <c r="S68" s="68">
        <v>0.9</v>
      </c>
      <c r="T68" s="68">
        <v>1</v>
      </c>
      <c r="U68" s="68">
        <v>1</v>
      </c>
      <c r="V68" s="68">
        <v>1</v>
      </c>
      <c r="W68" s="68">
        <v>1</v>
      </c>
      <c r="X68" s="68">
        <v>1</v>
      </c>
      <c r="Y68" s="68">
        <v>1</v>
      </c>
      <c r="Z68" s="68">
        <v>1</v>
      </c>
      <c r="AA68" s="68">
        <v>1</v>
      </c>
      <c r="AB68" s="68">
        <v>1</v>
      </c>
      <c r="AC68" s="68">
        <v>1</v>
      </c>
      <c r="AD68" s="68">
        <v>1</v>
      </c>
      <c r="AE68" s="68">
        <v>1</v>
      </c>
      <c r="AF68" s="68">
        <v>1</v>
      </c>
      <c r="AG68" s="68">
        <v>1</v>
      </c>
      <c r="AH68" s="68">
        <v>1</v>
      </c>
      <c r="AI68" s="68">
        <v>1</v>
      </c>
      <c r="AJ68" s="68">
        <v>1</v>
      </c>
      <c r="AK68" s="68">
        <v>1</v>
      </c>
      <c r="AL68" s="68">
        <v>0.5</v>
      </c>
      <c r="AN68"/>
      <c r="AO68" s="222">
        <v>0.15</v>
      </c>
      <c r="AP68"/>
      <c r="AQ68"/>
      <c r="AR68"/>
      <c r="AS68"/>
      <c r="AT68"/>
      <c r="AU68"/>
      <c r="AV68"/>
      <c r="AW68"/>
      <c r="AX68"/>
      <c r="AY68"/>
      <c r="AZ68"/>
      <c r="BA68"/>
      <c r="BB68"/>
      <c r="BC68"/>
      <c r="BD68"/>
      <c r="BE68"/>
      <c r="BF68"/>
      <c r="BG68"/>
      <c r="BH68"/>
      <c r="BI68"/>
      <c r="BJ68"/>
      <c r="BK68"/>
      <c r="BL68"/>
      <c r="BM68"/>
      <c r="BN68" s="38"/>
      <c r="BO68" s="38"/>
      <c r="BP68" s="38"/>
      <c r="BQ68" s="38"/>
      <c r="BR68" s="38"/>
      <c r="BS68" s="38"/>
      <c r="BT68" s="38"/>
      <c r="BU68" s="38"/>
      <c r="BV68" s="38"/>
      <c r="BW68" s="38"/>
      <c r="BX68" s="38"/>
      <c r="BY68" s="38"/>
    </row>
    <row r="69" spans="1:77" s="17" customFormat="1" ht="20.100000000000001" customHeight="1">
      <c r="A69" s="38"/>
      <c r="B69" s="606" t="s">
        <v>141</v>
      </c>
      <c r="C69" s="19" t="e">
        <f>#REF!</f>
        <v>#REF!</v>
      </c>
      <c r="E69" s="32" t="e">
        <f>C69</f>
        <v>#REF!</v>
      </c>
      <c r="F69" s="32" t="e">
        <f>#REF!</f>
        <v>#REF!</v>
      </c>
      <c r="G69" s="32" t="e">
        <f>D69+E69+F69</f>
        <v>#REF!</v>
      </c>
      <c r="H69" s="32">
        <f>D69</f>
        <v>0</v>
      </c>
      <c r="I69" s="32" t="e">
        <f>E69+F69</f>
        <v>#REF!</v>
      </c>
      <c r="J69" s="32"/>
      <c r="K69" s="32"/>
      <c r="L69" s="38"/>
      <c r="N69" s="56" t="s">
        <v>264</v>
      </c>
      <c r="O69" s="186"/>
      <c r="P69" s="186"/>
      <c r="Q69" s="56"/>
      <c r="R69" s="56">
        <f t="shared" ref="R69:AL69" si="1">+$D$75*R68</f>
        <v>324.73448276923034</v>
      </c>
      <c r="S69" s="56">
        <f t="shared" si="1"/>
        <v>730.65258623076818</v>
      </c>
      <c r="T69" s="56">
        <f t="shared" si="1"/>
        <v>811.83620692307568</v>
      </c>
      <c r="U69" s="56">
        <f t="shared" si="1"/>
        <v>811.83620692307568</v>
      </c>
      <c r="V69" s="56">
        <f t="shared" si="1"/>
        <v>811.83620692307568</v>
      </c>
      <c r="W69" s="56">
        <f t="shared" si="1"/>
        <v>811.83620692307568</v>
      </c>
      <c r="X69" s="56">
        <f t="shared" si="1"/>
        <v>811.83620692307568</v>
      </c>
      <c r="Y69" s="56">
        <f t="shared" si="1"/>
        <v>811.83620692307568</v>
      </c>
      <c r="Z69" s="56">
        <f t="shared" si="1"/>
        <v>811.83620692307568</v>
      </c>
      <c r="AA69" s="56">
        <f t="shared" si="1"/>
        <v>811.83620692307568</v>
      </c>
      <c r="AB69" s="56">
        <f t="shared" si="1"/>
        <v>811.83620692307568</v>
      </c>
      <c r="AC69" s="56">
        <f t="shared" si="1"/>
        <v>811.83620692307568</v>
      </c>
      <c r="AD69" s="56">
        <f t="shared" si="1"/>
        <v>811.83620692307568</v>
      </c>
      <c r="AE69" s="56">
        <f t="shared" si="1"/>
        <v>811.83620692307568</v>
      </c>
      <c r="AF69" s="56">
        <f t="shared" si="1"/>
        <v>811.83620692307568</v>
      </c>
      <c r="AG69" s="56">
        <f t="shared" si="1"/>
        <v>811.83620692307568</v>
      </c>
      <c r="AH69" s="56">
        <f t="shared" si="1"/>
        <v>811.83620692307568</v>
      </c>
      <c r="AI69" s="56">
        <f t="shared" si="1"/>
        <v>811.83620692307568</v>
      </c>
      <c r="AJ69" s="56">
        <f t="shared" si="1"/>
        <v>811.83620692307568</v>
      </c>
      <c r="AK69" s="56">
        <f t="shared" si="1"/>
        <v>811.83620692307568</v>
      </c>
      <c r="AL69" s="56">
        <f t="shared" si="1"/>
        <v>405.91810346153784</v>
      </c>
      <c r="AN69" t="s">
        <v>265</v>
      </c>
      <c r="AO69" s="16">
        <v>1</v>
      </c>
      <c r="AP69" s="70">
        <v>2</v>
      </c>
      <c r="AQ69" s="70">
        <v>3</v>
      </c>
      <c r="AR69" s="70">
        <v>4</v>
      </c>
      <c r="AS69" s="70">
        <v>5</v>
      </c>
      <c r="AT69" s="70">
        <v>6</v>
      </c>
      <c r="AU69" s="70">
        <v>7</v>
      </c>
      <c r="AV69" s="70">
        <v>8</v>
      </c>
      <c r="AW69" s="70">
        <v>9</v>
      </c>
      <c r="AX69" s="70">
        <v>10</v>
      </c>
      <c r="AY69" s="70">
        <v>11</v>
      </c>
      <c r="AZ69" s="70">
        <v>12</v>
      </c>
      <c r="BA69" s="70">
        <v>13</v>
      </c>
      <c r="BB69" s="70">
        <v>14</v>
      </c>
      <c r="BC69" s="70">
        <v>15</v>
      </c>
      <c r="BD69" s="70">
        <v>16</v>
      </c>
      <c r="BE69" s="70">
        <v>17</v>
      </c>
      <c r="BF69" s="70">
        <v>18</v>
      </c>
      <c r="BG69" s="70">
        <v>19</v>
      </c>
      <c r="BH69" s="70">
        <v>20</v>
      </c>
      <c r="BI69" s="70">
        <v>21</v>
      </c>
      <c r="BJ69" s="71">
        <v>22</v>
      </c>
      <c r="BK69" s="71">
        <v>23</v>
      </c>
      <c r="BL69"/>
      <c r="BM69"/>
      <c r="BN69" s="38"/>
      <c r="BO69" s="38"/>
      <c r="BP69" s="38"/>
      <c r="BQ69" s="38"/>
      <c r="BR69" s="38"/>
      <c r="BS69" s="38"/>
      <c r="BT69" s="38"/>
      <c r="BU69" s="38"/>
      <c r="BV69" s="38"/>
      <c r="BW69" s="38"/>
      <c r="BX69" s="38"/>
      <c r="BY69" s="38"/>
    </row>
    <row r="70" spans="1:77" s="17" customFormat="1" ht="20.100000000000001" customHeight="1">
      <c r="A70" s="38"/>
      <c r="B70" s="30" t="s">
        <v>579</v>
      </c>
      <c r="C70" s="19" t="e">
        <f>#REF!</f>
        <v>#REF!</v>
      </c>
      <c r="E70" s="32" t="e">
        <f>C70</f>
        <v>#REF!</v>
      </c>
      <c r="F70" s="32" t="e">
        <f>#REF!</f>
        <v>#REF!</v>
      </c>
      <c r="G70" s="32" t="e">
        <f>D70+E70+F70</f>
        <v>#REF!</v>
      </c>
      <c r="H70" s="32">
        <f>D70</f>
        <v>0</v>
      </c>
      <c r="I70" s="32" t="e">
        <f>E70+F70</f>
        <v>#REF!</v>
      </c>
      <c r="L70" s="38"/>
      <c r="N70" s="56" t="s">
        <v>266</v>
      </c>
      <c r="O70" s="186">
        <f t="shared" ref="O70:AL70" si="2">+O90</f>
        <v>0</v>
      </c>
      <c r="P70" s="186">
        <f t="shared" si="2"/>
        <v>0</v>
      </c>
      <c r="Q70" s="186" t="e">
        <f t="shared" si="2"/>
        <v>#REF!</v>
      </c>
      <c r="R70" s="56" t="e">
        <f t="shared" si="2"/>
        <v>#REF!</v>
      </c>
      <c r="S70" s="56" t="e">
        <f t="shared" si="2"/>
        <v>#REF!</v>
      </c>
      <c r="T70" s="56" t="e">
        <f t="shared" si="2"/>
        <v>#REF!</v>
      </c>
      <c r="U70" s="56" t="e">
        <f t="shared" si="2"/>
        <v>#REF!</v>
      </c>
      <c r="V70" s="56" t="e">
        <f t="shared" si="2"/>
        <v>#REF!</v>
      </c>
      <c r="W70" s="56" t="e">
        <f t="shared" si="2"/>
        <v>#REF!</v>
      </c>
      <c r="X70" s="56" t="e">
        <f t="shared" si="2"/>
        <v>#REF!</v>
      </c>
      <c r="Y70" s="56" t="e">
        <f t="shared" si="2"/>
        <v>#REF!</v>
      </c>
      <c r="Z70" s="56" t="e">
        <f t="shared" si="2"/>
        <v>#REF!</v>
      </c>
      <c r="AA70" s="56" t="e">
        <f t="shared" si="2"/>
        <v>#REF!</v>
      </c>
      <c r="AB70" s="56" t="e">
        <f t="shared" si="2"/>
        <v>#REF!</v>
      </c>
      <c r="AC70" s="56" t="e">
        <f t="shared" si="2"/>
        <v>#REF!</v>
      </c>
      <c r="AD70" s="56" t="e">
        <f t="shared" si="2"/>
        <v>#REF!</v>
      </c>
      <c r="AE70" s="56" t="e">
        <f t="shared" si="2"/>
        <v>#REF!</v>
      </c>
      <c r="AF70" s="56" t="e">
        <f t="shared" si="2"/>
        <v>#REF!</v>
      </c>
      <c r="AG70" s="56" t="e">
        <f t="shared" si="2"/>
        <v>#REF!</v>
      </c>
      <c r="AH70" s="56" t="e">
        <f t="shared" si="2"/>
        <v>#REF!</v>
      </c>
      <c r="AI70" s="56" t="e">
        <f t="shared" si="2"/>
        <v>#REF!</v>
      </c>
      <c r="AJ70" s="56" t="e">
        <f t="shared" si="2"/>
        <v>#REF!</v>
      </c>
      <c r="AK70" s="56">
        <f t="shared" si="2"/>
        <v>0</v>
      </c>
      <c r="AL70" s="56">
        <f t="shared" si="2"/>
        <v>0</v>
      </c>
      <c r="AN70" t="s">
        <v>267</v>
      </c>
      <c r="AO70" t="e">
        <f>+K73</f>
        <v>#REF!</v>
      </c>
      <c r="AP70" t="e">
        <f t="shared" ref="AP70:BK70" si="3">+AO72</f>
        <v>#REF!</v>
      </c>
      <c r="AQ70" t="e">
        <f t="shared" si="3"/>
        <v>#REF!</v>
      </c>
      <c r="AR70" t="e">
        <f t="shared" si="3"/>
        <v>#REF!</v>
      </c>
      <c r="AS70" t="e">
        <f t="shared" si="3"/>
        <v>#REF!</v>
      </c>
      <c r="AT70" t="e">
        <f t="shared" si="3"/>
        <v>#REF!</v>
      </c>
      <c r="AU70" t="e">
        <f t="shared" si="3"/>
        <v>#REF!</v>
      </c>
      <c r="AV70" t="e">
        <f t="shared" si="3"/>
        <v>#REF!</v>
      </c>
      <c r="AW70" t="e">
        <f t="shared" si="3"/>
        <v>#REF!</v>
      </c>
      <c r="AX70" t="e">
        <f t="shared" si="3"/>
        <v>#REF!</v>
      </c>
      <c r="AY70" t="e">
        <f t="shared" si="3"/>
        <v>#REF!</v>
      </c>
      <c r="AZ70" t="e">
        <f t="shared" si="3"/>
        <v>#REF!</v>
      </c>
      <c r="BA70" t="e">
        <f t="shared" si="3"/>
        <v>#REF!</v>
      </c>
      <c r="BB70" t="e">
        <f t="shared" si="3"/>
        <v>#REF!</v>
      </c>
      <c r="BC70" t="e">
        <f t="shared" si="3"/>
        <v>#REF!</v>
      </c>
      <c r="BD70" t="e">
        <f t="shared" si="3"/>
        <v>#REF!</v>
      </c>
      <c r="BE70" t="e">
        <f t="shared" si="3"/>
        <v>#REF!</v>
      </c>
      <c r="BF70" t="e">
        <f t="shared" si="3"/>
        <v>#REF!</v>
      </c>
      <c r="BG70" t="e">
        <f t="shared" si="3"/>
        <v>#REF!</v>
      </c>
      <c r="BH70" s="73" t="e">
        <f t="shared" si="3"/>
        <v>#REF!</v>
      </c>
      <c r="BI70" t="e">
        <f t="shared" si="3"/>
        <v>#REF!</v>
      </c>
      <c r="BJ70" t="e">
        <f t="shared" si="3"/>
        <v>#REF!</v>
      </c>
      <c r="BK70" t="e">
        <f t="shared" si="3"/>
        <v>#REF!</v>
      </c>
      <c r="BL70"/>
      <c r="BM70" t="s">
        <v>268</v>
      </c>
      <c r="BN70" s="38"/>
      <c r="BO70" s="38"/>
      <c r="BP70" s="38"/>
      <c r="BQ70" s="38"/>
      <c r="BR70" s="38"/>
      <c r="BS70" s="38"/>
      <c r="BT70" s="38"/>
      <c r="BU70" s="38"/>
      <c r="BV70" s="38"/>
      <c r="BW70" s="38"/>
      <c r="BX70" s="38"/>
      <c r="BY70" s="38"/>
    </row>
    <row r="71" spans="1:77" s="17" customFormat="1" ht="20.100000000000001" customHeight="1">
      <c r="A71" s="38"/>
      <c r="B71" s="138" t="s">
        <v>580</v>
      </c>
      <c r="C71" s="19" t="e">
        <f>#REF!</f>
        <v>#REF!</v>
      </c>
      <c r="E71" s="32" t="e">
        <f>C71</f>
        <v>#REF!</v>
      </c>
      <c r="F71" s="32" t="e">
        <f>#REF!</f>
        <v>#REF!</v>
      </c>
      <c r="G71" s="32" t="e">
        <f>D71+E71+F71</f>
        <v>#REF!</v>
      </c>
      <c r="H71" s="32">
        <f>D71</f>
        <v>0</v>
      </c>
      <c r="I71" s="32" t="e">
        <f>E71+F71</f>
        <v>#REF!</v>
      </c>
      <c r="L71" s="38"/>
      <c r="N71" s="56" t="s">
        <v>228</v>
      </c>
      <c r="O71" s="186">
        <v>0</v>
      </c>
      <c r="P71" s="189">
        <v>0</v>
      </c>
      <c r="Q71" s="189"/>
      <c r="R71" s="69" t="e">
        <f t="shared" ref="R71:AL71" si="4">AO71</f>
        <v>#REF!</v>
      </c>
      <c r="S71" s="69" t="e">
        <f t="shared" si="4"/>
        <v>#REF!</v>
      </c>
      <c r="T71" s="69" t="e">
        <f t="shared" si="4"/>
        <v>#REF!</v>
      </c>
      <c r="U71" s="69" t="e">
        <f t="shared" si="4"/>
        <v>#REF!</v>
      </c>
      <c r="V71" s="69" t="e">
        <f t="shared" si="4"/>
        <v>#REF!</v>
      </c>
      <c r="W71" s="69" t="e">
        <f t="shared" si="4"/>
        <v>#REF!</v>
      </c>
      <c r="X71" s="69" t="e">
        <f t="shared" si="4"/>
        <v>#REF!</v>
      </c>
      <c r="Y71" s="69" t="e">
        <f t="shared" si="4"/>
        <v>#REF!</v>
      </c>
      <c r="Z71" s="69" t="e">
        <f t="shared" si="4"/>
        <v>#REF!</v>
      </c>
      <c r="AA71" s="69" t="e">
        <f t="shared" si="4"/>
        <v>#REF!</v>
      </c>
      <c r="AB71" s="69" t="e">
        <f t="shared" si="4"/>
        <v>#REF!</v>
      </c>
      <c r="AC71" s="69" t="e">
        <f t="shared" si="4"/>
        <v>#REF!</v>
      </c>
      <c r="AD71" s="69" t="e">
        <f t="shared" si="4"/>
        <v>#REF!</v>
      </c>
      <c r="AE71" s="69" t="e">
        <f t="shared" si="4"/>
        <v>#REF!</v>
      </c>
      <c r="AF71" s="69" t="e">
        <f t="shared" si="4"/>
        <v>#REF!</v>
      </c>
      <c r="AG71" s="69" t="e">
        <f t="shared" si="4"/>
        <v>#REF!</v>
      </c>
      <c r="AH71" s="69" t="e">
        <f t="shared" si="4"/>
        <v>#REF!</v>
      </c>
      <c r="AI71" s="69" t="e">
        <f t="shared" si="4"/>
        <v>#REF!</v>
      </c>
      <c r="AJ71" s="69" t="e">
        <f t="shared" si="4"/>
        <v>#REF!</v>
      </c>
      <c r="AK71" s="69" t="e">
        <f t="shared" si="4"/>
        <v>#REF!</v>
      </c>
      <c r="AL71" s="69">
        <f t="shared" si="4"/>
        <v>0</v>
      </c>
      <c r="AM71" s="69" t="e">
        <f>SUM(O71:AL71)</f>
        <v>#REF!</v>
      </c>
      <c r="AN71" s="33" t="s">
        <v>612</v>
      </c>
      <c r="AO71" s="73" t="e">
        <f>+AO70*$AO$68/2</f>
        <v>#REF!</v>
      </c>
      <c r="AP71" s="73" t="e">
        <f t="shared" ref="AP71:AU71" si="5">+AP70*$AO$68</f>
        <v>#REF!</v>
      </c>
      <c r="AQ71" s="73" t="e">
        <f t="shared" si="5"/>
        <v>#REF!</v>
      </c>
      <c r="AR71" s="73" t="e">
        <f t="shared" si="5"/>
        <v>#REF!</v>
      </c>
      <c r="AS71" s="73" t="e">
        <f t="shared" si="5"/>
        <v>#REF!</v>
      </c>
      <c r="AT71" s="73" t="e">
        <f t="shared" si="5"/>
        <v>#REF!</v>
      </c>
      <c r="AU71" s="73" t="e">
        <f t="shared" si="5"/>
        <v>#REF!</v>
      </c>
      <c r="AV71" s="73" t="e">
        <f t="shared" ref="AV71:BF71" si="6">+AV70*$AO$68</f>
        <v>#REF!</v>
      </c>
      <c r="AW71" s="73" t="e">
        <f t="shared" si="6"/>
        <v>#REF!</v>
      </c>
      <c r="AX71" s="73" t="e">
        <f t="shared" si="6"/>
        <v>#REF!</v>
      </c>
      <c r="AY71" s="73" t="e">
        <f t="shared" si="6"/>
        <v>#REF!</v>
      </c>
      <c r="AZ71" s="73" t="e">
        <f t="shared" si="6"/>
        <v>#REF!</v>
      </c>
      <c r="BA71" s="73" t="e">
        <f t="shared" si="6"/>
        <v>#REF!</v>
      </c>
      <c r="BB71" s="73" t="e">
        <f t="shared" si="6"/>
        <v>#REF!</v>
      </c>
      <c r="BC71" s="73" t="e">
        <f t="shared" si="6"/>
        <v>#REF!</v>
      </c>
      <c r="BD71" s="73" t="e">
        <f t="shared" si="6"/>
        <v>#REF!</v>
      </c>
      <c r="BE71" s="73" t="e">
        <f t="shared" si="6"/>
        <v>#REF!</v>
      </c>
      <c r="BF71" s="73" t="e">
        <f t="shared" si="6"/>
        <v>#REF!</v>
      </c>
      <c r="BG71" s="73" t="e">
        <f>+BG70*$AO$64*0+AO70*0.95-SUM(AO71:BF71)</f>
        <v>#REF!</v>
      </c>
      <c r="BH71" s="73" t="e">
        <f>AO70*0.95-SUM(AO71:BG71)</f>
        <v>#REF!</v>
      </c>
      <c r="BI71" s="73"/>
      <c r="BJ71" s="73"/>
      <c r="BK71"/>
      <c r="BL71" t="e">
        <f>SUM(AO71:BK71)</f>
        <v>#REF!</v>
      </c>
      <c r="BM71" t="e">
        <f>+K73*0.95</f>
        <v>#REF!</v>
      </c>
      <c r="BN71" s="38"/>
      <c r="BO71" s="38"/>
      <c r="BP71" s="38"/>
      <c r="BQ71" s="38"/>
      <c r="BR71" s="38"/>
      <c r="BS71" s="38"/>
      <c r="BT71" s="38"/>
      <c r="BU71" s="38"/>
      <c r="BV71" s="38"/>
      <c r="BW71" s="38"/>
      <c r="BX71" s="38"/>
      <c r="BY71" s="38"/>
    </row>
    <row r="72" spans="1:77" s="19" customFormat="1" ht="33.75" customHeight="1">
      <c r="A72" s="137"/>
      <c r="B72" s="607" t="s">
        <v>180</v>
      </c>
      <c r="C72" s="19" t="e">
        <f>#REF!</f>
        <v>#REF!</v>
      </c>
      <c r="E72" s="32" t="e">
        <f>C72</f>
        <v>#REF!</v>
      </c>
      <c r="F72" s="32"/>
      <c r="G72" s="761" t="e">
        <f>D72+E72+F72</f>
        <v>#REF!</v>
      </c>
      <c r="H72" s="761">
        <f>D72</f>
        <v>0</v>
      </c>
      <c r="I72" s="761" t="e">
        <f>E72+F72</f>
        <v>#REF!</v>
      </c>
      <c r="J72" s="762"/>
      <c r="K72" s="762"/>
      <c r="L72" s="137"/>
      <c r="N72" s="1213" t="s">
        <v>269</v>
      </c>
      <c r="O72" s="764">
        <v>0</v>
      </c>
      <c r="P72" s="765">
        <f t="shared" ref="P72:AL72" si="7">+P69-P70-P71</f>
        <v>0</v>
      </c>
      <c r="Q72" s="765" t="e">
        <f t="shared" si="7"/>
        <v>#REF!</v>
      </c>
      <c r="R72" s="766" t="e">
        <f t="shared" si="7"/>
        <v>#REF!</v>
      </c>
      <c r="S72" s="766" t="e">
        <f t="shared" si="7"/>
        <v>#REF!</v>
      </c>
      <c r="T72" s="766" t="e">
        <f t="shared" si="7"/>
        <v>#REF!</v>
      </c>
      <c r="U72" s="766" t="e">
        <f t="shared" si="7"/>
        <v>#REF!</v>
      </c>
      <c r="V72" s="766" t="e">
        <f t="shared" si="7"/>
        <v>#REF!</v>
      </c>
      <c r="W72" s="766" t="e">
        <f t="shared" si="7"/>
        <v>#REF!</v>
      </c>
      <c r="X72" s="766" t="e">
        <f t="shared" si="7"/>
        <v>#REF!</v>
      </c>
      <c r="Y72" s="766" t="e">
        <f t="shared" si="7"/>
        <v>#REF!</v>
      </c>
      <c r="Z72" s="766" t="e">
        <f t="shared" si="7"/>
        <v>#REF!</v>
      </c>
      <c r="AA72" s="766" t="e">
        <f t="shared" si="7"/>
        <v>#REF!</v>
      </c>
      <c r="AB72" s="766" t="e">
        <f t="shared" si="7"/>
        <v>#REF!</v>
      </c>
      <c r="AC72" s="766" t="e">
        <f t="shared" si="7"/>
        <v>#REF!</v>
      </c>
      <c r="AD72" s="766" t="e">
        <f t="shared" si="7"/>
        <v>#REF!</v>
      </c>
      <c r="AE72" s="766" t="e">
        <f t="shared" si="7"/>
        <v>#REF!</v>
      </c>
      <c r="AF72" s="766" t="e">
        <f t="shared" si="7"/>
        <v>#REF!</v>
      </c>
      <c r="AG72" s="766" t="e">
        <f t="shared" si="7"/>
        <v>#REF!</v>
      </c>
      <c r="AH72" s="766" t="e">
        <f t="shared" si="7"/>
        <v>#REF!</v>
      </c>
      <c r="AI72" s="766" t="e">
        <f t="shared" si="7"/>
        <v>#REF!</v>
      </c>
      <c r="AJ72" s="766" t="e">
        <f t="shared" si="7"/>
        <v>#REF!</v>
      </c>
      <c r="AK72" s="766" t="e">
        <f t="shared" si="7"/>
        <v>#REF!</v>
      </c>
      <c r="AL72" s="766">
        <f t="shared" si="7"/>
        <v>405.91810346153784</v>
      </c>
      <c r="AN72" s="21" t="s">
        <v>270</v>
      </c>
      <c r="AO72" s="767" t="e">
        <f t="shared" ref="AO72:BK72" si="8">+AO70-AO71</f>
        <v>#REF!</v>
      </c>
      <c r="AP72" s="767" t="e">
        <f t="shared" si="8"/>
        <v>#REF!</v>
      </c>
      <c r="AQ72" s="767" t="e">
        <f t="shared" si="8"/>
        <v>#REF!</v>
      </c>
      <c r="AR72" s="767" t="e">
        <f t="shared" si="8"/>
        <v>#REF!</v>
      </c>
      <c r="AS72" s="767" t="e">
        <f t="shared" si="8"/>
        <v>#REF!</v>
      </c>
      <c r="AT72" s="767" t="e">
        <f t="shared" si="8"/>
        <v>#REF!</v>
      </c>
      <c r="AU72" s="767" t="e">
        <f t="shared" si="8"/>
        <v>#REF!</v>
      </c>
      <c r="AV72" s="767" t="e">
        <f t="shared" si="8"/>
        <v>#REF!</v>
      </c>
      <c r="AW72" s="767" t="e">
        <f t="shared" si="8"/>
        <v>#REF!</v>
      </c>
      <c r="AX72" s="767" t="e">
        <f t="shared" si="8"/>
        <v>#REF!</v>
      </c>
      <c r="AY72" s="767" t="e">
        <f t="shared" si="8"/>
        <v>#REF!</v>
      </c>
      <c r="AZ72" s="767" t="e">
        <f t="shared" si="8"/>
        <v>#REF!</v>
      </c>
      <c r="BA72" s="767" t="e">
        <f t="shared" si="8"/>
        <v>#REF!</v>
      </c>
      <c r="BB72" s="767" t="e">
        <f t="shared" si="8"/>
        <v>#REF!</v>
      </c>
      <c r="BC72" s="767" t="e">
        <f t="shared" si="8"/>
        <v>#REF!</v>
      </c>
      <c r="BD72" s="767" t="e">
        <f t="shared" si="8"/>
        <v>#REF!</v>
      </c>
      <c r="BE72" s="767" t="e">
        <f t="shared" si="8"/>
        <v>#REF!</v>
      </c>
      <c r="BF72" s="767" t="e">
        <f t="shared" si="8"/>
        <v>#REF!</v>
      </c>
      <c r="BG72" s="767" t="e">
        <f t="shared" si="8"/>
        <v>#REF!</v>
      </c>
      <c r="BH72" s="767" t="e">
        <f t="shared" si="8"/>
        <v>#REF!</v>
      </c>
      <c r="BI72" s="767" t="e">
        <f t="shared" si="8"/>
        <v>#REF!</v>
      </c>
      <c r="BJ72" s="767" t="e">
        <f t="shared" si="8"/>
        <v>#REF!</v>
      </c>
      <c r="BK72" s="767" t="e">
        <f t="shared" si="8"/>
        <v>#REF!</v>
      </c>
      <c r="BL72" s="21"/>
      <c r="BM72" s="21"/>
      <c r="BN72" s="137"/>
      <c r="BO72" s="137"/>
      <c r="BP72" s="137"/>
      <c r="BQ72" s="137"/>
      <c r="BR72" s="137"/>
      <c r="BS72" s="137"/>
      <c r="BT72" s="137"/>
      <c r="BU72" s="137"/>
      <c r="BV72" s="137"/>
      <c r="BW72" s="137"/>
      <c r="BX72" s="137"/>
      <c r="BY72" s="137"/>
    </row>
    <row r="73" spans="1:77" s="19" customFormat="1" ht="28.5" customHeight="1">
      <c r="A73" s="137"/>
      <c r="B73" s="768" t="s">
        <v>72</v>
      </c>
      <c r="C73" s="769" t="e">
        <f t="shared" ref="C73:I73" si="9">SUM(C68:C72)</f>
        <v>#REF!</v>
      </c>
      <c r="D73" s="769">
        <f t="shared" si="9"/>
        <v>0</v>
      </c>
      <c r="E73" s="769" t="e">
        <f t="shared" si="9"/>
        <v>#REF!</v>
      </c>
      <c r="F73" s="769" t="e">
        <f t="shared" si="9"/>
        <v>#REF!</v>
      </c>
      <c r="G73" s="769" t="e">
        <f t="shared" si="9"/>
        <v>#REF!</v>
      </c>
      <c r="H73" s="769">
        <f t="shared" si="9"/>
        <v>0</v>
      </c>
      <c r="I73" s="769" t="e">
        <f t="shared" si="9"/>
        <v>#REF!</v>
      </c>
      <c r="J73" s="769" t="e">
        <f>#REF!</f>
        <v>#REF!</v>
      </c>
      <c r="K73" s="769" t="e">
        <f>+G73-J73</f>
        <v>#REF!</v>
      </c>
      <c r="L73" s="137"/>
      <c r="M73" s="770">
        <f>0.3*1.12*1.04</f>
        <v>0.34944000000000003</v>
      </c>
      <c r="N73" s="1213" t="s">
        <v>271</v>
      </c>
      <c r="O73" s="766">
        <f>IF(+O72*$M$73*$M$74&gt;0,O72*$M$73*$M$74,0)</f>
        <v>0</v>
      </c>
      <c r="P73" s="766">
        <f t="shared" ref="P73:AD73" si="10">IF(+P72*$M$73*$M$74&gt;0,P72*$M$73*$M$74,0)</f>
        <v>0</v>
      </c>
      <c r="Q73" s="766" t="e">
        <f t="shared" si="10"/>
        <v>#REF!</v>
      </c>
      <c r="R73" s="766" t="e">
        <f t="shared" si="10"/>
        <v>#REF!</v>
      </c>
      <c r="S73" s="766" t="e">
        <f t="shared" si="10"/>
        <v>#REF!</v>
      </c>
      <c r="T73" s="766" t="e">
        <f t="shared" si="10"/>
        <v>#REF!</v>
      </c>
      <c r="U73" s="766" t="e">
        <f t="shared" si="10"/>
        <v>#REF!</v>
      </c>
      <c r="V73" s="766" t="e">
        <f t="shared" si="10"/>
        <v>#REF!</v>
      </c>
      <c r="W73" s="766" t="e">
        <f t="shared" si="10"/>
        <v>#REF!</v>
      </c>
      <c r="X73" s="766" t="e">
        <f t="shared" si="10"/>
        <v>#REF!</v>
      </c>
      <c r="Y73" s="766" t="e">
        <f t="shared" si="10"/>
        <v>#REF!</v>
      </c>
      <c r="Z73" s="766" t="e">
        <f t="shared" si="10"/>
        <v>#REF!</v>
      </c>
      <c r="AA73" s="766" t="e">
        <f t="shared" si="10"/>
        <v>#REF!</v>
      </c>
      <c r="AB73" s="766" t="e">
        <f t="shared" si="10"/>
        <v>#REF!</v>
      </c>
      <c r="AC73" s="766" t="e">
        <f t="shared" si="10"/>
        <v>#REF!</v>
      </c>
      <c r="AD73" s="766" t="e">
        <f t="shared" si="10"/>
        <v>#REF!</v>
      </c>
      <c r="AE73" s="766" t="e">
        <f>IF(+AE72*$M$73*$M$74&gt;0,AE72*$M$73*$M$74,0)</f>
        <v>#REF!</v>
      </c>
      <c r="AF73" s="766" t="e">
        <f t="shared" ref="AF73:AL73" si="11">IF(+AF72*$M$73*$M$74&gt;0,AF72*$M$73*$M$74,0)</f>
        <v>#REF!</v>
      </c>
      <c r="AG73" s="766" t="e">
        <f t="shared" si="11"/>
        <v>#REF!</v>
      </c>
      <c r="AH73" s="766" t="e">
        <f t="shared" si="11"/>
        <v>#REF!</v>
      </c>
      <c r="AI73" s="766" t="e">
        <f t="shared" si="11"/>
        <v>#REF!</v>
      </c>
      <c r="AJ73" s="766" t="e">
        <f t="shared" si="11"/>
        <v>#REF!</v>
      </c>
      <c r="AK73" s="766" t="e">
        <f t="shared" si="11"/>
        <v>#REF!</v>
      </c>
      <c r="AL73" s="766">
        <f t="shared" si="11"/>
        <v>141.8440220735998</v>
      </c>
      <c r="AO73" s="137"/>
      <c r="AP73" s="624"/>
      <c r="AQ73" s="624"/>
      <c r="AR73" s="624"/>
      <c r="AS73" s="624"/>
      <c r="AT73" s="624"/>
      <c r="AU73" s="624"/>
      <c r="AV73" s="624"/>
      <c r="AW73" s="624"/>
      <c r="AX73" s="624"/>
      <c r="AY73" s="137"/>
      <c r="AZ73" s="137"/>
      <c r="BA73" s="137"/>
      <c r="BB73" s="137"/>
      <c r="BC73" s="137"/>
      <c r="BD73" s="137"/>
      <c r="BE73" s="137"/>
      <c r="BF73" s="137"/>
      <c r="BG73" s="137"/>
      <c r="BH73" s="137"/>
      <c r="BI73" s="137"/>
      <c r="BJ73" s="137"/>
      <c r="BK73" s="137"/>
      <c r="BL73" s="137"/>
      <c r="BM73" s="137"/>
      <c r="BN73" s="137"/>
      <c r="BO73" s="137"/>
      <c r="BP73" s="137"/>
      <c r="BQ73" s="137"/>
      <c r="BR73" s="137"/>
      <c r="BS73" s="137"/>
      <c r="BT73" s="137"/>
      <c r="BU73" s="137"/>
      <c r="BV73" s="137"/>
      <c r="BW73" s="137"/>
      <c r="BX73" s="137"/>
      <c r="BY73" s="137"/>
    </row>
    <row r="74" spans="1:77" s="17" customFormat="1" ht="20.100000000000001" customHeight="1">
      <c r="A74" s="41"/>
      <c r="B74" s="38"/>
      <c r="C74" s="38"/>
      <c r="D74" s="38"/>
      <c r="E74" s="38"/>
      <c r="F74" s="38"/>
      <c r="G74" s="38"/>
      <c r="H74" s="59"/>
      <c r="I74" s="59"/>
      <c r="J74" s="58"/>
      <c r="K74" s="58"/>
      <c r="L74" s="38"/>
      <c r="M74" s="17">
        <v>1</v>
      </c>
      <c r="O74" s="186"/>
      <c r="P74" s="189"/>
      <c r="Q74" s="189"/>
      <c r="R74" s="69"/>
      <c r="S74" s="69"/>
      <c r="T74" s="69"/>
      <c r="U74" s="69"/>
      <c r="V74" s="69"/>
      <c r="W74" s="69"/>
      <c r="X74" s="69"/>
      <c r="Y74" s="69"/>
      <c r="Z74" s="69"/>
      <c r="AA74" s="69"/>
      <c r="AB74" s="69"/>
      <c r="AC74" s="69"/>
      <c r="AD74" s="69"/>
      <c r="AE74" s="69"/>
      <c r="AF74" s="69"/>
      <c r="AG74" s="69"/>
      <c r="AH74" s="69"/>
      <c r="AI74" s="69"/>
      <c r="AJ74" s="69"/>
      <c r="AK74" s="69"/>
      <c r="AL74" s="69"/>
      <c r="AN74" s="17" t="e">
        <f>AO70*0.95</f>
        <v>#REF!</v>
      </c>
      <c r="AO74" s="38"/>
      <c r="AP74" s="62"/>
      <c r="AQ74" s="62"/>
      <c r="AR74" s="62"/>
      <c r="AS74" s="62"/>
      <c r="AT74" s="62"/>
      <c r="AU74" s="62"/>
      <c r="AV74" s="62"/>
      <c r="AW74" s="62"/>
      <c r="AX74" s="62"/>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row>
    <row r="75" spans="1:77" s="17" customFormat="1" ht="20.100000000000001" customHeight="1">
      <c r="A75" s="41"/>
      <c r="B75" s="78" t="s">
        <v>225</v>
      </c>
      <c r="C75" s="79" t="s">
        <v>272</v>
      </c>
      <c r="D75" s="421">
        <f>G46</f>
        <v>811.83620692307568</v>
      </c>
      <c r="E75" s="38"/>
      <c r="F75" s="38"/>
      <c r="G75" s="38"/>
      <c r="H75" s="38"/>
      <c r="I75" s="38"/>
      <c r="N75" s="56" t="s">
        <v>273</v>
      </c>
      <c r="O75" s="186">
        <v>0</v>
      </c>
      <c r="P75" s="189">
        <f t="shared" ref="P75:AL75" si="12">+P72-P73</f>
        <v>0</v>
      </c>
      <c r="Q75" s="189" t="e">
        <f t="shared" si="12"/>
        <v>#REF!</v>
      </c>
      <c r="R75" s="69" t="e">
        <f t="shared" si="12"/>
        <v>#REF!</v>
      </c>
      <c r="S75" s="69" t="e">
        <f t="shared" si="12"/>
        <v>#REF!</v>
      </c>
      <c r="T75" s="69" t="e">
        <f t="shared" si="12"/>
        <v>#REF!</v>
      </c>
      <c r="U75" s="69" t="e">
        <f t="shared" si="12"/>
        <v>#REF!</v>
      </c>
      <c r="V75" s="69" t="e">
        <f t="shared" si="12"/>
        <v>#REF!</v>
      </c>
      <c r="W75" s="69" t="e">
        <f t="shared" si="12"/>
        <v>#REF!</v>
      </c>
      <c r="X75" s="69" t="e">
        <f t="shared" si="12"/>
        <v>#REF!</v>
      </c>
      <c r="Y75" s="69" t="e">
        <f t="shared" si="12"/>
        <v>#REF!</v>
      </c>
      <c r="Z75" s="69" t="e">
        <f t="shared" si="12"/>
        <v>#REF!</v>
      </c>
      <c r="AA75" s="69" t="e">
        <f t="shared" si="12"/>
        <v>#REF!</v>
      </c>
      <c r="AB75" s="69" t="e">
        <f t="shared" si="12"/>
        <v>#REF!</v>
      </c>
      <c r="AC75" s="69" t="e">
        <f t="shared" si="12"/>
        <v>#REF!</v>
      </c>
      <c r="AD75" s="69" t="e">
        <f t="shared" si="12"/>
        <v>#REF!</v>
      </c>
      <c r="AE75" s="69" t="e">
        <f t="shared" si="12"/>
        <v>#REF!</v>
      </c>
      <c r="AF75" s="69" t="e">
        <f t="shared" si="12"/>
        <v>#REF!</v>
      </c>
      <c r="AG75" s="69" t="e">
        <f t="shared" si="12"/>
        <v>#REF!</v>
      </c>
      <c r="AH75" s="69" t="e">
        <f t="shared" si="12"/>
        <v>#REF!</v>
      </c>
      <c r="AI75" s="69" t="e">
        <f t="shared" si="12"/>
        <v>#REF!</v>
      </c>
      <c r="AJ75" s="69" t="e">
        <f t="shared" si="12"/>
        <v>#REF!</v>
      </c>
      <c r="AK75" s="69" t="e">
        <f t="shared" si="12"/>
        <v>#REF!</v>
      </c>
      <c r="AL75" s="69">
        <f t="shared" si="12"/>
        <v>264.07408138793801</v>
      </c>
      <c r="AO75" s="38"/>
      <c r="AP75" s="62"/>
      <c r="AQ75" s="62"/>
      <c r="AR75" s="62"/>
      <c r="AS75" s="62"/>
      <c r="AT75" s="62"/>
      <c r="AU75" s="62"/>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row>
    <row r="76" spans="1:77" s="17" customFormat="1" ht="20.100000000000001" customHeight="1">
      <c r="A76" s="41"/>
      <c r="B76" s="80"/>
      <c r="C76" s="35"/>
      <c r="D76" s="38"/>
      <c r="E76" s="40"/>
      <c r="F76" s="35"/>
      <c r="G76" s="40"/>
      <c r="H76" s="38"/>
      <c r="I76" s="38"/>
      <c r="N76" s="81" t="s">
        <v>274</v>
      </c>
      <c r="O76" s="190">
        <v>0</v>
      </c>
      <c r="P76" s="191">
        <f>+P75</f>
        <v>0</v>
      </c>
      <c r="Q76" s="191" t="e">
        <f>+Q75</f>
        <v>#REF!</v>
      </c>
      <c r="R76" s="82" t="e">
        <f t="shared" ref="R76:AG76" si="13">+R75+Q76</f>
        <v>#REF!</v>
      </c>
      <c r="S76" s="82" t="e">
        <f t="shared" si="13"/>
        <v>#REF!</v>
      </c>
      <c r="T76" s="82" t="e">
        <f t="shared" si="13"/>
        <v>#REF!</v>
      </c>
      <c r="U76" s="82" t="e">
        <f t="shared" si="13"/>
        <v>#REF!</v>
      </c>
      <c r="V76" s="82" t="e">
        <f t="shared" si="13"/>
        <v>#REF!</v>
      </c>
      <c r="W76" s="82" t="e">
        <f t="shared" si="13"/>
        <v>#REF!</v>
      </c>
      <c r="X76" s="82" t="e">
        <f t="shared" si="13"/>
        <v>#REF!</v>
      </c>
      <c r="Y76" s="82" t="e">
        <f t="shared" si="13"/>
        <v>#REF!</v>
      </c>
      <c r="Z76" s="82" t="e">
        <f t="shared" si="13"/>
        <v>#REF!</v>
      </c>
      <c r="AA76" s="82" t="e">
        <f t="shared" si="13"/>
        <v>#REF!</v>
      </c>
      <c r="AB76" s="82" t="e">
        <f t="shared" si="13"/>
        <v>#REF!</v>
      </c>
      <c r="AC76" s="82" t="e">
        <f t="shared" si="13"/>
        <v>#REF!</v>
      </c>
      <c r="AD76" s="82" t="e">
        <f t="shared" si="13"/>
        <v>#REF!</v>
      </c>
      <c r="AE76" s="82" t="e">
        <f t="shared" si="13"/>
        <v>#REF!</v>
      </c>
      <c r="AF76" s="82" t="e">
        <f t="shared" si="13"/>
        <v>#REF!</v>
      </c>
      <c r="AG76" s="82" t="e">
        <f t="shared" si="13"/>
        <v>#REF!</v>
      </c>
      <c r="AH76" s="82" t="e">
        <f>+AH75+AF76</f>
        <v>#REF!</v>
      </c>
      <c r="AI76" s="82" t="e">
        <f>+AI75+AH76</f>
        <v>#REF!</v>
      </c>
      <c r="AJ76" s="82" t="e">
        <f>+AJ75+AI76</f>
        <v>#REF!</v>
      </c>
      <c r="AK76" s="82" t="e">
        <f>+AK75+AJ76</f>
        <v>#REF!</v>
      </c>
      <c r="AL76" s="82" t="e">
        <f>+AL75+AK76</f>
        <v>#REF!</v>
      </c>
      <c r="AO76" s="38"/>
      <c r="AP76" s="62"/>
      <c r="AQ76" s="62"/>
      <c r="AR76" s="62"/>
      <c r="AS76" s="62"/>
      <c r="AT76" s="62"/>
      <c r="AU76" s="62"/>
      <c r="AV76" s="62"/>
      <c r="AW76" s="62"/>
      <c r="AX76" s="62"/>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row>
    <row r="77" spans="1:77" s="17" customFormat="1" ht="20.100000000000001" customHeight="1">
      <c r="A77" s="38"/>
      <c r="B77" s="20"/>
      <c r="C77" s="38"/>
      <c r="D77" s="38"/>
      <c r="E77" s="38"/>
      <c r="F77" s="38"/>
      <c r="G77" s="38"/>
      <c r="H77" s="38"/>
      <c r="I77" s="38"/>
      <c r="J77" s="38"/>
      <c r="K77" s="38"/>
      <c r="O77" s="114"/>
      <c r="P77" s="114"/>
      <c r="AJ77" s="69"/>
      <c r="AK77" s="69"/>
      <c r="AL77" s="69"/>
      <c r="AO77" s="38"/>
      <c r="AP77" s="62"/>
      <c r="AQ77" s="62"/>
      <c r="AR77" s="62"/>
      <c r="AS77" s="62"/>
      <c r="AT77" s="62"/>
      <c r="AU77" s="62"/>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row>
    <row r="78" spans="1:77" s="17" customFormat="1" ht="20.100000000000001" customHeight="1">
      <c r="A78" s="38"/>
      <c r="B78" s="20"/>
      <c r="C78" s="38"/>
      <c r="D78" s="38"/>
      <c r="E78" s="38"/>
      <c r="F78" s="38"/>
      <c r="G78" s="38"/>
      <c r="H78" s="1666"/>
      <c r="I78" s="1666"/>
      <c r="J78" s="35"/>
      <c r="K78" s="35"/>
      <c r="N78" s="83" t="s">
        <v>275</v>
      </c>
      <c r="O78" s="186"/>
      <c r="P78" s="186"/>
      <c r="Q78" s="56"/>
      <c r="R78" s="69"/>
      <c r="S78" s="69"/>
      <c r="T78" s="69"/>
      <c r="U78" s="69"/>
      <c r="V78" s="69"/>
      <c r="W78" s="69"/>
      <c r="X78" s="69"/>
      <c r="Y78" s="69"/>
      <c r="Z78" s="69"/>
      <c r="AA78" s="69"/>
      <c r="AB78" s="69"/>
      <c r="AC78" s="39"/>
      <c r="AD78" s="39"/>
      <c r="AE78" s="39"/>
      <c r="AF78" s="39"/>
      <c r="AG78" s="39"/>
      <c r="AH78" s="39"/>
      <c r="AJ78" s="69"/>
      <c r="AK78" s="69"/>
      <c r="AL78" s="69"/>
      <c r="AO78" s="38"/>
      <c r="AP78" s="62"/>
      <c r="AQ78" s="62"/>
      <c r="AR78" s="62"/>
      <c r="AS78" s="62"/>
      <c r="AT78" s="62"/>
      <c r="AU78" s="62"/>
      <c r="AV78" s="62"/>
      <c r="AW78" s="62"/>
      <c r="AX78" s="62"/>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row>
    <row r="79" spans="1:77" s="17" customFormat="1" ht="20.100000000000001" customHeight="1">
      <c r="A79" s="38"/>
      <c r="B79" s="38"/>
      <c r="C79" s="38"/>
      <c r="D79" s="38"/>
      <c r="E79" s="38"/>
      <c r="F79" s="38"/>
      <c r="G79" s="38"/>
      <c r="H79" s="35"/>
      <c r="I79" s="35"/>
      <c r="J79" s="35"/>
      <c r="K79" s="35"/>
      <c r="N79" s="83"/>
      <c r="O79" s="186"/>
      <c r="P79" s="186"/>
      <c r="Q79" s="56"/>
      <c r="R79" s="69"/>
      <c r="S79" s="69"/>
      <c r="T79" s="69"/>
      <c r="U79" s="69">
        <f>+U66</f>
        <v>0</v>
      </c>
      <c r="W79" s="69"/>
      <c r="X79" s="69"/>
      <c r="Y79" s="69"/>
      <c r="Z79" s="69"/>
      <c r="AA79" s="69"/>
      <c r="AB79" s="69"/>
      <c r="AC79" s="39"/>
      <c r="AD79" s="39"/>
      <c r="AE79" s="39"/>
      <c r="AF79" s="39"/>
      <c r="AG79" s="39"/>
      <c r="AH79" s="39">
        <f>+U79</f>
        <v>0</v>
      </c>
      <c r="AJ79" s="69"/>
      <c r="AK79" s="69"/>
      <c r="AL79" s="69"/>
      <c r="AO79" s="38"/>
      <c r="AP79" s="62"/>
      <c r="AQ79" s="62"/>
      <c r="AR79" s="62"/>
      <c r="AS79" s="62"/>
      <c r="AT79" s="62"/>
      <c r="AU79" s="62"/>
      <c r="AV79" s="62"/>
      <c r="AW79" s="62"/>
      <c r="AX79" s="62"/>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row>
    <row r="80" spans="1:77" s="17" customFormat="1" ht="20.100000000000001" customHeight="1">
      <c r="H80" s="35"/>
      <c r="I80" s="35"/>
      <c r="J80" s="35"/>
      <c r="K80" s="35"/>
      <c r="N80" s="84" t="s">
        <v>276</v>
      </c>
      <c r="O80" s="192" t="str">
        <f t="shared" ref="O80:T80" si="14">+O67</f>
        <v>Yr 1</v>
      </c>
      <c r="P80" s="192" t="str">
        <f t="shared" si="14"/>
        <v>Yr 2</v>
      </c>
      <c r="Q80" s="85" t="str">
        <f t="shared" si="14"/>
        <v>Yr 3</v>
      </c>
      <c r="R80" s="85" t="str">
        <f t="shared" si="14"/>
        <v>Yr 4</v>
      </c>
      <c r="S80" s="85" t="str">
        <f t="shared" si="14"/>
        <v>Yr 5</v>
      </c>
      <c r="T80" s="85" t="str">
        <f t="shared" si="14"/>
        <v>Yr 6</v>
      </c>
      <c r="U80" s="85" t="str">
        <f>+U67</f>
        <v>Yr 7</v>
      </c>
      <c r="V80" s="85" t="str">
        <f t="shared" ref="V80:AI80" si="15">+V67</f>
        <v>Yr 8</v>
      </c>
      <c r="W80" s="85" t="str">
        <f t="shared" si="15"/>
        <v>Yr 9</v>
      </c>
      <c r="X80" s="85" t="str">
        <f t="shared" si="15"/>
        <v>Yr 10</v>
      </c>
      <c r="Y80" s="85" t="str">
        <f t="shared" si="15"/>
        <v>Yr 11</v>
      </c>
      <c r="Z80" s="85" t="str">
        <f t="shared" si="15"/>
        <v>Yr 12</v>
      </c>
      <c r="AA80" s="85" t="str">
        <f t="shared" si="15"/>
        <v>Yr 13</v>
      </c>
      <c r="AB80" s="85" t="str">
        <f t="shared" si="15"/>
        <v>Yr 14</v>
      </c>
      <c r="AC80" s="85" t="str">
        <f t="shared" si="15"/>
        <v>Yr 15</v>
      </c>
      <c r="AD80" s="85" t="str">
        <f t="shared" si="15"/>
        <v>Yr 16</v>
      </c>
      <c r="AE80" s="85" t="str">
        <f t="shared" si="15"/>
        <v>Yr 17</v>
      </c>
      <c r="AF80" s="85" t="str">
        <f t="shared" si="15"/>
        <v>Yr 18</v>
      </c>
      <c r="AG80" s="85" t="str">
        <f t="shared" si="15"/>
        <v>Yr 19</v>
      </c>
      <c r="AH80" s="85" t="str">
        <f t="shared" si="15"/>
        <v>Yr 20</v>
      </c>
      <c r="AI80" s="86" t="str">
        <f t="shared" si="15"/>
        <v>Yr 21</v>
      </c>
      <c r="AJ80" s="65" t="s">
        <v>305</v>
      </c>
      <c r="AK80" s="65" t="str">
        <f>AK67</f>
        <v>Yr 23</v>
      </c>
      <c r="AL80" s="65" t="str">
        <f>AL67</f>
        <v>Yr 24</v>
      </c>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row>
    <row r="81" spans="1:39" s="17" customFormat="1" ht="20.100000000000001" customHeight="1">
      <c r="H81" s="59"/>
      <c r="I81" s="59"/>
      <c r="J81" s="59"/>
      <c r="K81" s="59"/>
      <c r="N81" s="56" t="s">
        <v>277</v>
      </c>
      <c r="O81" s="186">
        <v>0</v>
      </c>
      <c r="P81" s="186">
        <f t="shared" ref="P81:AL81" si="16">+P69</f>
        <v>0</v>
      </c>
      <c r="Q81" s="56">
        <f t="shared" si="16"/>
        <v>0</v>
      </c>
      <c r="R81" s="56">
        <f t="shared" si="16"/>
        <v>324.73448276923034</v>
      </c>
      <c r="S81" s="56">
        <f t="shared" si="16"/>
        <v>730.65258623076818</v>
      </c>
      <c r="T81" s="56">
        <f t="shared" si="16"/>
        <v>811.83620692307568</v>
      </c>
      <c r="U81" s="56">
        <f t="shared" si="16"/>
        <v>811.83620692307568</v>
      </c>
      <c r="V81" s="56">
        <f t="shared" si="16"/>
        <v>811.83620692307568</v>
      </c>
      <c r="W81" s="56">
        <f t="shared" si="16"/>
        <v>811.83620692307568</v>
      </c>
      <c r="X81" s="56">
        <f t="shared" si="16"/>
        <v>811.83620692307568</v>
      </c>
      <c r="Y81" s="56">
        <f t="shared" si="16"/>
        <v>811.83620692307568</v>
      </c>
      <c r="Z81" s="56">
        <f t="shared" si="16"/>
        <v>811.83620692307568</v>
      </c>
      <c r="AA81" s="56">
        <f t="shared" si="16"/>
        <v>811.83620692307568</v>
      </c>
      <c r="AB81" s="56">
        <f t="shared" si="16"/>
        <v>811.83620692307568</v>
      </c>
      <c r="AC81" s="56">
        <f t="shared" si="16"/>
        <v>811.83620692307568</v>
      </c>
      <c r="AD81" s="56">
        <f t="shared" si="16"/>
        <v>811.83620692307568</v>
      </c>
      <c r="AE81" s="56">
        <f t="shared" si="16"/>
        <v>811.83620692307568</v>
      </c>
      <c r="AF81" s="56">
        <f t="shared" si="16"/>
        <v>811.83620692307568</v>
      </c>
      <c r="AG81" s="56">
        <f t="shared" si="16"/>
        <v>811.83620692307568</v>
      </c>
      <c r="AH81" s="56">
        <f t="shared" si="16"/>
        <v>811.83620692307568</v>
      </c>
      <c r="AI81" s="56">
        <f t="shared" si="16"/>
        <v>811.83620692307568</v>
      </c>
      <c r="AJ81" s="56">
        <f t="shared" si="16"/>
        <v>811.83620692307568</v>
      </c>
      <c r="AK81" s="56">
        <f t="shared" si="16"/>
        <v>811.83620692307568</v>
      </c>
      <c r="AL81" s="56">
        <f t="shared" si="16"/>
        <v>405.91810346153784</v>
      </c>
      <c r="AM81" s="69">
        <f>SUM(O81:AI81)</f>
        <v>14044.766379769204</v>
      </c>
    </row>
    <row r="82" spans="1:39" s="17" customFormat="1" ht="20.100000000000001" customHeight="1">
      <c r="H82" s="40"/>
      <c r="I82" s="40"/>
      <c r="J82" s="40"/>
      <c r="K82" s="40"/>
      <c r="M82" s="17">
        <f>SUM(O82:R82)</f>
        <v>0</v>
      </c>
      <c r="N82" s="56" t="s">
        <v>278</v>
      </c>
      <c r="O82" s="189">
        <f>+H68</f>
        <v>0</v>
      </c>
      <c r="P82" s="189">
        <f>+H69</f>
        <v>0</v>
      </c>
      <c r="Q82" s="69">
        <f>H70</f>
        <v>0</v>
      </c>
      <c r="R82" s="69">
        <f>H71+H72</f>
        <v>0</v>
      </c>
      <c r="S82" s="69">
        <v>0</v>
      </c>
      <c r="T82" s="69">
        <v>0</v>
      </c>
      <c r="U82" s="69">
        <v>0</v>
      </c>
      <c r="V82" s="69">
        <v>0</v>
      </c>
      <c r="W82" s="69">
        <v>0</v>
      </c>
      <c r="X82" s="69">
        <v>0</v>
      </c>
      <c r="Y82" s="69">
        <v>0</v>
      </c>
      <c r="Z82" s="69">
        <v>0</v>
      </c>
      <c r="AA82" s="69">
        <v>0</v>
      </c>
      <c r="AB82" s="69">
        <v>0</v>
      </c>
      <c r="AC82" s="69">
        <v>0</v>
      </c>
      <c r="AD82" s="69">
        <v>0</v>
      </c>
      <c r="AE82" s="69">
        <v>0</v>
      </c>
      <c r="AF82" s="69">
        <v>0</v>
      </c>
      <c r="AG82" s="69">
        <v>0</v>
      </c>
      <c r="AH82" s="69">
        <v>0</v>
      </c>
      <c r="AI82" s="69">
        <v>0</v>
      </c>
      <c r="AM82" s="69">
        <f>SUM(O82:AI82)</f>
        <v>0</v>
      </c>
    </row>
    <row r="83" spans="1:39" s="17" customFormat="1" ht="20.100000000000001" customHeight="1">
      <c r="A83" s="41"/>
      <c r="B83" s="40"/>
      <c r="C83" s="35"/>
      <c r="D83" s="38"/>
      <c r="E83" s="40"/>
      <c r="F83" s="87"/>
      <c r="G83" s="40"/>
      <c r="H83" s="40"/>
      <c r="I83" s="40"/>
      <c r="J83" s="40"/>
      <c r="K83" s="40"/>
      <c r="M83" s="17" t="e">
        <f>SUM(O83:R83)</f>
        <v>#REF!</v>
      </c>
      <c r="N83" s="56" t="s">
        <v>279</v>
      </c>
      <c r="O83" s="189" t="e">
        <f>+I68</f>
        <v>#REF!</v>
      </c>
      <c r="P83" s="189" t="e">
        <f>+I69</f>
        <v>#REF!</v>
      </c>
      <c r="Q83" s="69" t="e">
        <f>I70</f>
        <v>#REF!</v>
      </c>
      <c r="R83" s="69" t="e">
        <f>I71+I72</f>
        <v>#REF!</v>
      </c>
      <c r="S83" s="69">
        <v>0</v>
      </c>
      <c r="T83" s="69">
        <v>0</v>
      </c>
      <c r="U83" s="69">
        <v>0</v>
      </c>
      <c r="V83" s="69">
        <v>0</v>
      </c>
      <c r="W83" s="69">
        <v>0</v>
      </c>
      <c r="X83" s="69">
        <v>0</v>
      </c>
      <c r="Y83" s="69">
        <v>0</v>
      </c>
      <c r="Z83" s="69">
        <v>0</v>
      </c>
      <c r="AA83" s="69">
        <v>0</v>
      </c>
      <c r="AB83" s="69">
        <v>0</v>
      </c>
      <c r="AC83" s="69">
        <v>0</v>
      </c>
      <c r="AD83" s="69">
        <v>0</v>
      </c>
      <c r="AE83" s="69">
        <v>0</v>
      </c>
      <c r="AF83" s="69">
        <v>0</v>
      </c>
      <c r="AG83" s="69">
        <v>0</v>
      </c>
      <c r="AH83" s="69">
        <v>0</v>
      </c>
      <c r="AI83" s="69">
        <v>0</v>
      </c>
      <c r="AM83" s="69" t="e">
        <f>SUM(O83:AI83)</f>
        <v>#REF!</v>
      </c>
    </row>
    <row r="84" spans="1:39" s="17" customFormat="1" ht="20.100000000000001" customHeight="1">
      <c r="A84" s="41"/>
      <c r="E84" s="38"/>
      <c r="F84" s="38"/>
      <c r="G84" s="59"/>
      <c r="H84" s="40"/>
      <c r="I84" s="40"/>
      <c r="J84" s="40"/>
      <c r="K84" s="40"/>
      <c r="M84" s="88" t="e">
        <f>+M83+M82</f>
        <v>#REF!</v>
      </c>
      <c r="N84" s="67" t="s">
        <v>72</v>
      </c>
      <c r="O84" s="193" t="e">
        <f t="shared" ref="O84:AL84" si="17">SUM(O81:O83)</f>
        <v>#REF!</v>
      </c>
      <c r="P84" s="193" t="e">
        <f t="shared" si="17"/>
        <v>#REF!</v>
      </c>
      <c r="Q84" s="89" t="e">
        <f t="shared" si="17"/>
        <v>#REF!</v>
      </c>
      <c r="R84" s="89" t="e">
        <f t="shared" si="17"/>
        <v>#REF!</v>
      </c>
      <c r="S84" s="89">
        <f t="shared" si="17"/>
        <v>730.65258623076818</v>
      </c>
      <c r="T84" s="89">
        <f t="shared" si="17"/>
        <v>811.83620692307568</v>
      </c>
      <c r="U84" s="89">
        <f t="shared" si="17"/>
        <v>811.83620692307568</v>
      </c>
      <c r="V84" s="89">
        <f t="shared" si="17"/>
        <v>811.83620692307568</v>
      </c>
      <c r="W84" s="89">
        <f t="shared" si="17"/>
        <v>811.83620692307568</v>
      </c>
      <c r="X84" s="89">
        <f t="shared" si="17"/>
        <v>811.83620692307568</v>
      </c>
      <c r="Y84" s="89">
        <f t="shared" si="17"/>
        <v>811.83620692307568</v>
      </c>
      <c r="Z84" s="89">
        <f t="shared" si="17"/>
        <v>811.83620692307568</v>
      </c>
      <c r="AA84" s="89">
        <f t="shared" si="17"/>
        <v>811.83620692307568</v>
      </c>
      <c r="AB84" s="89">
        <f t="shared" si="17"/>
        <v>811.83620692307568</v>
      </c>
      <c r="AC84" s="89">
        <f t="shared" si="17"/>
        <v>811.83620692307568</v>
      </c>
      <c r="AD84" s="89">
        <f t="shared" si="17"/>
        <v>811.83620692307568</v>
      </c>
      <c r="AE84" s="89">
        <f t="shared" si="17"/>
        <v>811.83620692307568</v>
      </c>
      <c r="AF84" s="89">
        <f t="shared" si="17"/>
        <v>811.83620692307568</v>
      </c>
      <c r="AG84" s="89">
        <f t="shared" si="17"/>
        <v>811.83620692307568</v>
      </c>
      <c r="AH84" s="89">
        <f t="shared" si="17"/>
        <v>811.83620692307568</v>
      </c>
      <c r="AI84" s="89">
        <f t="shared" si="17"/>
        <v>811.83620692307568</v>
      </c>
      <c r="AJ84" s="89">
        <f t="shared" si="17"/>
        <v>811.83620692307568</v>
      </c>
      <c r="AK84" s="89">
        <f t="shared" si="17"/>
        <v>811.83620692307568</v>
      </c>
      <c r="AL84" s="89">
        <f t="shared" si="17"/>
        <v>405.91810346153784</v>
      </c>
      <c r="AM84" s="69" t="e">
        <f>SUM(O84:AI84)</f>
        <v>#REF!</v>
      </c>
    </row>
    <row r="85" spans="1:39" s="17" customFormat="1" ht="20.100000000000001" customHeight="1">
      <c r="A85" s="41"/>
      <c r="B85" s="59"/>
      <c r="C85" s="35"/>
      <c r="D85" s="35"/>
      <c r="E85" s="35"/>
      <c r="F85" s="35"/>
      <c r="G85" s="40"/>
      <c r="H85" s="40"/>
      <c r="I85" s="40"/>
      <c r="J85" s="40"/>
      <c r="K85" s="40"/>
      <c r="O85" s="114"/>
      <c r="P85" s="114"/>
      <c r="AM85" s="69"/>
    </row>
    <row r="86" spans="1:39" s="17" customFormat="1" ht="20.100000000000001" customHeight="1">
      <c r="A86" s="41"/>
      <c r="B86" s="40"/>
      <c r="C86" s="90"/>
      <c r="D86" s="38"/>
      <c r="E86" s="40"/>
      <c r="F86" s="40"/>
      <c r="G86" s="40"/>
      <c r="H86" s="59"/>
      <c r="I86" s="59"/>
      <c r="J86" s="59"/>
      <c r="K86" s="59"/>
      <c r="N86" s="56" t="s">
        <v>280</v>
      </c>
      <c r="O86" s="189"/>
      <c r="P86" s="189"/>
      <c r="Q86" s="69"/>
      <c r="R86" s="69"/>
      <c r="S86" s="69"/>
      <c r="T86" s="91"/>
      <c r="U86" s="69"/>
      <c r="V86" s="69"/>
      <c r="W86" s="69"/>
      <c r="X86" s="69"/>
      <c r="Y86" s="69"/>
      <c r="Z86" s="69"/>
      <c r="AA86" s="69"/>
      <c r="AB86" s="69"/>
      <c r="AC86" s="69"/>
      <c r="AD86" s="69"/>
      <c r="AE86" s="69"/>
      <c r="AF86" s="69"/>
      <c r="AG86" s="69"/>
      <c r="AH86" s="69"/>
      <c r="AI86" s="69"/>
      <c r="AM86" s="69">
        <f>SUM(O86:AI86)</f>
        <v>0</v>
      </c>
    </row>
    <row r="87" spans="1:39" s="17" customFormat="1" ht="20.100000000000001" customHeight="1">
      <c r="A87" s="41"/>
      <c r="B87" s="35"/>
      <c r="C87" s="38"/>
      <c r="D87" s="40"/>
      <c r="E87" s="40"/>
      <c r="F87" s="40"/>
      <c r="G87" s="40"/>
      <c r="H87" s="40"/>
      <c r="I87" s="40"/>
      <c r="J87" s="40"/>
      <c r="K87" s="40"/>
      <c r="N87" s="56" t="s">
        <v>281</v>
      </c>
      <c r="O87" s="189"/>
      <c r="P87" s="189"/>
      <c r="Q87" s="69"/>
      <c r="R87" s="69"/>
      <c r="S87" s="69"/>
      <c r="T87" s="69"/>
      <c r="U87" s="69"/>
      <c r="V87" s="69"/>
      <c r="W87" s="69"/>
      <c r="X87" s="69"/>
      <c r="Y87" s="69"/>
      <c r="Z87" s="69"/>
      <c r="AA87" s="69"/>
      <c r="AB87" s="69"/>
      <c r="AC87" s="69"/>
      <c r="AD87" s="69"/>
      <c r="AE87" s="69"/>
      <c r="AF87" s="69"/>
      <c r="AG87" s="69"/>
      <c r="AH87" s="69"/>
      <c r="AI87" s="69"/>
      <c r="AM87" s="69"/>
    </row>
    <row r="88" spans="1:39" s="17" customFormat="1" ht="20.100000000000001" customHeight="1">
      <c r="A88" s="41"/>
      <c r="B88" s="80"/>
      <c r="C88" s="38"/>
      <c r="D88" s="40"/>
      <c r="E88" s="40"/>
      <c r="F88" s="40"/>
      <c r="G88" s="40"/>
      <c r="H88" s="59"/>
      <c r="I88" s="59"/>
      <c r="J88" s="59"/>
      <c r="K88" s="59"/>
      <c r="M88" s="17">
        <f>SUM(O88:R88)</f>
        <v>0</v>
      </c>
      <c r="N88" s="56" t="s">
        <v>282</v>
      </c>
      <c r="O88" s="189">
        <f t="shared" ref="O88:R89" si="18">+O82</f>
        <v>0</v>
      </c>
      <c r="P88" s="189">
        <f t="shared" si="18"/>
        <v>0</v>
      </c>
      <c r="Q88" s="69">
        <f t="shared" si="18"/>
        <v>0</v>
      </c>
      <c r="R88" s="69">
        <f t="shared" si="18"/>
        <v>0</v>
      </c>
      <c r="S88" s="69">
        <v>0</v>
      </c>
      <c r="T88" s="69">
        <v>0</v>
      </c>
      <c r="U88" s="69">
        <v>0</v>
      </c>
      <c r="V88" s="69">
        <v>0</v>
      </c>
      <c r="W88" s="69">
        <v>0</v>
      </c>
      <c r="X88" s="69">
        <v>0</v>
      </c>
      <c r="Y88" s="69">
        <v>0</v>
      </c>
      <c r="Z88" s="69">
        <v>0</v>
      </c>
      <c r="AA88" s="69">
        <v>0</v>
      </c>
      <c r="AB88" s="69">
        <v>0</v>
      </c>
      <c r="AC88" s="69">
        <v>0</v>
      </c>
      <c r="AD88" s="69">
        <v>0</v>
      </c>
      <c r="AE88" s="69">
        <v>0</v>
      </c>
      <c r="AF88" s="69">
        <v>0</v>
      </c>
      <c r="AG88" s="69">
        <v>0</v>
      </c>
      <c r="AH88" s="69">
        <v>0</v>
      </c>
      <c r="AI88" s="69">
        <v>0</v>
      </c>
      <c r="AM88" s="69">
        <f t="shared" ref="AM88:AM94" si="19">SUM(O88:AI88)</f>
        <v>0</v>
      </c>
    </row>
    <row r="89" spans="1:39" s="17" customFormat="1" ht="20.100000000000001" customHeight="1">
      <c r="A89" s="41"/>
      <c r="B89" s="35"/>
      <c r="C89" s="38"/>
      <c r="D89" s="40"/>
      <c r="E89" s="40"/>
      <c r="F89" s="40"/>
      <c r="G89" s="59"/>
      <c r="H89" s="38"/>
      <c r="I89" s="38"/>
      <c r="J89" s="38"/>
      <c r="K89" s="38"/>
      <c r="M89" s="17" t="e">
        <f>SUM(O89:R89)</f>
        <v>#REF!</v>
      </c>
      <c r="N89" s="56" t="s">
        <v>283</v>
      </c>
      <c r="O89" s="189" t="e">
        <f t="shared" si="18"/>
        <v>#REF!</v>
      </c>
      <c r="P89" s="189" t="e">
        <f t="shared" si="18"/>
        <v>#REF!</v>
      </c>
      <c r="Q89" s="69" t="e">
        <f t="shared" si="18"/>
        <v>#REF!</v>
      </c>
      <c r="R89" s="69" t="e">
        <f t="shared" si="18"/>
        <v>#REF!</v>
      </c>
      <c r="S89" s="69">
        <v>0</v>
      </c>
      <c r="T89" s="69">
        <v>0</v>
      </c>
      <c r="U89" s="69">
        <v>0</v>
      </c>
      <c r="V89" s="69">
        <v>0</v>
      </c>
      <c r="W89" s="69">
        <v>0</v>
      </c>
      <c r="X89" s="69">
        <v>0</v>
      </c>
      <c r="Y89" s="69">
        <v>0</v>
      </c>
      <c r="Z89" s="69">
        <v>0</v>
      </c>
      <c r="AA89" s="69">
        <v>0</v>
      </c>
      <c r="AB89" s="69">
        <v>0</v>
      </c>
      <c r="AC89" s="69">
        <v>0</v>
      </c>
      <c r="AD89" s="69">
        <v>0</v>
      </c>
      <c r="AE89" s="69">
        <v>0</v>
      </c>
      <c r="AF89" s="69">
        <v>0</v>
      </c>
      <c r="AG89" s="69">
        <v>0</v>
      </c>
      <c r="AH89" s="69">
        <v>0</v>
      </c>
      <c r="AI89" s="69">
        <v>0</v>
      </c>
      <c r="AM89" s="69" t="e">
        <f t="shared" si="19"/>
        <v>#REF!</v>
      </c>
    </row>
    <row r="90" spans="1:39" s="17" customFormat="1" ht="20.100000000000001" customHeight="1">
      <c r="A90" s="41"/>
      <c r="B90" s="40"/>
      <c r="C90" s="40"/>
      <c r="D90" s="40"/>
      <c r="E90" s="40"/>
      <c r="F90" s="40"/>
      <c r="G90" s="40"/>
      <c r="M90" s="92">
        <v>0.1</v>
      </c>
      <c r="N90" s="763" t="s">
        <v>284</v>
      </c>
      <c r="O90" s="189">
        <f>+AP73</f>
        <v>0</v>
      </c>
      <c r="P90" s="189">
        <v>0</v>
      </c>
      <c r="Q90" s="114" t="e">
        <f>M83*M90*6/12*0</f>
        <v>#REF!</v>
      </c>
      <c r="R90" s="189" t="e">
        <f>($M$83-SUM($Q$91:Q91))*$M$90*6/12</f>
        <v>#REF!</v>
      </c>
      <c r="S90" s="189" t="e">
        <f>($M$83-SUM($Q$91:R91))*$M$90</f>
        <v>#REF!</v>
      </c>
      <c r="T90" s="189" t="e">
        <f>($M$83-SUM($Q$91:S91))*$M$90</f>
        <v>#REF!</v>
      </c>
      <c r="U90" s="189" t="e">
        <f>($M$83-SUM($Q$91:T91))*$M$90</f>
        <v>#REF!</v>
      </c>
      <c r="V90" s="189" t="e">
        <f>($M$83-SUM($Q$91:U91))*$M$90</f>
        <v>#REF!</v>
      </c>
      <c r="W90" s="189" t="e">
        <f>($M$83-SUM($Q$91:V91))*$M$90</f>
        <v>#REF!</v>
      </c>
      <c r="X90" s="189" t="e">
        <f>($M$83-SUM($Q$91:W91))*$M$90</f>
        <v>#REF!</v>
      </c>
      <c r="Y90" s="189" t="e">
        <f>($M$83-SUM($Q$91:X91))*$M$90</f>
        <v>#REF!</v>
      </c>
      <c r="Z90" s="189" t="e">
        <f>($M$83-SUM($Q$91:Y91))*$M$90</f>
        <v>#REF!</v>
      </c>
      <c r="AA90" s="189" t="e">
        <f>($M$83-SUM($Q$91:Z91))*$M$90</f>
        <v>#REF!</v>
      </c>
      <c r="AB90" s="189" t="e">
        <f>($M$83-SUM($Q$91:AA91))*$M$90</f>
        <v>#REF!</v>
      </c>
      <c r="AC90" s="189" t="e">
        <f>($M$83-SUM($Q$91:AB91))*$M$90</f>
        <v>#REF!</v>
      </c>
      <c r="AD90" s="189" t="e">
        <f>($M$83-SUM($Q$91:AC91))*$M$90</f>
        <v>#REF!</v>
      </c>
      <c r="AE90" s="189" t="e">
        <f>($M$83-SUM($Q$91:AD91))*$M$90</f>
        <v>#REF!</v>
      </c>
      <c r="AF90" s="189" t="e">
        <f>($M$83-SUM($Q$91:AE91))*$M$90</f>
        <v>#REF!</v>
      </c>
      <c r="AG90" s="189" t="e">
        <f>($M$83-SUM($Q$91:AF91))*$M$90</f>
        <v>#REF!</v>
      </c>
      <c r="AH90" s="189" t="e">
        <f>($M$83-SUM($Q$91:AG91))*$M$90</f>
        <v>#REF!</v>
      </c>
      <c r="AI90" s="189" t="e">
        <f>($M$83-SUM($Q$91:AH91))*$M$90</f>
        <v>#REF!</v>
      </c>
      <c r="AJ90" s="189" t="e">
        <f>($M$83-SUM($Q$91:AI91))*$M$90</f>
        <v>#REF!</v>
      </c>
      <c r="AM90" s="69" t="e">
        <f t="shared" si="19"/>
        <v>#REF!</v>
      </c>
    </row>
    <row r="91" spans="1:39" s="17" customFormat="1" ht="26.25" customHeight="1">
      <c r="A91" s="41"/>
      <c r="B91" s="59"/>
      <c r="C91" s="59"/>
      <c r="D91" s="59"/>
      <c r="E91" s="59"/>
      <c r="F91" s="40"/>
      <c r="G91" s="59"/>
      <c r="M91" s="17" t="e">
        <f>SUM(P91:AL91)</f>
        <v>#REF!</v>
      </c>
      <c r="N91" s="1214" t="s">
        <v>285</v>
      </c>
      <c r="O91" s="189">
        <f>+AP76</f>
        <v>0</v>
      </c>
      <c r="P91" s="189">
        <v>0</v>
      </c>
      <c r="Q91" s="69">
        <f>+$M$85/10*0</f>
        <v>0</v>
      </c>
      <c r="R91" s="69">
        <f>+$M$85/10*0</f>
        <v>0</v>
      </c>
      <c r="S91" s="69"/>
      <c r="T91" s="766" t="e">
        <f>+$M$89/16</f>
        <v>#REF!</v>
      </c>
      <c r="U91" s="766" t="e">
        <f t="shared" ref="U91:AI91" si="20">+$M$89/16</f>
        <v>#REF!</v>
      </c>
      <c r="V91" s="766" t="e">
        <f t="shared" si="20"/>
        <v>#REF!</v>
      </c>
      <c r="W91" s="766" t="e">
        <f t="shared" si="20"/>
        <v>#REF!</v>
      </c>
      <c r="X91" s="766" t="e">
        <f t="shared" si="20"/>
        <v>#REF!</v>
      </c>
      <c r="Y91" s="766" t="e">
        <f t="shared" si="20"/>
        <v>#REF!</v>
      </c>
      <c r="Z91" s="766" t="e">
        <f t="shared" si="20"/>
        <v>#REF!</v>
      </c>
      <c r="AA91" s="766" t="e">
        <f t="shared" si="20"/>
        <v>#REF!</v>
      </c>
      <c r="AB91" s="766" t="e">
        <f t="shared" si="20"/>
        <v>#REF!</v>
      </c>
      <c r="AC91" s="766" t="e">
        <f t="shared" si="20"/>
        <v>#REF!</v>
      </c>
      <c r="AD91" s="766" t="e">
        <f t="shared" si="20"/>
        <v>#REF!</v>
      </c>
      <c r="AE91" s="766" t="e">
        <f t="shared" si="20"/>
        <v>#REF!</v>
      </c>
      <c r="AF91" s="766" t="e">
        <f t="shared" si="20"/>
        <v>#REF!</v>
      </c>
      <c r="AG91" s="766" t="e">
        <f t="shared" si="20"/>
        <v>#REF!</v>
      </c>
      <c r="AH91" s="766" t="e">
        <f t="shared" si="20"/>
        <v>#REF!</v>
      </c>
      <c r="AI91" s="766" t="e">
        <f t="shared" si="20"/>
        <v>#REF!</v>
      </c>
      <c r="AM91" s="69" t="e">
        <f t="shared" si="19"/>
        <v>#REF!</v>
      </c>
    </row>
    <row r="92" spans="1:39" s="17" customFormat="1" ht="34.5" customHeight="1">
      <c r="A92" s="41"/>
      <c r="B92" s="38"/>
      <c r="C92" s="38"/>
      <c r="D92" s="38"/>
      <c r="E92" s="38"/>
      <c r="F92" s="38"/>
      <c r="G92" s="38"/>
      <c r="N92" s="1215" t="s">
        <v>286</v>
      </c>
      <c r="O92" s="191">
        <f t="shared" ref="O92:AL92" si="21">+O73</f>
        <v>0</v>
      </c>
      <c r="P92" s="191">
        <f t="shared" si="21"/>
        <v>0</v>
      </c>
      <c r="Q92" s="82" t="e">
        <f t="shared" si="21"/>
        <v>#REF!</v>
      </c>
      <c r="R92" s="82" t="e">
        <f t="shared" si="21"/>
        <v>#REF!</v>
      </c>
      <c r="S92" s="82" t="e">
        <f t="shared" si="21"/>
        <v>#REF!</v>
      </c>
      <c r="T92" s="82" t="e">
        <f t="shared" si="21"/>
        <v>#REF!</v>
      </c>
      <c r="U92" s="82" t="e">
        <f t="shared" si="21"/>
        <v>#REF!</v>
      </c>
      <c r="V92" s="82" t="e">
        <f t="shared" si="21"/>
        <v>#REF!</v>
      </c>
      <c r="W92" s="82" t="e">
        <f t="shared" si="21"/>
        <v>#REF!</v>
      </c>
      <c r="X92" s="82" t="e">
        <f t="shared" si="21"/>
        <v>#REF!</v>
      </c>
      <c r="Y92" s="82" t="e">
        <f t="shared" si="21"/>
        <v>#REF!</v>
      </c>
      <c r="Z92" s="82" t="e">
        <f t="shared" si="21"/>
        <v>#REF!</v>
      </c>
      <c r="AA92" s="82" t="e">
        <f t="shared" si="21"/>
        <v>#REF!</v>
      </c>
      <c r="AB92" s="82" t="e">
        <f t="shared" si="21"/>
        <v>#REF!</v>
      </c>
      <c r="AC92" s="82" t="e">
        <f t="shared" si="21"/>
        <v>#REF!</v>
      </c>
      <c r="AD92" s="82" t="e">
        <f t="shared" si="21"/>
        <v>#REF!</v>
      </c>
      <c r="AE92" s="82" t="e">
        <f t="shared" si="21"/>
        <v>#REF!</v>
      </c>
      <c r="AF92" s="82" t="e">
        <f t="shared" si="21"/>
        <v>#REF!</v>
      </c>
      <c r="AG92" s="82" t="e">
        <f t="shared" si="21"/>
        <v>#REF!</v>
      </c>
      <c r="AH92" s="82" t="e">
        <f t="shared" si="21"/>
        <v>#REF!</v>
      </c>
      <c r="AI92" s="82" t="e">
        <f t="shared" si="21"/>
        <v>#REF!</v>
      </c>
      <c r="AJ92" s="82" t="e">
        <f t="shared" si="21"/>
        <v>#REF!</v>
      </c>
      <c r="AK92" s="82" t="e">
        <f t="shared" si="21"/>
        <v>#REF!</v>
      </c>
      <c r="AL92" s="82">
        <f t="shared" si="21"/>
        <v>141.8440220735998</v>
      </c>
      <c r="AM92" s="69" t="e">
        <f t="shared" si="19"/>
        <v>#REF!</v>
      </c>
    </row>
    <row r="93" spans="1:39" s="17" customFormat="1" ht="20.100000000000001" customHeight="1">
      <c r="A93" s="93"/>
      <c r="B93" s="80"/>
      <c r="C93" s="35"/>
      <c r="D93" s="38"/>
      <c r="E93" s="40"/>
      <c r="F93" s="94"/>
      <c r="G93" s="40"/>
      <c r="N93" s="56" t="s">
        <v>72</v>
      </c>
      <c r="O93" s="189" t="e">
        <f t="shared" ref="O93:AL93" si="22">SUM(O87:O92)</f>
        <v>#REF!</v>
      </c>
      <c r="P93" s="189" t="e">
        <f t="shared" si="22"/>
        <v>#REF!</v>
      </c>
      <c r="Q93" s="69" t="e">
        <f t="shared" si="22"/>
        <v>#REF!</v>
      </c>
      <c r="R93" s="69" t="e">
        <f t="shared" si="22"/>
        <v>#REF!</v>
      </c>
      <c r="S93" s="69" t="e">
        <f t="shared" si="22"/>
        <v>#REF!</v>
      </c>
      <c r="T93" s="69" t="e">
        <f t="shared" si="22"/>
        <v>#REF!</v>
      </c>
      <c r="U93" s="69" t="e">
        <f t="shared" si="22"/>
        <v>#REF!</v>
      </c>
      <c r="V93" s="69" t="e">
        <f t="shared" si="22"/>
        <v>#REF!</v>
      </c>
      <c r="W93" s="69" t="e">
        <f t="shared" si="22"/>
        <v>#REF!</v>
      </c>
      <c r="X93" s="69" t="e">
        <f t="shared" si="22"/>
        <v>#REF!</v>
      </c>
      <c r="Y93" s="69" t="e">
        <f t="shared" si="22"/>
        <v>#REF!</v>
      </c>
      <c r="Z93" s="69" t="e">
        <f t="shared" si="22"/>
        <v>#REF!</v>
      </c>
      <c r="AA93" s="69" t="e">
        <f t="shared" si="22"/>
        <v>#REF!</v>
      </c>
      <c r="AB93" s="69" t="e">
        <f t="shared" si="22"/>
        <v>#REF!</v>
      </c>
      <c r="AC93" s="69" t="e">
        <f t="shared" si="22"/>
        <v>#REF!</v>
      </c>
      <c r="AD93" s="69" t="e">
        <f t="shared" si="22"/>
        <v>#REF!</v>
      </c>
      <c r="AE93" s="69" t="e">
        <f t="shared" si="22"/>
        <v>#REF!</v>
      </c>
      <c r="AF93" s="69" t="e">
        <f t="shared" si="22"/>
        <v>#REF!</v>
      </c>
      <c r="AG93" s="69" t="e">
        <f t="shared" si="22"/>
        <v>#REF!</v>
      </c>
      <c r="AH93" s="69" t="e">
        <f t="shared" si="22"/>
        <v>#REF!</v>
      </c>
      <c r="AI93" s="69" t="e">
        <f t="shared" si="22"/>
        <v>#REF!</v>
      </c>
      <c r="AJ93" s="69" t="e">
        <f t="shared" si="22"/>
        <v>#REF!</v>
      </c>
      <c r="AK93" s="69" t="e">
        <f t="shared" si="22"/>
        <v>#REF!</v>
      </c>
      <c r="AL93" s="69">
        <f t="shared" si="22"/>
        <v>141.8440220735998</v>
      </c>
      <c r="AM93" s="69" t="e">
        <f t="shared" si="19"/>
        <v>#REF!</v>
      </c>
    </row>
    <row r="94" spans="1:39" s="17" customFormat="1" ht="20.100000000000001" customHeight="1" thickBot="1">
      <c r="A94" s="38"/>
      <c r="B94" s="38"/>
      <c r="C94" s="38"/>
      <c r="D94" s="38"/>
      <c r="E94" s="38"/>
      <c r="F94" s="38"/>
      <c r="G94" s="38"/>
      <c r="N94" s="95" t="s">
        <v>287</v>
      </c>
      <c r="O94" s="194" t="e">
        <f t="shared" ref="O94:AL94" si="23">+O84-O93</f>
        <v>#REF!</v>
      </c>
      <c r="P94" s="194" t="e">
        <f t="shared" si="23"/>
        <v>#REF!</v>
      </c>
      <c r="Q94" s="96" t="e">
        <f t="shared" si="23"/>
        <v>#REF!</v>
      </c>
      <c r="R94" s="96" t="e">
        <f t="shared" si="23"/>
        <v>#REF!</v>
      </c>
      <c r="S94" s="96" t="e">
        <f t="shared" si="23"/>
        <v>#REF!</v>
      </c>
      <c r="T94" s="96" t="e">
        <f t="shared" si="23"/>
        <v>#REF!</v>
      </c>
      <c r="U94" s="96" t="e">
        <f t="shared" si="23"/>
        <v>#REF!</v>
      </c>
      <c r="V94" s="96" t="e">
        <f t="shared" si="23"/>
        <v>#REF!</v>
      </c>
      <c r="W94" s="96" t="e">
        <f t="shared" si="23"/>
        <v>#REF!</v>
      </c>
      <c r="X94" s="96" t="e">
        <f t="shared" si="23"/>
        <v>#REF!</v>
      </c>
      <c r="Y94" s="96" t="e">
        <f t="shared" si="23"/>
        <v>#REF!</v>
      </c>
      <c r="Z94" s="96" t="e">
        <f t="shared" si="23"/>
        <v>#REF!</v>
      </c>
      <c r="AA94" s="96" t="e">
        <f t="shared" si="23"/>
        <v>#REF!</v>
      </c>
      <c r="AB94" s="96" t="e">
        <f t="shared" si="23"/>
        <v>#REF!</v>
      </c>
      <c r="AC94" s="96" t="e">
        <f t="shared" si="23"/>
        <v>#REF!</v>
      </c>
      <c r="AD94" s="96" t="e">
        <f t="shared" si="23"/>
        <v>#REF!</v>
      </c>
      <c r="AE94" s="96" t="e">
        <f t="shared" si="23"/>
        <v>#REF!</v>
      </c>
      <c r="AF94" s="96" t="e">
        <f t="shared" si="23"/>
        <v>#REF!</v>
      </c>
      <c r="AG94" s="96" t="e">
        <f t="shared" si="23"/>
        <v>#REF!</v>
      </c>
      <c r="AH94" s="96" t="e">
        <f t="shared" si="23"/>
        <v>#REF!</v>
      </c>
      <c r="AI94" s="96" t="e">
        <f t="shared" si="23"/>
        <v>#REF!</v>
      </c>
      <c r="AJ94" s="96" t="e">
        <f t="shared" si="23"/>
        <v>#REF!</v>
      </c>
      <c r="AK94" s="96" t="e">
        <f t="shared" si="23"/>
        <v>#REF!</v>
      </c>
      <c r="AL94" s="96">
        <f t="shared" si="23"/>
        <v>264.07408138793801</v>
      </c>
      <c r="AM94" s="69" t="e">
        <f t="shared" si="19"/>
        <v>#REF!</v>
      </c>
    </row>
    <row r="95" spans="1:39" s="17" customFormat="1" ht="20.100000000000001" customHeight="1" thickBot="1">
      <c r="A95" s="38"/>
      <c r="B95" s="38"/>
      <c r="C95" s="38"/>
      <c r="D95" s="38"/>
      <c r="E95" s="38"/>
      <c r="F95" s="38"/>
      <c r="G95" s="38"/>
      <c r="N95" s="97" t="s">
        <v>288</v>
      </c>
      <c r="O95" s="195" t="e">
        <f>SUM($O$94:O94)</f>
        <v>#REF!</v>
      </c>
      <c r="P95" s="195" t="e">
        <f>SUM($O$94:P94)</f>
        <v>#REF!</v>
      </c>
      <c r="Q95" s="195" t="e">
        <f>SUM($O$94:Q94)</f>
        <v>#REF!</v>
      </c>
      <c r="R95" s="195" t="e">
        <f>SUM($O$94:R94)</f>
        <v>#REF!</v>
      </c>
      <c r="S95" s="195" t="e">
        <f>SUM($O$94:S94)</f>
        <v>#REF!</v>
      </c>
      <c r="T95" s="195" t="e">
        <f>SUM($O$94:T94)</f>
        <v>#REF!</v>
      </c>
      <c r="U95" s="195" t="e">
        <f>SUM($O$94:U94)</f>
        <v>#REF!</v>
      </c>
      <c r="V95" s="195" t="e">
        <f>SUM($O$94:V94)</f>
        <v>#REF!</v>
      </c>
      <c r="W95" s="195" t="e">
        <f>SUM($O$94:W94)</f>
        <v>#REF!</v>
      </c>
      <c r="X95" s="195" t="e">
        <f>SUM($O$94:X94)</f>
        <v>#REF!</v>
      </c>
      <c r="Y95" s="195" t="e">
        <f>SUM($O$94:Y94)</f>
        <v>#REF!</v>
      </c>
      <c r="Z95" s="195" t="e">
        <f>SUM($O$94:Z94)</f>
        <v>#REF!</v>
      </c>
      <c r="AA95" s="195" t="e">
        <f>SUM($O$94:AA94)</f>
        <v>#REF!</v>
      </c>
      <c r="AB95" s="195" t="e">
        <f>SUM($O$94:AB94)</f>
        <v>#REF!</v>
      </c>
      <c r="AC95" s="195" t="e">
        <f>SUM($O$94:AC94)</f>
        <v>#REF!</v>
      </c>
      <c r="AD95" s="195" t="e">
        <f>SUM($O$94:AD94)</f>
        <v>#REF!</v>
      </c>
      <c r="AE95" s="195" t="e">
        <f>SUM($O$94:AE94)</f>
        <v>#REF!</v>
      </c>
      <c r="AF95" s="195" t="e">
        <f>SUM($O$94:AF94)</f>
        <v>#REF!</v>
      </c>
      <c r="AG95" s="195" t="e">
        <f>SUM($O$94:AG94)</f>
        <v>#REF!</v>
      </c>
      <c r="AH95" s="195" t="e">
        <f>SUM($O$94:AH94)</f>
        <v>#REF!</v>
      </c>
      <c r="AI95" s="195" t="e">
        <f>SUM($O$94:AI94)</f>
        <v>#REF!</v>
      </c>
      <c r="AJ95" s="195" t="e">
        <f>SUM($O$94:AJ94)</f>
        <v>#REF!</v>
      </c>
      <c r="AK95" s="195" t="e">
        <f>SUM($O$94:AK94)</f>
        <v>#REF!</v>
      </c>
      <c r="AL95" s="195" t="e">
        <f>SUM($O$94:AL94)</f>
        <v>#REF!</v>
      </c>
      <c r="AM95" s="69"/>
    </row>
    <row r="96" spans="1:39" s="17" customFormat="1" ht="20.100000000000001" customHeight="1">
      <c r="A96" s="38"/>
      <c r="B96" s="38"/>
      <c r="C96" s="38"/>
      <c r="D96" s="38"/>
      <c r="E96" s="38"/>
      <c r="F96" s="38"/>
      <c r="G96" s="38"/>
      <c r="O96" s="114"/>
      <c r="P96" s="114"/>
      <c r="V96" s="17">
        <f>+V77</f>
        <v>0</v>
      </c>
      <c r="AH96" s="17">
        <f>+V96</f>
        <v>0</v>
      </c>
    </row>
    <row r="97" spans="1:42" s="17" customFormat="1" ht="20.100000000000001" customHeight="1">
      <c r="N97" s="18" t="s">
        <v>289</v>
      </c>
      <c r="O97" s="114"/>
      <c r="P97" s="114"/>
      <c r="Q97" s="32"/>
      <c r="T97" s="38"/>
      <c r="U97" s="39"/>
      <c r="V97" s="39"/>
      <c r="W97" s="39"/>
      <c r="X97" s="39"/>
      <c r="Y97" s="39"/>
      <c r="Z97" s="39"/>
      <c r="AA97" s="39"/>
      <c r="AB97" s="39"/>
      <c r="AC97" s="39"/>
      <c r="AD97" s="39"/>
      <c r="AM97" s="69"/>
    </row>
    <row r="98" spans="1:42" s="17" customFormat="1" ht="20.100000000000001" customHeight="1">
      <c r="A98" s="38"/>
      <c r="B98" s="35"/>
      <c r="C98" s="38"/>
      <c r="D98" s="38"/>
      <c r="E98" s="40"/>
      <c r="F98" s="40"/>
      <c r="G98" s="40"/>
      <c r="N98" s="18"/>
      <c r="O98" s="114"/>
      <c r="P98" s="114"/>
      <c r="Q98" s="32"/>
      <c r="T98" s="38"/>
      <c r="U98" s="39">
        <f>+U79</f>
        <v>0</v>
      </c>
      <c r="V98" s="39"/>
      <c r="W98" s="39"/>
      <c r="X98" s="39"/>
      <c r="Y98" s="39"/>
      <c r="Z98" s="39"/>
      <c r="AA98" s="39"/>
      <c r="AB98" s="39"/>
      <c r="AC98" s="39"/>
      <c r="AD98" s="39"/>
      <c r="AH98" s="17">
        <f>+U98</f>
        <v>0</v>
      </c>
      <c r="AM98" s="69"/>
    </row>
    <row r="99" spans="1:42" s="17" customFormat="1" ht="20.100000000000001" customHeight="1">
      <c r="A99" s="38"/>
      <c r="B99" s="59"/>
      <c r="C99" s="59"/>
      <c r="D99" s="59"/>
      <c r="E99" s="59"/>
      <c r="F99" s="59"/>
      <c r="G99" s="59"/>
      <c r="N99" s="25" t="s">
        <v>1</v>
      </c>
      <c r="O99" s="187" t="str">
        <f t="shared" ref="O99:AL99" si="24">+O67</f>
        <v>Yr 1</v>
      </c>
      <c r="P99" s="187" t="str">
        <f t="shared" si="24"/>
        <v>Yr 2</v>
      </c>
      <c r="Q99" s="65" t="str">
        <f t="shared" si="24"/>
        <v>Yr 3</v>
      </c>
      <c r="R99" s="65" t="str">
        <f t="shared" si="24"/>
        <v>Yr 4</v>
      </c>
      <c r="S99" s="65" t="str">
        <f t="shared" si="24"/>
        <v>Yr 5</v>
      </c>
      <c r="T99" s="65" t="str">
        <f t="shared" si="24"/>
        <v>Yr 6</v>
      </c>
      <c r="U99" s="65" t="str">
        <f t="shared" si="24"/>
        <v>Yr 7</v>
      </c>
      <c r="V99" s="65" t="str">
        <f t="shared" si="24"/>
        <v>Yr 8</v>
      </c>
      <c r="W99" s="65" t="str">
        <f t="shared" si="24"/>
        <v>Yr 9</v>
      </c>
      <c r="X99" s="65" t="str">
        <f t="shared" si="24"/>
        <v>Yr 10</v>
      </c>
      <c r="Y99" s="65" t="str">
        <f t="shared" si="24"/>
        <v>Yr 11</v>
      </c>
      <c r="Z99" s="65" t="str">
        <f t="shared" si="24"/>
        <v>Yr 12</v>
      </c>
      <c r="AA99" s="65" t="str">
        <f t="shared" si="24"/>
        <v>Yr 13</v>
      </c>
      <c r="AB99" s="65" t="str">
        <f t="shared" si="24"/>
        <v>Yr 14</v>
      </c>
      <c r="AC99" s="65" t="str">
        <f t="shared" si="24"/>
        <v>Yr 15</v>
      </c>
      <c r="AD99" s="65" t="str">
        <f t="shared" si="24"/>
        <v>Yr 16</v>
      </c>
      <c r="AE99" s="65" t="str">
        <f t="shared" si="24"/>
        <v>Yr 17</v>
      </c>
      <c r="AF99" s="65" t="str">
        <f t="shared" si="24"/>
        <v>Yr 18</v>
      </c>
      <c r="AG99" s="65" t="str">
        <f t="shared" si="24"/>
        <v>Yr 19</v>
      </c>
      <c r="AH99" s="65" t="str">
        <f t="shared" si="24"/>
        <v>Yr 20</v>
      </c>
      <c r="AI99" s="65" t="str">
        <f t="shared" si="24"/>
        <v>Yr 21</v>
      </c>
      <c r="AJ99" s="65" t="str">
        <f t="shared" si="24"/>
        <v>Yr 22</v>
      </c>
      <c r="AK99" s="65" t="str">
        <f t="shared" si="24"/>
        <v>Yr 23</v>
      </c>
      <c r="AL99" s="65" t="str">
        <f t="shared" si="24"/>
        <v>Yr 24</v>
      </c>
      <c r="AM99" s="99" t="s">
        <v>951</v>
      </c>
      <c r="AN99" s="26" t="s">
        <v>952</v>
      </c>
      <c r="AO99" s="26" t="s">
        <v>952</v>
      </c>
      <c r="AP99" s="26" t="s">
        <v>953</v>
      </c>
    </row>
    <row r="100" spans="1:42" s="17" customFormat="1" ht="20.100000000000001" customHeight="1">
      <c r="A100" s="38"/>
      <c r="B100" s="40"/>
      <c r="C100" s="40"/>
      <c r="D100" s="40"/>
      <c r="E100" s="40"/>
      <c r="F100" s="40"/>
      <c r="G100" s="40"/>
      <c r="M100" s="27" t="s">
        <v>9</v>
      </c>
      <c r="N100" s="18" t="s">
        <v>290</v>
      </c>
      <c r="O100" s="196"/>
      <c r="P100" s="196"/>
      <c r="Q100" s="100"/>
      <c r="R100" s="100"/>
      <c r="S100" s="100"/>
      <c r="T100" s="100"/>
      <c r="U100" s="100"/>
      <c r="V100" s="100"/>
      <c r="W100" s="100"/>
      <c r="X100" s="100"/>
      <c r="Y100" s="100"/>
      <c r="Z100" s="100"/>
      <c r="AA100" s="100"/>
      <c r="AB100" s="100"/>
      <c r="AC100" s="100"/>
      <c r="AD100" s="100"/>
      <c r="AE100" s="100"/>
      <c r="AF100" s="100"/>
      <c r="AG100" s="100"/>
      <c r="AH100" s="100"/>
      <c r="AI100" s="100"/>
      <c r="AM100" s="99"/>
      <c r="AN100" s="26"/>
      <c r="AO100" s="26"/>
      <c r="AP100" s="26"/>
    </row>
    <row r="101" spans="1:42" s="17" customFormat="1" ht="20.100000000000001" customHeight="1">
      <c r="A101" s="38"/>
      <c r="B101" s="59"/>
      <c r="C101" s="59"/>
      <c r="D101" s="59"/>
      <c r="E101" s="59"/>
      <c r="F101" s="59"/>
      <c r="G101" s="59"/>
      <c r="K101" s="17" t="e">
        <f>+C73</f>
        <v>#REF!</v>
      </c>
      <c r="L101" s="17" t="e">
        <f>SUM(O101:R101)</f>
        <v>#REF!</v>
      </c>
      <c r="M101" s="101">
        <v>1</v>
      </c>
      <c r="N101" s="17" t="s">
        <v>291</v>
      </c>
      <c r="O101" s="197" t="e">
        <f>+C68</f>
        <v>#REF!</v>
      </c>
      <c r="P101" s="197" t="e">
        <f>+C69</f>
        <v>#REF!</v>
      </c>
      <c r="Q101" s="102" t="e">
        <f>C70</f>
        <v>#REF!</v>
      </c>
      <c r="R101" s="102" t="e">
        <f>C71+C72</f>
        <v>#REF!</v>
      </c>
      <c r="S101" s="102">
        <f t="shared" ref="S101:AI101" si="25">+S88+S89</f>
        <v>0</v>
      </c>
      <c r="T101" s="102">
        <f t="shared" si="25"/>
        <v>0</v>
      </c>
      <c r="U101" s="102">
        <f t="shared" si="25"/>
        <v>0</v>
      </c>
      <c r="V101" s="102">
        <f t="shared" si="25"/>
        <v>0</v>
      </c>
      <c r="W101" s="102">
        <f t="shared" si="25"/>
        <v>0</v>
      </c>
      <c r="X101" s="102">
        <f t="shared" si="25"/>
        <v>0</v>
      </c>
      <c r="Y101" s="102">
        <f t="shared" si="25"/>
        <v>0</v>
      </c>
      <c r="Z101" s="102">
        <f t="shared" si="25"/>
        <v>0</v>
      </c>
      <c r="AA101" s="102">
        <f t="shared" si="25"/>
        <v>0</v>
      </c>
      <c r="AB101" s="102">
        <f t="shared" si="25"/>
        <v>0</v>
      </c>
      <c r="AC101" s="102">
        <f t="shared" si="25"/>
        <v>0</v>
      </c>
      <c r="AD101" s="102">
        <f t="shared" si="25"/>
        <v>0</v>
      </c>
      <c r="AE101" s="102">
        <f t="shared" si="25"/>
        <v>0</v>
      </c>
      <c r="AF101" s="102">
        <f t="shared" si="25"/>
        <v>0</v>
      </c>
      <c r="AG101" s="102">
        <f t="shared" si="25"/>
        <v>0</v>
      </c>
      <c r="AH101" s="102">
        <f t="shared" si="25"/>
        <v>0</v>
      </c>
      <c r="AI101" s="102">
        <f t="shared" si="25"/>
        <v>0</v>
      </c>
      <c r="AM101" s="69" t="e">
        <f>NPV(0.1,O101:AJ101)</f>
        <v>#REF!</v>
      </c>
      <c r="AP101" s="17" t="e">
        <f>+AM105/AM101</f>
        <v>#REF!</v>
      </c>
    </row>
    <row r="102" spans="1:42" s="17" customFormat="1" ht="20.100000000000001" customHeight="1">
      <c r="B102" s="38"/>
      <c r="C102" s="38"/>
      <c r="D102" s="38"/>
      <c r="E102" s="38"/>
      <c r="F102" s="38"/>
      <c r="G102" s="38"/>
      <c r="M102" s="101">
        <v>2</v>
      </c>
      <c r="N102" s="17" t="s">
        <v>286</v>
      </c>
      <c r="O102" s="197">
        <f t="shared" ref="O102:AL102" si="26">+O73</f>
        <v>0</v>
      </c>
      <c r="P102" s="197">
        <f t="shared" si="26"/>
        <v>0</v>
      </c>
      <c r="Q102" s="102" t="e">
        <f t="shared" si="26"/>
        <v>#REF!</v>
      </c>
      <c r="R102" s="102" t="e">
        <f t="shared" si="26"/>
        <v>#REF!</v>
      </c>
      <c r="S102" s="102" t="e">
        <f t="shared" si="26"/>
        <v>#REF!</v>
      </c>
      <c r="T102" s="102" t="e">
        <f t="shared" si="26"/>
        <v>#REF!</v>
      </c>
      <c r="U102" s="102" t="e">
        <f t="shared" si="26"/>
        <v>#REF!</v>
      </c>
      <c r="V102" s="102" t="e">
        <f t="shared" si="26"/>
        <v>#REF!</v>
      </c>
      <c r="W102" s="102" t="e">
        <f t="shared" si="26"/>
        <v>#REF!</v>
      </c>
      <c r="X102" s="102" t="e">
        <f t="shared" si="26"/>
        <v>#REF!</v>
      </c>
      <c r="Y102" s="102" t="e">
        <f t="shared" si="26"/>
        <v>#REF!</v>
      </c>
      <c r="Z102" s="102" t="e">
        <f t="shared" si="26"/>
        <v>#REF!</v>
      </c>
      <c r="AA102" s="102" t="e">
        <f t="shared" si="26"/>
        <v>#REF!</v>
      </c>
      <c r="AB102" s="102" t="e">
        <f t="shared" si="26"/>
        <v>#REF!</v>
      </c>
      <c r="AC102" s="102" t="e">
        <f t="shared" si="26"/>
        <v>#REF!</v>
      </c>
      <c r="AD102" s="102" t="e">
        <f t="shared" si="26"/>
        <v>#REF!</v>
      </c>
      <c r="AE102" s="102" t="e">
        <f t="shared" si="26"/>
        <v>#REF!</v>
      </c>
      <c r="AF102" s="102" t="e">
        <f t="shared" si="26"/>
        <v>#REF!</v>
      </c>
      <c r="AG102" s="102" t="e">
        <f t="shared" si="26"/>
        <v>#REF!</v>
      </c>
      <c r="AH102" s="102" t="e">
        <f t="shared" si="26"/>
        <v>#REF!</v>
      </c>
      <c r="AI102" s="102" t="e">
        <f t="shared" si="26"/>
        <v>#REF!</v>
      </c>
      <c r="AJ102" s="102" t="e">
        <f t="shared" si="26"/>
        <v>#REF!</v>
      </c>
      <c r="AK102" s="102" t="e">
        <f t="shared" si="26"/>
        <v>#REF!</v>
      </c>
      <c r="AL102" s="102">
        <f t="shared" si="26"/>
        <v>141.8440220735998</v>
      </c>
      <c r="AM102" s="69" t="e">
        <f>NPV(0.1,O102:AJ102)</f>
        <v>#REF!</v>
      </c>
    </row>
    <row r="103" spans="1:42" s="17" customFormat="1" ht="20.100000000000001" customHeight="1">
      <c r="A103" s="38"/>
      <c r="B103" s="76"/>
      <c r="C103" s="38"/>
      <c r="D103" s="38"/>
      <c r="M103" s="101"/>
      <c r="N103" s="103" t="s">
        <v>292</v>
      </c>
      <c r="O103" s="197" t="e">
        <f t="shared" ref="O103:AL103" si="27">SUM(O101:O102)</f>
        <v>#REF!</v>
      </c>
      <c r="P103" s="197" t="e">
        <f t="shared" si="27"/>
        <v>#REF!</v>
      </c>
      <c r="Q103" s="102" t="e">
        <f t="shared" si="27"/>
        <v>#REF!</v>
      </c>
      <c r="R103" s="102" t="e">
        <f t="shared" si="27"/>
        <v>#REF!</v>
      </c>
      <c r="S103" s="102" t="e">
        <f t="shared" si="27"/>
        <v>#REF!</v>
      </c>
      <c r="T103" s="102" t="e">
        <f t="shared" si="27"/>
        <v>#REF!</v>
      </c>
      <c r="U103" s="102" t="e">
        <f t="shared" si="27"/>
        <v>#REF!</v>
      </c>
      <c r="V103" s="102" t="e">
        <f t="shared" si="27"/>
        <v>#REF!</v>
      </c>
      <c r="W103" s="102" t="e">
        <f t="shared" si="27"/>
        <v>#REF!</v>
      </c>
      <c r="X103" s="102" t="e">
        <f t="shared" si="27"/>
        <v>#REF!</v>
      </c>
      <c r="Y103" s="102" t="e">
        <f t="shared" si="27"/>
        <v>#REF!</v>
      </c>
      <c r="Z103" s="102" t="e">
        <f t="shared" si="27"/>
        <v>#REF!</v>
      </c>
      <c r="AA103" s="102" t="e">
        <f t="shared" si="27"/>
        <v>#REF!</v>
      </c>
      <c r="AB103" s="102" t="e">
        <f t="shared" si="27"/>
        <v>#REF!</v>
      </c>
      <c r="AC103" s="102" t="e">
        <f t="shared" si="27"/>
        <v>#REF!</v>
      </c>
      <c r="AD103" s="102" t="e">
        <f t="shared" si="27"/>
        <v>#REF!</v>
      </c>
      <c r="AE103" s="102" t="e">
        <f t="shared" si="27"/>
        <v>#REF!</v>
      </c>
      <c r="AF103" s="102" t="e">
        <f t="shared" si="27"/>
        <v>#REF!</v>
      </c>
      <c r="AG103" s="102" t="e">
        <f t="shared" si="27"/>
        <v>#REF!</v>
      </c>
      <c r="AH103" s="102" t="e">
        <f t="shared" si="27"/>
        <v>#REF!</v>
      </c>
      <c r="AI103" s="102" t="e">
        <f t="shared" si="27"/>
        <v>#REF!</v>
      </c>
      <c r="AJ103" s="102" t="e">
        <f t="shared" si="27"/>
        <v>#REF!</v>
      </c>
      <c r="AK103" s="102" t="e">
        <f t="shared" si="27"/>
        <v>#REF!</v>
      </c>
      <c r="AL103" s="102">
        <f t="shared" si="27"/>
        <v>141.8440220735998</v>
      </c>
      <c r="AM103" s="69"/>
    </row>
    <row r="104" spans="1:42" s="17" customFormat="1" ht="20.100000000000001" customHeight="1">
      <c r="B104" s="35"/>
      <c r="C104" s="35"/>
      <c r="D104" s="38"/>
      <c r="E104" s="32"/>
      <c r="F104" s="52"/>
      <c r="G104" s="32"/>
      <c r="M104" s="27" t="s">
        <v>10</v>
      </c>
      <c r="N104" s="18" t="s">
        <v>293</v>
      </c>
      <c r="O104" s="197"/>
      <c r="P104" s="197"/>
      <c r="Q104" s="102"/>
      <c r="R104" s="102"/>
      <c r="S104" s="102"/>
      <c r="T104" s="102"/>
      <c r="U104" s="102"/>
      <c r="V104" s="102"/>
      <c r="W104" s="102"/>
      <c r="X104" s="102"/>
      <c r="Y104" s="102"/>
      <c r="Z104" s="102"/>
      <c r="AA104" s="102"/>
      <c r="AB104" s="102"/>
      <c r="AC104" s="102"/>
      <c r="AD104" s="102"/>
      <c r="AE104" s="102"/>
      <c r="AF104" s="102"/>
      <c r="AG104" s="102"/>
      <c r="AH104" s="102"/>
      <c r="AI104" s="102"/>
      <c r="AJ104" s="102"/>
      <c r="AK104" s="102"/>
      <c r="AL104" s="102"/>
      <c r="AM104" s="69"/>
    </row>
    <row r="105" spans="1:42" s="17" customFormat="1" ht="20.100000000000001" customHeight="1">
      <c r="A105" s="38"/>
      <c r="B105" s="40"/>
      <c r="C105" s="35"/>
      <c r="D105" s="38"/>
      <c r="E105" s="32"/>
      <c r="F105" s="55"/>
      <c r="G105" s="32"/>
      <c r="M105" s="101">
        <v>1</v>
      </c>
      <c r="N105" s="17" t="s">
        <v>294</v>
      </c>
      <c r="O105" s="185">
        <f t="shared" ref="O105:AK105" si="28">+O81</f>
        <v>0</v>
      </c>
      <c r="P105" s="185">
        <f t="shared" si="28"/>
        <v>0</v>
      </c>
      <c r="Q105" s="104">
        <f t="shared" si="28"/>
        <v>0</v>
      </c>
      <c r="R105" s="104">
        <f t="shared" si="28"/>
        <v>324.73448276923034</v>
      </c>
      <c r="S105" s="104">
        <f t="shared" si="28"/>
        <v>730.65258623076818</v>
      </c>
      <c r="T105" s="104">
        <f t="shared" si="28"/>
        <v>811.83620692307568</v>
      </c>
      <c r="U105" s="104">
        <f t="shared" si="28"/>
        <v>811.83620692307568</v>
      </c>
      <c r="V105" s="104">
        <f t="shared" si="28"/>
        <v>811.83620692307568</v>
      </c>
      <c r="W105" s="104">
        <f t="shared" si="28"/>
        <v>811.83620692307568</v>
      </c>
      <c r="X105" s="104">
        <f t="shared" si="28"/>
        <v>811.83620692307568</v>
      </c>
      <c r="Y105" s="104">
        <f t="shared" si="28"/>
        <v>811.83620692307568</v>
      </c>
      <c r="Z105" s="104">
        <f t="shared" si="28"/>
        <v>811.83620692307568</v>
      </c>
      <c r="AA105" s="104">
        <f t="shared" si="28"/>
        <v>811.83620692307568</v>
      </c>
      <c r="AB105" s="104">
        <f t="shared" si="28"/>
        <v>811.83620692307568</v>
      </c>
      <c r="AC105" s="104">
        <f t="shared" si="28"/>
        <v>811.83620692307568</v>
      </c>
      <c r="AD105" s="104">
        <f t="shared" si="28"/>
        <v>811.83620692307568</v>
      </c>
      <c r="AE105" s="104">
        <f t="shared" si="28"/>
        <v>811.83620692307568</v>
      </c>
      <c r="AF105" s="104">
        <f t="shared" si="28"/>
        <v>811.83620692307568</v>
      </c>
      <c r="AG105" s="104">
        <f t="shared" si="28"/>
        <v>811.83620692307568</v>
      </c>
      <c r="AH105" s="104">
        <f t="shared" si="28"/>
        <v>811.83620692307568</v>
      </c>
      <c r="AI105" s="104">
        <f t="shared" si="28"/>
        <v>811.83620692307568</v>
      </c>
      <c r="AJ105" s="104">
        <f t="shared" si="28"/>
        <v>811.83620692307568</v>
      </c>
      <c r="AK105" s="104">
        <f t="shared" si="28"/>
        <v>811.83620692307568</v>
      </c>
      <c r="AL105" s="104" t="e">
        <f>+AL81+AO70*0.05</f>
        <v>#REF!</v>
      </c>
      <c r="AM105" s="69">
        <f>NPV(0.1,O105:AJ105)</f>
        <v>4719.0318165731951</v>
      </c>
    </row>
    <row r="106" spans="1:42" s="17" customFormat="1" ht="20.100000000000001" customHeight="1">
      <c r="A106" s="38"/>
      <c r="B106" s="40"/>
      <c r="C106" s="35"/>
      <c r="D106" s="38"/>
      <c r="E106" s="32"/>
      <c r="F106" s="55"/>
      <c r="G106" s="32"/>
      <c r="L106" s="17" t="e">
        <f>SUM(O106:S106)</f>
        <v>#REF!</v>
      </c>
      <c r="M106" s="101">
        <v>2</v>
      </c>
      <c r="N106" s="17" t="s">
        <v>954</v>
      </c>
      <c r="O106" s="185"/>
      <c r="P106" s="185"/>
      <c r="Q106" s="185"/>
      <c r="R106" s="185" t="e">
        <f>+$J$73/2</f>
        <v>#REF!</v>
      </c>
      <c r="S106" s="185" t="e">
        <f>+$J$73/2</f>
        <v>#REF!</v>
      </c>
      <c r="T106" s="104"/>
      <c r="U106" s="104"/>
      <c r="V106" s="104"/>
      <c r="W106" s="104"/>
      <c r="X106" s="104"/>
      <c r="Y106" s="104"/>
      <c r="Z106" s="104"/>
      <c r="AA106" s="104"/>
      <c r="AB106" s="104"/>
      <c r="AC106" s="104"/>
      <c r="AD106" s="104"/>
      <c r="AE106" s="104"/>
      <c r="AF106" s="104"/>
      <c r="AG106" s="104"/>
      <c r="AH106" s="104"/>
      <c r="AI106" s="104"/>
      <c r="AJ106" s="104"/>
      <c r="AK106" s="104"/>
      <c r="AL106" s="104" t="e">
        <f>AO70*0.05</f>
        <v>#REF!</v>
      </c>
      <c r="AM106" s="69"/>
    </row>
    <row r="107" spans="1:42" s="17" customFormat="1" ht="20.100000000000001" customHeight="1">
      <c r="A107" s="38"/>
      <c r="B107" s="40"/>
      <c r="C107" s="35"/>
      <c r="D107" s="38"/>
      <c r="E107" s="32"/>
      <c r="F107" s="55"/>
      <c r="G107" s="32"/>
      <c r="M107" s="101"/>
      <c r="N107" s="31" t="s">
        <v>295</v>
      </c>
      <c r="O107" s="185">
        <f t="shared" ref="O107:AL107" si="29">SUM(O105:O106)</f>
        <v>0</v>
      </c>
      <c r="P107" s="185">
        <f t="shared" si="29"/>
        <v>0</v>
      </c>
      <c r="Q107" s="104">
        <f t="shared" si="29"/>
        <v>0</v>
      </c>
      <c r="R107" s="104" t="e">
        <f t="shared" si="29"/>
        <v>#REF!</v>
      </c>
      <c r="S107" s="104" t="e">
        <f t="shared" si="29"/>
        <v>#REF!</v>
      </c>
      <c r="T107" s="104">
        <f t="shared" si="29"/>
        <v>811.83620692307568</v>
      </c>
      <c r="U107" s="104">
        <f t="shared" si="29"/>
        <v>811.83620692307568</v>
      </c>
      <c r="V107" s="104">
        <f t="shared" si="29"/>
        <v>811.83620692307568</v>
      </c>
      <c r="W107" s="104">
        <f t="shared" si="29"/>
        <v>811.83620692307568</v>
      </c>
      <c r="X107" s="104">
        <f t="shared" si="29"/>
        <v>811.83620692307568</v>
      </c>
      <c r="Y107" s="104">
        <f t="shared" si="29"/>
        <v>811.83620692307568</v>
      </c>
      <c r="Z107" s="104">
        <f t="shared" si="29"/>
        <v>811.83620692307568</v>
      </c>
      <c r="AA107" s="104">
        <f t="shared" si="29"/>
        <v>811.83620692307568</v>
      </c>
      <c r="AB107" s="104">
        <f t="shared" si="29"/>
        <v>811.83620692307568</v>
      </c>
      <c r="AC107" s="104">
        <f t="shared" si="29"/>
        <v>811.83620692307568</v>
      </c>
      <c r="AD107" s="104">
        <f t="shared" si="29"/>
        <v>811.83620692307568</v>
      </c>
      <c r="AE107" s="104">
        <f t="shared" si="29"/>
        <v>811.83620692307568</v>
      </c>
      <c r="AF107" s="104">
        <f t="shared" si="29"/>
        <v>811.83620692307568</v>
      </c>
      <c r="AG107" s="104">
        <f t="shared" si="29"/>
        <v>811.83620692307568</v>
      </c>
      <c r="AH107" s="104">
        <f t="shared" si="29"/>
        <v>811.83620692307568</v>
      </c>
      <c r="AI107" s="104">
        <f t="shared" si="29"/>
        <v>811.83620692307568</v>
      </c>
      <c r="AJ107" s="104">
        <f t="shared" si="29"/>
        <v>811.83620692307568</v>
      </c>
      <c r="AK107" s="104">
        <f t="shared" si="29"/>
        <v>811.83620692307568</v>
      </c>
      <c r="AL107" s="104" t="e">
        <f t="shared" si="29"/>
        <v>#REF!</v>
      </c>
      <c r="AM107" s="69"/>
    </row>
    <row r="108" spans="1:42" s="17" customFormat="1" ht="20.100000000000001" customHeight="1">
      <c r="A108" s="38"/>
      <c r="B108" s="40"/>
      <c r="C108" s="40"/>
      <c r="D108" s="59"/>
      <c r="E108" s="58"/>
      <c r="F108" s="58"/>
      <c r="G108" s="58"/>
      <c r="M108" s="27" t="s">
        <v>11</v>
      </c>
      <c r="N108" s="18" t="s">
        <v>296</v>
      </c>
      <c r="O108" s="185"/>
      <c r="P108" s="185"/>
      <c r="Q108" s="104"/>
      <c r="R108" s="104"/>
      <c r="S108" s="104"/>
      <c r="T108" s="104"/>
      <c r="U108" s="104"/>
      <c r="V108" s="104"/>
      <c r="W108" s="104"/>
      <c r="X108" s="104"/>
      <c r="Y108" s="104"/>
      <c r="Z108" s="104"/>
      <c r="AA108" s="104"/>
      <c r="AB108" s="104"/>
      <c r="AC108" s="104"/>
      <c r="AD108" s="104"/>
      <c r="AE108" s="104"/>
      <c r="AF108" s="104"/>
      <c r="AG108" s="104"/>
      <c r="AH108" s="104"/>
      <c r="AI108" s="104"/>
      <c r="AJ108" s="104"/>
      <c r="AK108" s="104"/>
      <c r="AL108" s="104"/>
      <c r="AM108" s="69"/>
    </row>
    <row r="109" spans="1:42" s="17" customFormat="1" ht="20.100000000000001" customHeight="1">
      <c r="A109" s="38"/>
      <c r="B109" s="35"/>
      <c r="C109" s="38"/>
      <c r="D109" s="38"/>
      <c r="E109" s="32"/>
      <c r="F109" s="32"/>
      <c r="G109" s="32"/>
      <c r="M109" s="101">
        <v>1</v>
      </c>
      <c r="N109" s="17" t="s">
        <v>297</v>
      </c>
      <c r="O109" s="197" t="e">
        <f t="shared" ref="O109:AL109" si="30">+O107-O103+O102</f>
        <v>#REF!</v>
      </c>
      <c r="P109" s="197" t="e">
        <f t="shared" si="30"/>
        <v>#REF!</v>
      </c>
      <c r="Q109" s="102" t="e">
        <f t="shared" si="30"/>
        <v>#REF!</v>
      </c>
      <c r="R109" s="102" t="e">
        <f t="shared" si="30"/>
        <v>#REF!</v>
      </c>
      <c r="S109" s="102" t="e">
        <f t="shared" si="30"/>
        <v>#REF!</v>
      </c>
      <c r="T109" s="102" t="e">
        <f t="shared" si="30"/>
        <v>#REF!</v>
      </c>
      <c r="U109" s="102" t="e">
        <f t="shared" si="30"/>
        <v>#REF!</v>
      </c>
      <c r="V109" s="102" t="e">
        <f t="shared" si="30"/>
        <v>#REF!</v>
      </c>
      <c r="W109" s="102" t="e">
        <f t="shared" si="30"/>
        <v>#REF!</v>
      </c>
      <c r="X109" s="102" t="e">
        <f t="shared" si="30"/>
        <v>#REF!</v>
      </c>
      <c r="Y109" s="102" t="e">
        <f t="shared" si="30"/>
        <v>#REF!</v>
      </c>
      <c r="Z109" s="102" t="e">
        <f t="shared" si="30"/>
        <v>#REF!</v>
      </c>
      <c r="AA109" s="102" t="e">
        <f t="shared" si="30"/>
        <v>#REF!</v>
      </c>
      <c r="AB109" s="102" t="e">
        <f t="shared" si="30"/>
        <v>#REF!</v>
      </c>
      <c r="AC109" s="102" t="e">
        <f t="shared" si="30"/>
        <v>#REF!</v>
      </c>
      <c r="AD109" s="102" t="e">
        <f t="shared" si="30"/>
        <v>#REF!</v>
      </c>
      <c r="AE109" s="102" t="e">
        <f t="shared" si="30"/>
        <v>#REF!</v>
      </c>
      <c r="AF109" s="102" t="e">
        <f t="shared" si="30"/>
        <v>#REF!</v>
      </c>
      <c r="AG109" s="102" t="e">
        <f t="shared" si="30"/>
        <v>#REF!</v>
      </c>
      <c r="AH109" s="102" t="e">
        <f t="shared" si="30"/>
        <v>#REF!</v>
      </c>
      <c r="AI109" s="102" t="e">
        <f t="shared" si="30"/>
        <v>#REF!</v>
      </c>
      <c r="AJ109" s="102" t="e">
        <f t="shared" si="30"/>
        <v>#REF!</v>
      </c>
      <c r="AK109" s="102" t="e">
        <f t="shared" si="30"/>
        <v>#REF!</v>
      </c>
      <c r="AL109" s="102" t="e">
        <f t="shared" si="30"/>
        <v>#REF!</v>
      </c>
      <c r="AM109" s="69"/>
      <c r="AN109" s="105"/>
      <c r="AO109" s="105"/>
    </row>
    <row r="110" spans="1:42" s="17" customFormat="1" ht="20.100000000000001" customHeight="1">
      <c r="A110" s="38"/>
      <c r="B110" s="35"/>
      <c r="C110" s="38"/>
      <c r="D110" s="38"/>
      <c r="E110" s="32"/>
      <c r="F110" s="32"/>
      <c r="G110" s="32"/>
      <c r="M110" s="101">
        <v>2</v>
      </c>
      <c r="N110" s="17" t="s">
        <v>298</v>
      </c>
      <c r="O110" s="114" t="e">
        <f t="shared" ref="O110:AL110" si="31">+O107-O103</f>
        <v>#REF!</v>
      </c>
      <c r="P110" s="114" t="e">
        <f t="shared" si="31"/>
        <v>#REF!</v>
      </c>
      <c r="Q110" s="17" t="e">
        <f t="shared" si="31"/>
        <v>#REF!</v>
      </c>
      <c r="R110" s="17" t="e">
        <f t="shared" si="31"/>
        <v>#REF!</v>
      </c>
      <c r="S110" s="17" t="e">
        <f t="shared" si="31"/>
        <v>#REF!</v>
      </c>
      <c r="T110" s="17" t="e">
        <f t="shared" si="31"/>
        <v>#REF!</v>
      </c>
      <c r="U110" s="17" t="e">
        <f t="shared" si="31"/>
        <v>#REF!</v>
      </c>
      <c r="V110" s="17" t="e">
        <f t="shared" si="31"/>
        <v>#REF!</v>
      </c>
      <c r="W110" s="17" t="e">
        <f t="shared" si="31"/>
        <v>#REF!</v>
      </c>
      <c r="X110" s="17" t="e">
        <f t="shared" si="31"/>
        <v>#REF!</v>
      </c>
      <c r="Y110" s="17" t="e">
        <f t="shared" si="31"/>
        <v>#REF!</v>
      </c>
      <c r="Z110" s="17" t="e">
        <f t="shared" si="31"/>
        <v>#REF!</v>
      </c>
      <c r="AA110" s="17" t="e">
        <f t="shared" si="31"/>
        <v>#REF!</v>
      </c>
      <c r="AB110" s="17" t="e">
        <f t="shared" si="31"/>
        <v>#REF!</v>
      </c>
      <c r="AC110" s="17" t="e">
        <f t="shared" si="31"/>
        <v>#REF!</v>
      </c>
      <c r="AD110" s="17" t="e">
        <f t="shared" si="31"/>
        <v>#REF!</v>
      </c>
      <c r="AE110" s="17" t="e">
        <f t="shared" si="31"/>
        <v>#REF!</v>
      </c>
      <c r="AF110" s="17" t="e">
        <f t="shared" si="31"/>
        <v>#REF!</v>
      </c>
      <c r="AG110" s="17" t="e">
        <f t="shared" si="31"/>
        <v>#REF!</v>
      </c>
      <c r="AH110" s="17" t="e">
        <f t="shared" si="31"/>
        <v>#REF!</v>
      </c>
      <c r="AI110" s="17" t="e">
        <f t="shared" si="31"/>
        <v>#REF!</v>
      </c>
      <c r="AJ110" s="17" t="e">
        <f t="shared" si="31"/>
        <v>#REF!</v>
      </c>
      <c r="AK110" s="17" t="e">
        <f t="shared" si="31"/>
        <v>#REF!</v>
      </c>
      <c r="AL110" s="17" t="e">
        <f t="shared" si="31"/>
        <v>#REF!</v>
      </c>
      <c r="AM110" s="69"/>
      <c r="AN110" s="105"/>
    </row>
    <row r="111" spans="1:42" s="17" customFormat="1" ht="20.100000000000001" customHeight="1">
      <c r="A111" s="38"/>
      <c r="B111" s="35"/>
      <c r="C111" s="38"/>
      <c r="D111" s="38"/>
      <c r="E111" s="32"/>
      <c r="F111" s="32"/>
      <c r="G111" s="32"/>
      <c r="M111" s="27" t="s">
        <v>12</v>
      </c>
      <c r="N111" s="18" t="s">
        <v>738</v>
      </c>
      <c r="O111" s="114"/>
      <c r="P111" s="114"/>
      <c r="AJ111" s="69"/>
      <c r="AK111" s="69"/>
      <c r="AL111" s="69"/>
      <c r="AN111" s="105"/>
    </row>
    <row r="112" spans="1:42" s="17" customFormat="1" ht="20.100000000000001" customHeight="1">
      <c r="A112" s="38"/>
      <c r="B112" s="40"/>
      <c r="C112" s="40"/>
      <c r="D112" s="38"/>
      <c r="E112" s="32"/>
      <c r="F112" s="32"/>
      <c r="G112" s="32"/>
      <c r="M112" s="106">
        <v>1</v>
      </c>
      <c r="N112" s="17" t="s">
        <v>297</v>
      </c>
      <c r="O112" s="114" t="e">
        <f>NPV(M90,O109:AL109)</f>
        <v>#REF!</v>
      </c>
      <c r="P112" s="114"/>
      <c r="AJ112" s="69"/>
      <c r="AK112" s="69"/>
      <c r="AL112" s="69"/>
      <c r="AN112" s="105"/>
    </row>
    <row r="113" spans="1:40" s="17" customFormat="1" ht="20.100000000000001" customHeight="1">
      <c r="A113" s="38"/>
      <c r="B113" s="38"/>
      <c r="C113" s="38"/>
      <c r="D113" s="59"/>
      <c r="E113" s="58"/>
      <c r="F113" s="58"/>
      <c r="G113" s="58"/>
      <c r="M113" s="101">
        <v>2</v>
      </c>
      <c r="N113" s="17" t="s">
        <v>299</v>
      </c>
      <c r="O113" s="114" t="e">
        <f>NPV(M90,O110:AL110)</f>
        <v>#REF!</v>
      </c>
      <c r="P113" s="114"/>
      <c r="AJ113" s="69"/>
      <c r="AK113" s="69"/>
      <c r="AL113" s="69"/>
      <c r="AN113" s="105"/>
    </row>
    <row r="114" spans="1:40" s="17" customFormat="1" ht="20.100000000000001" customHeight="1">
      <c r="A114" s="38"/>
      <c r="B114" s="76"/>
      <c r="C114" s="38"/>
      <c r="D114" s="38"/>
      <c r="E114" s="32"/>
      <c r="F114" s="32"/>
      <c r="G114" s="32"/>
      <c r="M114" s="27" t="s">
        <v>13</v>
      </c>
      <c r="N114" s="18" t="s">
        <v>300</v>
      </c>
      <c r="O114" s="114"/>
      <c r="P114" s="114"/>
      <c r="AJ114" s="69"/>
      <c r="AK114" s="69"/>
      <c r="AL114" s="69"/>
      <c r="AN114" s="105"/>
    </row>
    <row r="115" spans="1:40" s="17" customFormat="1" ht="20.100000000000001" customHeight="1">
      <c r="A115" s="38"/>
      <c r="B115" s="52"/>
      <c r="C115" s="52"/>
      <c r="D115" s="38"/>
      <c r="E115" s="58"/>
      <c r="F115" s="58"/>
      <c r="G115" s="58"/>
      <c r="M115" s="101">
        <v>1</v>
      </c>
      <c r="N115" s="17" t="s">
        <v>297</v>
      </c>
      <c r="O115" s="198" t="e">
        <f>IRR(O109:AL109)</f>
        <v>#VALUE!</v>
      </c>
      <c r="P115" s="114"/>
      <c r="AJ115" s="69"/>
      <c r="AK115" s="69"/>
      <c r="AL115" s="69"/>
      <c r="AN115" s="105"/>
    </row>
    <row r="116" spans="1:40" s="17" customFormat="1" ht="20.100000000000001" customHeight="1">
      <c r="B116" s="32"/>
      <c r="C116" s="52"/>
      <c r="D116" s="38"/>
      <c r="M116" s="41">
        <v>2</v>
      </c>
      <c r="N116" s="17" t="s">
        <v>299</v>
      </c>
      <c r="O116" s="198" t="e">
        <f>IRR(O110:AL110)</f>
        <v>#VALUE!</v>
      </c>
      <c r="P116" s="144"/>
      <c r="AJ116" s="69"/>
      <c r="AK116" s="69"/>
      <c r="AL116" s="69"/>
    </row>
    <row r="117" spans="1:40" s="17" customFormat="1">
      <c r="A117" s="38"/>
      <c r="B117" s="32"/>
      <c r="C117" s="32"/>
      <c r="D117" s="59"/>
      <c r="M117" s="41"/>
      <c r="O117" s="198"/>
      <c r="P117" s="144"/>
    </row>
    <row r="118" spans="1:40" s="17" customFormat="1">
      <c r="B118" s="52"/>
      <c r="C118" s="38"/>
      <c r="D118" s="38"/>
      <c r="N118" s="66"/>
      <c r="O118" s="199"/>
      <c r="P118" s="199"/>
      <c r="Q118" s="107"/>
      <c r="R118" s="107"/>
      <c r="S118" s="107"/>
      <c r="T118" s="107"/>
      <c r="U118" s="107"/>
      <c r="V118" s="107"/>
      <c r="W118" s="107"/>
      <c r="X118" s="107"/>
      <c r="Y118" s="107"/>
      <c r="Z118" s="107"/>
      <c r="AA118" s="107"/>
      <c r="AB118" s="107"/>
      <c r="AC118" s="107"/>
      <c r="AD118" s="107"/>
      <c r="AE118" s="107"/>
      <c r="AF118" s="107"/>
      <c r="AG118" s="107"/>
      <c r="AH118" s="107"/>
      <c r="AI118" s="107"/>
      <c r="AJ118" s="107"/>
      <c r="AK118" s="107"/>
      <c r="AL118" s="107"/>
    </row>
  </sheetData>
  <mergeCells count="63">
    <mergeCell ref="A5:G5"/>
    <mergeCell ref="A6:G6"/>
    <mergeCell ref="A7:G7"/>
    <mergeCell ref="A8:G8"/>
    <mergeCell ref="B10:E10"/>
    <mergeCell ref="H10:J10"/>
    <mergeCell ref="B11:E11"/>
    <mergeCell ref="H11:J11"/>
    <mergeCell ref="B12:E12"/>
    <mergeCell ref="H12:J12"/>
    <mergeCell ref="B13:E13"/>
    <mergeCell ref="H13:J13"/>
    <mergeCell ref="B14:E14"/>
    <mergeCell ref="H14:J14"/>
    <mergeCell ref="B15:E15"/>
    <mergeCell ref="H15:J15"/>
    <mergeCell ref="B16:E16"/>
    <mergeCell ref="H16:J16"/>
    <mergeCell ref="B17:E17"/>
    <mergeCell ref="H17:J17"/>
    <mergeCell ref="B18:E18"/>
    <mergeCell ref="H18:J18"/>
    <mergeCell ref="B19:E19"/>
    <mergeCell ref="H19:J19"/>
    <mergeCell ref="B20:E20"/>
    <mergeCell ref="H20:J20"/>
    <mergeCell ref="B21:E21"/>
    <mergeCell ref="H21:J21"/>
    <mergeCell ref="B22:E22"/>
    <mergeCell ref="H22:J22"/>
    <mergeCell ref="B23:E23"/>
    <mergeCell ref="H23:J23"/>
    <mergeCell ref="B24:E24"/>
    <mergeCell ref="H24:J24"/>
    <mergeCell ref="B25:E25"/>
    <mergeCell ref="H25:J25"/>
    <mergeCell ref="B26:E26"/>
    <mergeCell ref="H26:J26"/>
    <mergeCell ref="B27:E27"/>
    <mergeCell ref="B28:E28"/>
    <mergeCell ref="H28:J28"/>
    <mergeCell ref="B29:E29"/>
    <mergeCell ref="B30:E30"/>
    <mergeCell ref="H30:J30"/>
    <mergeCell ref="B31:E31"/>
    <mergeCell ref="B32:E32"/>
    <mergeCell ref="B33:E33"/>
    <mergeCell ref="B34:E34"/>
    <mergeCell ref="B35:E35"/>
    <mergeCell ref="B36:E36"/>
    <mergeCell ref="B37:E37"/>
    <mergeCell ref="B38:E38"/>
    <mergeCell ref="H38:J38"/>
    <mergeCell ref="B39:E39"/>
    <mergeCell ref="A46:E46"/>
    <mergeCell ref="H64:I64"/>
    <mergeCell ref="H78:I78"/>
    <mergeCell ref="B40:E40"/>
    <mergeCell ref="B41:E41"/>
    <mergeCell ref="B42:E42"/>
    <mergeCell ref="B43:E43"/>
    <mergeCell ref="B44:E44"/>
    <mergeCell ref="B45:E45"/>
  </mergeCells>
  <printOptions horizontalCentered="1" verticalCentered="1"/>
  <pageMargins left="0.11811023622047245" right="0.11811023622047245" top="0.35433070866141736" bottom="0.19685039370078741" header="0.31496062992125984" footer="0.31496062992125984"/>
  <pageSetup paperSize="9" scale="5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BY118"/>
  <sheetViews>
    <sheetView showZeros="0" topLeftCell="A19" workbookViewId="0">
      <selection activeCell="G17" sqref="G17"/>
    </sheetView>
  </sheetViews>
  <sheetFormatPr defaultColWidth="10.1796875" defaultRowHeight="15"/>
  <cols>
    <col min="1" max="1" width="5.54296875" style="42" customWidth="1"/>
    <col min="2" max="4" width="10.1796875" style="42"/>
    <col min="5" max="5" width="8.6328125" style="42" customWidth="1"/>
    <col min="6" max="6" width="12" style="42" customWidth="1"/>
    <col min="7" max="7" width="11.90625" style="42" customWidth="1"/>
    <col min="8" max="8" width="12.54296875" style="42" customWidth="1"/>
    <col min="9" max="9" width="9" style="42" customWidth="1"/>
    <col min="10" max="10" width="8" style="42" customWidth="1"/>
    <col min="11" max="11" width="18.36328125" style="383" customWidth="1"/>
    <col min="12" max="13" width="10.1796875" style="42"/>
    <col min="14" max="14" width="12.453125" style="42" customWidth="1"/>
    <col min="15" max="16384" width="10.1796875" style="42"/>
  </cols>
  <sheetData>
    <row r="4" spans="1:26" ht="15.6">
      <c r="G4" s="43" t="s">
        <v>322</v>
      </c>
      <c r="H4" s="43"/>
      <c r="J4" s="44"/>
      <c r="K4" s="413"/>
    </row>
    <row r="5" spans="1:26" s="219" customFormat="1" ht="21" customHeight="1">
      <c r="A5" s="1692" t="e">
        <f>#REF!</f>
        <v>#REF!</v>
      </c>
      <c r="B5" s="1692"/>
      <c r="C5" s="1692"/>
      <c r="D5" s="1692"/>
      <c r="E5" s="1692"/>
      <c r="F5" s="1692"/>
      <c r="G5" s="1692"/>
      <c r="H5" s="218"/>
      <c r="J5" s="220"/>
      <c r="K5" s="414"/>
    </row>
    <row r="6" spans="1:26" s="219" customFormat="1" ht="21.75" customHeight="1">
      <c r="A6" s="1693" t="e">
        <f>#REF!</f>
        <v>#REF!</v>
      </c>
      <c r="B6" s="1693"/>
      <c r="C6" s="1693"/>
      <c r="D6" s="1693"/>
      <c r="E6" s="1693"/>
      <c r="F6" s="1693"/>
      <c r="G6" s="1693"/>
      <c r="H6" s="218"/>
      <c r="J6" s="262"/>
      <c r="K6" s="415"/>
    </row>
    <row r="7" spans="1:26" s="219" customFormat="1" ht="22.5" customHeight="1">
      <c r="A7" s="1694" t="e">
        <f>#REF!</f>
        <v>#REF!</v>
      </c>
      <c r="B7" s="1694"/>
      <c r="C7" s="1694"/>
      <c r="D7" s="1694"/>
      <c r="E7" s="1694"/>
      <c r="F7" s="1694"/>
      <c r="G7" s="1694"/>
      <c r="H7" s="218"/>
      <c r="J7" s="220"/>
      <c r="K7" s="414"/>
    </row>
    <row r="8" spans="1:26" ht="18" customHeight="1">
      <c r="A8" s="1695" t="s">
        <v>1459</v>
      </c>
      <c r="B8" s="1695"/>
      <c r="C8" s="1695"/>
      <c r="D8" s="1695"/>
      <c r="E8" s="1695"/>
      <c r="F8" s="1695"/>
      <c r="G8" s="1695"/>
      <c r="H8" s="45"/>
    </row>
    <row r="9" spans="1:26" s="150" customFormat="1" ht="18" customHeight="1">
      <c r="B9" s="145"/>
      <c r="C9" s="145"/>
      <c r="D9" s="145"/>
      <c r="E9" s="145"/>
      <c r="F9" s="145"/>
      <c r="G9" s="182" t="e">
        <f>#REF!</f>
        <v>#REF!</v>
      </c>
      <c r="H9" s="145"/>
      <c r="K9" s="210"/>
    </row>
    <row r="10" spans="1:26" s="150" customFormat="1" ht="21" customHeight="1">
      <c r="A10" s="141" t="s">
        <v>9</v>
      </c>
      <c r="B10" s="1696" t="s">
        <v>223</v>
      </c>
      <c r="C10" s="1697"/>
      <c r="D10" s="1697"/>
      <c r="E10" s="1698"/>
      <c r="F10" s="141" t="s">
        <v>2</v>
      </c>
      <c r="G10" s="209" t="s">
        <v>584</v>
      </c>
      <c r="H10" s="1699" t="s">
        <v>603</v>
      </c>
      <c r="I10" s="1699"/>
      <c r="J10" s="1699"/>
      <c r="K10" s="410"/>
      <c r="L10" s="152"/>
      <c r="N10" s="151"/>
      <c r="O10" s="152"/>
      <c r="R10" s="152"/>
      <c r="U10" s="136"/>
      <c r="V10" s="136"/>
      <c r="W10" s="136"/>
      <c r="X10" s="392"/>
      <c r="Y10" s="136"/>
      <c r="Z10" s="136"/>
    </row>
    <row r="11" spans="1:26" ht="39.75" customHeight="1">
      <c r="A11" s="135">
        <v>1</v>
      </c>
      <c r="B11" s="1686" t="s">
        <v>592</v>
      </c>
      <c r="C11" s="1687"/>
      <c r="D11" s="1687"/>
      <c r="E11" s="1688"/>
      <c r="F11" s="135" t="s">
        <v>4</v>
      </c>
      <c r="G11" s="471">
        <f>F51</f>
        <v>670000</v>
      </c>
      <c r="H11" s="1670" t="s">
        <v>1463</v>
      </c>
      <c r="I11" s="1671"/>
      <c r="J11" s="1672"/>
      <c r="K11" s="391"/>
      <c r="L11" s="47"/>
      <c r="N11" s="46"/>
      <c r="O11" s="47"/>
      <c r="R11" s="47"/>
      <c r="U11" s="493"/>
      <c r="V11" s="493"/>
      <c r="W11" s="493"/>
      <c r="X11" s="703"/>
      <c r="Y11" s="493"/>
      <c r="Z11" s="493"/>
    </row>
    <row r="12" spans="1:26" ht="52.5" customHeight="1">
      <c r="A12" s="135">
        <f>A11+1</f>
        <v>2</v>
      </c>
      <c r="B12" s="1686" t="s">
        <v>751</v>
      </c>
      <c r="C12" s="1687"/>
      <c r="D12" s="1687"/>
      <c r="E12" s="1688"/>
      <c r="F12" s="135" t="s">
        <v>229</v>
      </c>
      <c r="G12" s="631">
        <f>'Coal &amp; Coke Data'!G18</f>
        <v>25545.454545454544</v>
      </c>
      <c r="H12" s="1670" t="s">
        <v>1461</v>
      </c>
      <c r="I12" s="1671"/>
      <c r="J12" s="1672"/>
      <c r="K12" s="108"/>
      <c r="L12" s="47"/>
      <c r="N12" s="46"/>
      <c r="P12" s="47"/>
      <c r="Q12" s="47"/>
      <c r="R12" s="47"/>
      <c r="U12" s="493"/>
      <c r="V12" s="493"/>
      <c r="W12" s="493"/>
      <c r="X12" s="493"/>
      <c r="Y12" s="493"/>
      <c r="Z12" s="493"/>
    </row>
    <row r="13" spans="1:26" ht="70.5" customHeight="1">
      <c r="A13" s="135">
        <f t="shared" ref="A13:A30" si="0">A12+1</f>
        <v>3</v>
      </c>
      <c r="B13" s="1686" t="s">
        <v>585</v>
      </c>
      <c r="C13" s="1687"/>
      <c r="D13" s="1687"/>
      <c r="E13" s="1688"/>
      <c r="F13" s="135" t="s">
        <v>229</v>
      </c>
      <c r="G13" s="471">
        <f>G12*70/67</f>
        <v>26689.280868385344</v>
      </c>
      <c r="H13" s="1691" t="s">
        <v>1464</v>
      </c>
      <c r="I13" s="1691"/>
      <c r="J13" s="1691"/>
      <c r="K13" s="108"/>
      <c r="L13" s="47"/>
      <c r="N13" s="46"/>
      <c r="P13" s="47"/>
      <c r="Q13" s="47"/>
      <c r="R13" s="47"/>
      <c r="U13" s="493"/>
      <c r="V13" s="493"/>
      <c r="W13" s="493"/>
      <c r="X13" s="493"/>
      <c r="Y13" s="493"/>
      <c r="Z13" s="493"/>
    </row>
    <row r="14" spans="1:26" ht="39" customHeight="1">
      <c r="A14" s="135">
        <f t="shared" si="0"/>
        <v>4</v>
      </c>
      <c r="B14" s="1686" t="s">
        <v>593</v>
      </c>
      <c r="C14" s="1687"/>
      <c r="D14" s="1687"/>
      <c r="E14" s="1688"/>
      <c r="F14" s="135" t="s">
        <v>4</v>
      </c>
      <c r="G14" s="471">
        <f>F49*1.02</f>
        <v>1020000</v>
      </c>
      <c r="H14" s="1689"/>
      <c r="I14" s="1689"/>
      <c r="J14" s="1689"/>
      <c r="K14" s="416"/>
      <c r="L14" s="701"/>
      <c r="M14" s="701"/>
      <c r="N14" s="701"/>
      <c r="O14" s="701"/>
      <c r="P14" s="701"/>
      <c r="Q14" s="701"/>
      <c r="R14" s="701"/>
      <c r="S14" s="701"/>
      <c r="T14" s="701"/>
      <c r="U14" s="699"/>
      <c r="V14" s="699"/>
      <c r="W14" s="699"/>
      <c r="X14" s="699"/>
      <c r="Y14" s="493"/>
      <c r="Z14" s="493"/>
    </row>
    <row r="15" spans="1:26" ht="42.75" customHeight="1">
      <c r="A15" s="135">
        <f t="shared" si="0"/>
        <v>5</v>
      </c>
      <c r="B15" s="1670" t="s">
        <v>1462</v>
      </c>
      <c r="C15" s="1671"/>
      <c r="D15" s="1671"/>
      <c r="E15" s="1672"/>
      <c r="F15" s="406" t="s">
        <v>586</v>
      </c>
      <c r="G15" s="631">
        <f>'Coal &amp; Coke Data'!H15</f>
        <v>10128.095166666666</v>
      </c>
      <c r="H15" s="1670" t="s">
        <v>1465</v>
      </c>
      <c r="I15" s="1671"/>
      <c r="J15" s="1672"/>
      <c r="K15" s="108"/>
      <c r="L15" s="702"/>
      <c r="M15" s="702"/>
      <c r="N15" s="702"/>
      <c r="O15" s="702"/>
      <c r="P15" s="702"/>
      <c r="Q15" s="702"/>
      <c r="R15" s="702"/>
      <c r="S15" s="702"/>
      <c r="T15" s="702"/>
      <c r="U15" s="700"/>
      <c r="V15" s="700"/>
      <c r="W15" s="700"/>
      <c r="X15" s="700"/>
      <c r="Y15" s="493"/>
      <c r="Z15" s="493"/>
    </row>
    <row r="16" spans="1:26" ht="42" customHeight="1">
      <c r="A16" s="135">
        <f t="shared" si="0"/>
        <v>6</v>
      </c>
      <c r="B16" s="1680" t="s">
        <v>587</v>
      </c>
      <c r="C16" s="1681"/>
      <c r="D16" s="1681"/>
      <c r="E16" s="1682"/>
      <c r="F16" s="406" t="s">
        <v>589</v>
      </c>
      <c r="G16" s="471">
        <f>G14*G15/G11</f>
        <v>15418.891149253732</v>
      </c>
      <c r="H16" s="1689"/>
      <c r="I16" s="1689"/>
      <c r="J16" s="1689"/>
      <c r="K16" s="417"/>
      <c r="L16" s="702"/>
      <c r="M16" s="702"/>
      <c r="N16" s="702"/>
      <c r="O16" s="702"/>
      <c r="P16" s="702"/>
      <c r="Q16" s="702"/>
      <c r="R16" s="702"/>
      <c r="S16" s="702"/>
      <c r="T16" s="702"/>
      <c r="U16" s="700"/>
      <c r="V16" s="700"/>
      <c r="W16" s="700"/>
      <c r="X16" s="700"/>
      <c r="Y16" s="700"/>
      <c r="Z16" s="493"/>
    </row>
    <row r="17" spans="1:18" ht="66.75" customHeight="1">
      <c r="A17" s="135">
        <f t="shared" si="0"/>
        <v>7</v>
      </c>
      <c r="B17" s="1686" t="s">
        <v>928</v>
      </c>
      <c r="C17" s="1687"/>
      <c r="D17" s="1687"/>
      <c r="E17" s="1688"/>
      <c r="F17" s="406" t="str">
        <f>F16</f>
        <v>Rs/t of BF coke</v>
      </c>
      <c r="G17" s="533">
        <f>((272.76+2439.67+528.23)*1731603/1446351+138.92+29.4+284.23)*0+'TE Tall 5'!D22+5*G26*G14/G11</f>
        <v>3217.2104477611938</v>
      </c>
      <c r="H17" s="1691" t="s">
        <v>1466</v>
      </c>
      <c r="I17" s="1691"/>
      <c r="J17" s="1691"/>
      <c r="K17" s="418"/>
      <c r="L17" s="47"/>
      <c r="N17" s="46"/>
      <c r="P17" s="47"/>
      <c r="Q17" s="47"/>
      <c r="R17" s="47"/>
    </row>
    <row r="18" spans="1:18" ht="34.5" customHeight="1">
      <c r="A18" s="135">
        <f t="shared" si="0"/>
        <v>8</v>
      </c>
      <c r="B18" s="1686" t="s">
        <v>929</v>
      </c>
      <c r="C18" s="1687"/>
      <c r="D18" s="1687"/>
      <c r="E18" s="1688"/>
      <c r="F18" s="406" t="s">
        <v>589</v>
      </c>
      <c r="G18" s="472">
        <f>(G16+G17)</f>
        <v>18636.101597014924</v>
      </c>
      <c r="H18" s="1691"/>
      <c r="I18" s="1691"/>
      <c r="J18" s="1691"/>
      <c r="K18" s="108"/>
    </row>
    <row r="19" spans="1:18" ht="45.75" customHeight="1">
      <c r="A19" s="135">
        <f>A18+1</f>
        <v>9</v>
      </c>
      <c r="B19" s="1686" t="s">
        <v>772</v>
      </c>
      <c r="C19" s="1687"/>
      <c r="D19" s="1687"/>
      <c r="E19" s="1688"/>
      <c r="F19" s="406" t="s">
        <v>589</v>
      </c>
      <c r="G19" s="532">
        <f>(652.05+137.98+309.29)</f>
        <v>1099.32</v>
      </c>
      <c r="H19" s="1691" t="str">
        <f>H17</f>
        <v>As per RSP Std cost sheet 2021-22</v>
      </c>
      <c r="I19" s="1691"/>
      <c r="J19" s="1691"/>
      <c r="K19" s="710"/>
    </row>
    <row r="20" spans="1:18" ht="43.5" customHeight="1">
      <c r="A20" s="135">
        <f t="shared" si="0"/>
        <v>10</v>
      </c>
      <c r="B20" s="1686" t="s">
        <v>590</v>
      </c>
      <c r="C20" s="1687"/>
      <c r="D20" s="1687"/>
      <c r="E20" s="1688"/>
      <c r="F20" s="406" t="s">
        <v>589</v>
      </c>
      <c r="G20" s="472">
        <f>G18+G19</f>
        <v>19735.421597014923</v>
      </c>
      <c r="H20" s="1691" t="s">
        <v>596</v>
      </c>
      <c r="I20" s="1691"/>
      <c r="J20" s="1691"/>
      <c r="K20" s="710"/>
    </row>
    <row r="21" spans="1:18" ht="43.5" customHeight="1">
      <c r="A21" s="135">
        <f t="shared" si="0"/>
        <v>11</v>
      </c>
      <c r="B21" s="1686" t="s">
        <v>595</v>
      </c>
      <c r="C21" s="1687"/>
      <c r="D21" s="1687"/>
      <c r="E21" s="1688"/>
      <c r="F21" s="406" t="s">
        <v>591</v>
      </c>
      <c r="G21" s="472">
        <f>320*F49</f>
        <v>320000000</v>
      </c>
      <c r="H21" s="1689"/>
      <c r="I21" s="1689"/>
      <c r="J21" s="1689"/>
      <c r="K21" s="710"/>
      <c r="L21" s="47"/>
      <c r="N21" s="46"/>
      <c r="P21" s="47"/>
      <c r="Q21" s="47"/>
      <c r="R21" s="47"/>
    </row>
    <row r="22" spans="1:18" ht="39" customHeight="1">
      <c r="A22" s="135">
        <f>A21+1</f>
        <v>12</v>
      </c>
      <c r="B22" s="1686" t="s">
        <v>597</v>
      </c>
      <c r="C22" s="1687"/>
      <c r="D22" s="1687"/>
      <c r="E22" s="1688"/>
      <c r="F22" s="135" t="s">
        <v>598</v>
      </c>
      <c r="G22" s="532">
        <v>1338</v>
      </c>
      <c r="H22" s="1670" t="str">
        <f>H19</f>
        <v>As per RSP Std cost sheet 2021-22</v>
      </c>
      <c r="I22" s="1671"/>
      <c r="J22" s="1672"/>
      <c r="K22" s="716"/>
      <c r="L22" s="47"/>
      <c r="N22" s="46"/>
      <c r="P22" s="47"/>
      <c r="Q22" s="47"/>
      <c r="R22" s="47"/>
    </row>
    <row r="23" spans="1:18" ht="32.25" customHeight="1">
      <c r="A23" s="135">
        <f t="shared" si="0"/>
        <v>13</v>
      </c>
      <c r="B23" s="1686" t="s">
        <v>594</v>
      </c>
      <c r="C23" s="1687"/>
      <c r="D23" s="1687"/>
      <c r="E23" s="1688"/>
      <c r="F23" s="406" t="s">
        <v>4</v>
      </c>
      <c r="G23" s="472">
        <f>F55</f>
        <v>32000</v>
      </c>
      <c r="H23" s="1689"/>
      <c r="I23" s="1689"/>
      <c r="J23" s="1689"/>
      <c r="K23" s="391"/>
      <c r="L23" s="47"/>
      <c r="N23" s="46"/>
      <c r="P23" s="47"/>
      <c r="Q23" s="47"/>
      <c r="R23" s="47"/>
    </row>
    <row r="24" spans="1:18" ht="39" customHeight="1">
      <c r="A24" s="135">
        <f t="shared" si="0"/>
        <v>14</v>
      </c>
      <c r="B24" s="1686" t="s">
        <v>599</v>
      </c>
      <c r="C24" s="1687"/>
      <c r="D24" s="1687"/>
      <c r="E24" s="1688"/>
      <c r="F24" s="135" t="s">
        <v>598</v>
      </c>
      <c r="G24" s="532">
        <f>G22</f>
        <v>1338</v>
      </c>
      <c r="H24" s="1670" t="str">
        <f>H22</f>
        <v>As per RSP Std cost sheet 2021-22</v>
      </c>
      <c r="I24" s="1671"/>
      <c r="J24" s="1672"/>
      <c r="K24" s="711"/>
      <c r="L24" s="47"/>
      <c r="N24" s="46"/>
      <c r="P24" s="47"/>
      <c r="Q24" s="47"/>
      <c r="R24" s="47"/>
    </row>
    <row r="25" spans="1:18" ht="35.25" customHeight="1">
      <c r="A25" s="135">
        <f t="shared" si="0"/>
        <v>15</v>
      </c>
      <c r="B25" s="1670" t="s">
        <v>773</v>
      </c>
      <c r="C25" s="1671"/>
      <c r="D25" s="1671"/>
      <c r="E25" s="1672"/>
      <c r="F25" s="135" t="s">
        <v>600</v>
      </c>
      <c r="G25" s="471">
        <f>5*10^3*24*345</f>
        <v>41400000</v>
      </c>
      <c r="H25" s="1690"/>
      <c r="I25" s="1690"/>
      <c r="J25" s="1690"/>
      <c r="K25" s="412"/>
      <c r="L25" s="47"/>
      <c r="N25" s="46"/>
      <c r="P25" s="47"/>
      <c r="Q25" s="47"/>
      <c r="R25" s="47"/>
    </row>
    <row r="26" spans="1:18" ht="44.25" customHeight="1">
      <c r="A26" s="135">
        <f t="shared" si="0"/>
        <v>16</v>
      </c>
      <c r="B26" s="1680" t="s">
        <v>752</v>
      </c>
      <c r="C26" s="1681"/>
      <c r="D26" s="1681"/>
      <c r="E26" s="1682"/>
      <c r="F26" s="135" t="s">
        <v>339</v>
      </c>
      <c r="G26" s="1212">
        <v>6.6369999999999996</v>
      </c>
      <c r="H26" s="1670" t="str">
        <f>H24</f>
        <v>As per RSP Std cost sheet 2021-22</v>
      </c>
      <c r="I26" s="1671"/>
      <c r="J26" s="1672"/>
      <c r="K26" s="711"/>
      <c r="L26" s="47"/>
      <c r="N26" s="46"/>
      <c r="P26" s="47"/>
      <c r="Q26" s="47"/>
      <c r="R26" s="47"/>
    </row>
    <row r="27" spans="1:18" ht="33.75" customHeight="1">
      <c r="A27" s="135">
        <f t="shared" si="0"/>
        <v>17</v>
      </c>
      <c r="B27" s="1670" t="s">
        <v>770</v>
      </c>
      <c r="C27" s="1671"/>
      <c r="D27" s="1671"/>
      <c r="E27" s="1672"/>
      <c r="F27" s="406" t="s">
        <v>4</v>
      </c>
      <c r="G27" s="472">
        <f>52*24*345</f>
        <v>430560</v>
      </c>
      <c r="H27" s="108"/>
      <c r="I27" s="180"/>
      <c r="J27" s="180"/>
      <c r="K27" s="180"/>
      <c r="L27" s="47"/>
      <c r="N27" s="46"/>
      <c r="P27" s="47"/>
      <c r="Q27" s="47"/>
      <c r="R27" s="47"/>
    </row>
    <row r="28" spans="1:18" ht="41.4" customHeight="1">
      <c r="A28" s="135">
        <f t="shared" si="0"/>
        <v>18</v>
      </c>
      <c r="B28" s="1680" t="s">
        <v>897</v>
      </c>
      <c r="C28" s="1681"/>
      <c r="D28" s="1681"/>
      <c r="E28" s="1682"/>
      <c r="F28" s="135" t="s">
        <v>229</v>
      </c>
      <c r="G28" s="532">
        <v>1218</v>
      </c>
      <c r="H28" s="1670" t="str">
        <f>H26</f>
        <v>As per RSP Std cost sheet 2021-22</v>
      </c>
      <c r="I28" s="1671"/>
      <c r="J28" s="1672"/>
      <c r="K28" s="712"/>
      <c r="L28" s="47"/>
      <c r="N28" s="46"/>
      <c r="P28" s="47"/>
      <c r="Q28" s="47"/>
      <c r="R28" s="47"/>
    </row>
    <row r="29" spans="1:18" s="210" customFormat="1" ht="22.5" customHeight="1">
      <c r="A29" s="135">
        <f>A28+1</f>
        <v>19</v>
      </c>
      <c r="B29" s="1670" t="s">
        <v>774</v>
      </c>
      <c r="C29" s="1671"/>
      <c r="D29" s="1671"/>
      <c r="E29" s="1672"/>
      <c r="F29" s="5" t="s">
        <v>4</v>
      </c>
      <c r="G29" s="471">
        <f>F52</f>
        <v>90000</v>
      </c>
      <c r="H29" s="214"/>
      <c r="I29" s="208"/>
      <c r="J29" s="208"/>
      <c r="K29" s="208"/>
      <c r="L29" s="212"/>
      <c r="N29" s="211"/>
      <c r="P29" s="212"/>
      <c r="Q29" s="212"/>
      <c r="R29" s="212"/>
    </row>
    <row r="30" spans="1:18" s="210" customFormat="1" ht="49.5" customHeight="1">
      <c r="A30" s="135">
        <f t="shared" si="0"/>
        <v>20</v>
      </c>
      <c r="B30" s="1670" t="s">
        <v>775</v>
      </c>
      <c r="C30" s="1671"/>
      <c r="D30" s="1671"/>
      <c r="E30" s="1672"/>
      <c r="F30" s="5" t="s">
        <v>229</v>
      </c>
      <c r="G30" s="631">
        <v>11488</v>
      </c>
      <c r="H30" s="1670" t="s">
        <v>1467</v>
      </c>
      <c r="I30" s="1671"/>
      <c r="J30" s="1672"/>
      <c r="K30" s="712" t="s">
        <v>912</v>
      </c>
      <c r="L30" s="212"/>
      <c r="N30" s="211"/>
      <c r="P30" s="212"/>
      <c r="Q30" s="212"/>
      <c r="R30" s="212"/>
    </row>
    <row r="31" spans="1:18" s="210" customFormat="1" ht="36" hidden="1" customHeight="1">
      <c r="A31" s="5"/>
      <c r="B31" s="1683" t="s">
        <v>601</v>
      </c>
      <c r="C31" s="1684"/>
      <c r="D31" s="1684"/>
      <c r="E31" s="1685"/>
      <c r="F31" s="15" t="s">
        <v>4</v>
      </c>
      <c r="G31" s="708">
        <f>41004*0</f>
        <v>0</v>
      </c>
      <c r="H31" s="214"/>
      <c r="I31" s="208"/>
      <c r="J31" s="208"/>
      <c r="K31" s="208"/>
      <c r="L31" s="212"/>
      <c r="N31" s="211"/>
      <c r="P31" s="212"/>
      <c r="Q31" s="212"/>
      <c r="R31" s="212"/>
    </row>
    <row r="32" spans="1:18" s="210" customFormat="1" ht="36" hidden="1" customHeight="1">
      <c r="A32" s="5"/>
      <c r="B32" s="1683" t="s">
        <v>602</v>
      </c>
      <c r="C32" s="1684"/>
      <c r="D32" s="1684"/>
      <c r="E32" s="1685"/>
      <c r="F32" s="15" t="s">
        <v>4</v>
      </c>
      <c r="G32" s="708">
        <f>18451*0</f>
        <v>0</v>
      </c>
      <c r="H32" s="214"/>
      <c r="I32" s="208"/>
      <c r="J32" s="208"/>
      <c r="K32" s="208"/>
      <c r="L32" s="212"/>
      <c r="N32" s="211"/>
      <c r="P32" s="212"/>
      <c r="Q32" s="212"/>
      <c r="R32" s="212"/>
    </row>
    <row r="33" spans="1:18" s="150" customFormat="1" ht="21.75" customHeight="1">
      <c r="A33" s="141" t="s">
        <v>10</v>
      </c>
      <c r="B33" s="1674" t="s">
        <v>340</v>
      </c>
      <c r="C33" s="1675"/>
      <c r="D33" s="1675"/>
      <c r="E33" s="1676"/>
      <c r="F33" s="149"/>
      <c r="G33" s="147"/>
      <c r="H33" s="473"/>
      <c r="I33" s="210"/>
      <c r="J33" s="210"/>
      <c r="K33" s="210"/>
      <c r="L33" s="152"/>
      <c r="N33" s="151"/>
      <c r="P33" s="152"/>
      <c r="Q33" s="152"/>
      <c r="R33" s="152"/>
    </row>
    <row r="34" spans="1:18" ht="36" customHeight="1">
      <c r="A34" s="135">
        <v>1</v>
      </c>
      <c r="B34" s="1686" t="s">
        <v>331</v>
      </c>
      <c r="C34" s="1687"/>
      <c r="D34" s="1687"/>
      <c r="E34" s="1688"/>
      <c r="F34" s="135" t="s">
        <v>272</v>
      </c>
      <c r="G34" s="174">
        <f>G11*G13/10^7</f>
        <v>1788.181818181818</v>
      </c>
      <c r="H34" s="474"/>
      <c r="I34" s="383"/>
      <c r="J34" s="383"/>
      <c r="L34" s="47"/>
      <c r="N34" s="46"/>
      <c r="P34" s="47"/>
      <c r="Q34" s="47"/>
      <c r="R34" s="47"/>
    </row>
    <row r="35" spans="1:18" s="150" customFormat="1" ht="35.25" customHeight="1">
      <c r="A35" s="135">
        <v>2</v>
      </c>
      <c r="B35" s="1670" t="s">
        <v>344</v>
      </c>
      <c r="C35" s="1671"/>
      <c r="D35" s="1671"/>
      <c r="E35" s="1672"/>
      <c r="F35" s="5" t="s">
        <v>226</v>
      </c>
      <c r="G35" s="174">
        <f>G25*G26/10^7</f>
        <v>27.477180000000001</v>
      </c>
      <c r="H35" s="475"/>
      <c r="I35" s="210"/>
      <c r="J35" s="210"/>
      <c r="K35" s="210"/>
      <c r="L35" s="152"/>
      <c r="N35" s="151"/>
      <c r="P35" s="152"/>
      <c r="Q35" s="152"/>
      <c r="R35" s="152"/>
    </row>
    <row r="36" spans="1:18" s="150" customFormat="1" ht="35.25" customHeight="1">
      <c r="A36" s="135">
        <v>3</v>
      </c>
      <c r="B36" s="1670" t="s">
        <v>900</v>
      </c>
      <c r="C36" s="1671"/>
      <c r="D36" s="1671"/>
      <c r="E36" s="1672"/>
      <c r="F36" s="5" t="s">
        <v>226</v>
      </c>
      <c r="G36" s="174">
        <f>G27*G28/10^7</f>
        <v>52.442208000000001</v>
      </c>
      <c r="H36" s="475"/>
      <c r="I36" s="210"/>
      <c r="J36" s="210"/>
      <c r="K36" s="210"/>
      <c r="L36" s="152"/>
      <c r="N36" s="151"/>
      <c r="P36" s="152"/>
      <c r="Q36" s="152"/>
      <c r="R36" s="152"/>
    </row>
    <row r="37" spans="1:18" s="150" customFormat="1" ht="33" customHeight="1">
      <c r="A37" s="135">
        <v>4</v>
      </c>
      <c r="B37" s="1670" t="s">
        <v>683</v>
      </c>
      <c r="C37" s="1671"/>
      <c r="D37" s="1671"/>
      <c r="E37" s="1672"/>
      <c r="F37" s="5" t="s">
        <v>226</v>
      </c>
      <c r="G37" s="174">
        <f>G29*G30/10^7</f>
        <v>103.392</v>
      </c>
      <c r="H37" s="216"/>
      <c r="I37" s="217"/>
      <c r="J37" s="217"/>
      <c r="K37" s="217"/>
      <c r="L37" s="152"/>
      <c r="N37" s="151"/>
      <c r="P37" s="152"/>
      <c r="Q37" s="152"/>
      <c r="R37" s="152"/>
    </row>
    <row r="38" spans="1:18" s="210" customFormat="1" ht="54" customHeight="1">
      <c r="A38" s="5">
        <v>5</v>
      </c>
      <c r="B38" s="1670" t="s">
        <v>342</v>
      </c>
      <c r="C38" s="1671"/>
      <c r="D38" s="1671"/>
      <c r="E38" s="1672"/>
      <c r="F38" s="5" t="s">
        <v>226</v>
      </c>
      <c r="G38" s="174">
        <f>'Incr TE'!C13</f>
        <v>31.464852141176468</v>
      </c>
      <c r="H38" s="1223"/>
      <c r="I38" s="1224"/>
      <c r="J38" s="1225"/>
      <c r="K38" s="389"/>
      <c r="L38" s="212"/>
      <c r="N38" s="211"/>
      <c r="P38" s="212"/>
      <c r="Q38" s="212"/>
      <c r="R38" s="212"/>
    </row>
    <row r="39" spans="1:18" s="210" customFormat="1" ht="52.5" customHeight="1">
      <c r="A39" s="5">
        <v>6</v>
      </c>
      <c r="B39" s="1670" t="s">
        <v>343</v>
      </c>
      <c r="C39" s="1671"/>
      <c r="D39" s="1671"/>
      <c r="E39" s="1672"/>
      <c r="F39" s="5" t="s">
        <v>226</v>
      </c>
      <c r="G39" s="174">
        <f>'Incr TE'!C12</f>
        <v>21.879854999999999</v>
      </c>
      <c r="H39" s="475"/>
      <c r="L39" s="212"/>
      <c r="N39" s="211"/>
      <c r="P39" s="212"/>
      <c r="Q39" s="212"/>
      <c r="R39" s="212"/>
    </row>
    <row r="40" spans="1:18" ht="18" customHeight="1">
      <c r="A40" s="135"/>
      <c r="B40" s="1674" t="s">
        <v>327</v>
      </c>
      <c r="C40" s="1675"/>
      <c r="D40" s="1675"/>
      <c r="E40" s="1676"/>
      <c r="F40" s="141" t="s">
        <v>226</v>
      </c>
      <c r="G40" s="591">
        <f>SUM(G34:G39)</f>
        <v>2024.8379133229944</v>
      </c>
      <c r="H40" s="474"/>
      <c r="I40" s="383"/>
      <c r="J40" s="383"/>
      <c r="L40" s="47"/>
      <c r="N40" s="46"/>
      <c r="P40" s="47"/>
      <c r="Q40" s="47"/>
      <c r="R40" s="47"/>
    </row>
    <row r="41" spans="1:18" ht="15.6">
      <c r="A41" s="142" t="s">
        <v>11</v>
      </c>
      <c r="B41" s="1677" t="s">
        <v>328</v>
      </c>
      <c r="C41" s="1678"/>
      <c r="D41" s="1678"/>
      <c r="E41" s="1679"/>
      <c r="F41" s="48"/>
      <c r="G41" s="289"/>
      <c r="H41" s="474"/>
      <c r="I41" s="383"/>
      <c r="J41" s="383"/>
      <c r="L41" s="47"/>
      <c r="N41" s="46"/>
      <c r="P41" s="47"/>
      <c r="Q41" s="47"/>
      <c r="R41" s="47"/>
    </row>
    <row r="42" spans="1:18" s="150" customFormat="1" ht="33" customHeight="1">
      <c r="A42" s="135">
        <v>1</v>
      </c>
      <c r="B42" s="1670" t="s">
        <v>607</v>
      </c>
      <c r="C42" s="1671"/>
      <c r="D42" s="1671"/>
      <c r="E42" s="1672"/>
      <c r="F42" s="135" t="s">
        <v>226</v>
      </c>
      <c r="G42" s="592">
        <f>G11*G20/10^7</f>
        <v>1322.2732469999999</v>
      </c>
      <c r="H42" s="108"/>
      <c r="I42" s="208"/>
      <c r="J42" s="208"/>
      <c r="K42" s="208"/>
      <c r="L42" s="152"/>
      <c r="N42" s="151"/>
      <c r="P42" s="152"/>
      <c r="Q42" s="152"/>
      <c r="R42" s="152"/>
    </row>
    <row r="43" spans="1:18" s="150" customFormat="1" ht="25.5" customHeight="1">
      <c r="A43" s="135">
        <v>2</v>
      </c>
      <c r="B43" s="1680" t="s">
        <v>597</v>
      </c>
      <c r="C43" s="1681"/>
      <c r="D43" s="1681"/>
      <c r="E43" s="1682"/>
      <c r="F43" s="135" t="s">
        <v>226</v>
      </c>
      <c r="G43" s="174">
        <f>-G21*F53/10^6*G22/10^7</f>
        <v>-179.8272</v>
      </c>
      <c r="H43" s="108"/>
      <c r="I43" s="208"/>
      <c r="J43" s="208"/>
      <c r="K43" s="208"/>
      <c r="L43" s="152"/>
      <c r="N43" s="151"/>
      <c r="P43" s="152"/>
      <c r="Q43" s="152"/>
      <c r="R43" s="152"/>
    </row>
    <row r="44" spans="1:18" s="150" customFormat="1" ht="25.5" customHeight="1">
      <c r="A44" s="135">
        <v>3</v>
      </c>
      <c r="B44" s="1680" t="s">
        <v>606</v>
      </c>
      <c r="C44" s="1681"/>
      <c r="D44" s="1681"/>
      <c r="E44" s="1682"/>
      <c r="F44" s="135" t="s">
        <v>226</v>
      </c>
      <c r="G44" s="174">
        <f>-G23*F54*G24/10^7</f>
        <v>-36.821759999999998</v>
      </c>
      <c r="H44" s="108"/>
      <c r="I44" s="208"/>
      <c r="J44" s="208"/>
      <c r="K44" s="208"/>
      <c r="L44" s="152"/>
      <c r="N44" s="151"/>
      <c r="P44" s="152"/>
      <c r="Q44" s="152"/>
      <c r="R44" s="152"/>
    </row>
    <row r="45" spans="1:18" ht="24.75" customHeight="1">
      <c r="A45" s="135"/>
      <c r="B45" s="1662" t="s">
        <v>341</v>
      </c>
      <c r="C45" s="1663"/>
      <c r="D45" s="1663"/>
      <c r="E45" s="1664"/>
      <c r="F45" s="141" t="s">
        <v>226</v>
      </c>
      <c r="G45" s="714">
        <f>SUM(G42:G44)</f>
        <v>1105.6242869999999</v>
      </c>
      <c r="H45" s="715">
        <f>G45*10^7/G11</f>
        <v>16501.855029850743</v>
      </c>
      <c r="I45" s="173" t="s">
        <v>740</v>
      </c>
      <c r="J45" s="383"/>
      <c r="L45" s="47"/>
      <c r="N45" s="46"/>
      <c r="P45" s="47"/>
      <c r="Q45" s="47"/>
      <c r="R45" s="47"/>
    </row>
    <row r="46" spans="1:18" ht="22.5" customHeight="1">
      <c r="A46" s="1667" t="s">
        <v>608</v>
      </c>
      <c r="B46" s="1668"/>
      <c r="C46" s="1668"/>
      <c r="D46" s="1668"/>
      <c r="E46" s="1669"/>
      <c r="F46" s="143" t="s">
        <v>226</v>
      </c>
      <c r="G46" s="713">
        <f>G40-G45</f>
        <v>919.21362632299451</v>
      </c>
      <c r="H46" s="477"/>
      <c r="I46" s="383"/>
      <c r="J46" s="419"/>
      <c r="K46" s="419"/>
      <c r="L46" s="47"/>
      <c r="N46" s="46"/>
      <c r="P46" s="47"/>
      <c r="Q46" s="47"/>
      <c r="R46" s="47"/>
    </row>
    <row r="47" spans="1:18">
      <c r="B47" s="112"/>
      <c r="C47" s="112"/>
      <c r="D47" s="112"/>
      <c r="E47" s="112"/>
      <c r="H47" s="45"/>
      <c r="I47" s="49"/>
      <c r="J47" s="47"/>
      <c r="K47" s="419"/>
      <c r="L47" s="47"/>
      <c r="N47" s="46"/>
      <c r="P47" s="47"/>
      <c r="Q47" s="47"/>
      <c r="R47" s="47"/>
    </row>
    <row r="49" spans="1:77" s="150" customFormat="1">
      <c r="B49" s="145" t="s">
        <v>588</v>
      </c>
      <c r="F49" s="150">
        <f>1*10^6</f>
        <v>1000000</v>
      </c>
      <c r="G49" s="184"/>
      <c r="H49" s="145"/>
      <c r="I49" s="161"/>
      <c r="J49" s="161"/>
      <c r="K49" s="210"/>
    </row>
    <row r="50" spans="1:77">
      <c r="B50" s="45" t="s">
        <v>582</v>
      </c>
      <c r="F50" s="42">
        <f>F49*0.76</f>
        <v>760000</v>
      </c>
    </row>
    <row r="51" spans="1:77">
      <c r="B51" s="45" t="s">
        <v>769</v>
      </c>
      <c r="F51" s="390">
        <f>F49*0.67</f>
        <v>670000</v>
      </c>
      <c r="G51" s="670" t="s">
        <v>867</v>
      </c>
      <c r="J51" s="49"/>
    </row>
    <row r="52" spans="1:77">
      <c r="B52" s="45" t="s">
        <v>583</v>
      </c>
      <c r="F52" s="390">
        <f>F50-F51</f>
        <v>90000</v>
      </c>
    </row>
    <row r="53" spans="1:77">
      <c r="B53" s="126" t="s">
        <v>605</v>
      </c>
      <c r="C53" s="383"/>
      <c r="E53" s="411" t="s">
        <v>604</v>
      </c>
      <c r="F53" s="390">
        <f>4300*0+4200</f>
        <v>4200</v>
      </c>
    </row>
    <row r="54" spans="1:77">
      <c r="B54" s="126" t="s">
        <v>610</v>
      </c>
      <c r="E54" s="45" t="s">
        <v>611</v>
      </c>
      <c r="F54" s="390">
        <v>8.6</v>
      </c>
    </row>
    <row r="55" spans="1:77">
      <c r="B55" s="126" t="s">
        <v>739</v>
      </c>
      <c r="F55" s="42">
        <f>F49*0.032</f>
        <v>32000</v>
      </c>
    </row>
    <row r="61" spans="1:77" s="17" customFormat="1">
      <c r="O61" s="114"/>
      <c r="P61" s="114"/>
    </row>
    <row r="62" spans="1:77" s="17" customFormat="1">
      <c r="O62" s="114"/>
      <c r="P62" s="114"/>
    </row>
    <row r="63" spans="1:77" s="17" customFormat="1" ht="20.100000000000001" customHeight="1">
      <c r="A63" s="38"/>
      <c r="B63" s="50" t="s">
        <v>230</v>
      </c>
      <c r="H63" s="38"/>
      <c r="N63" s="129" t="s">
        <v>379</v>
      </c>
      <c r="O63" s="114"/>
      <c r="P63" s="114"/>
      <c r="R63" s="51"/>
      <c r="X63" s="50" t="s">
        <v>306</v>
      </c>
      <c r="AH63" s="18" t="s">
        <v>323</v>
      </c>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row>
    <row r="64" spans="1:77" s="17" customFormat="1" ht="20.100000000000001" customHeight="1">
      <c r="B64" s="52" t="s">
        <v>231</v>
      </c>
      <c r="C64" s="52" t="s">
        <v>93</v>
      </c>
      <c r="D64" s="17" t="s">
        <v>232</v>
      </c>
      <c r="E64" s="32" t="s">
        <v>233</v>
      </c>
      <c r="F64" s="52" t="s">
        <v>95</v>
      </c>
      <c r="G64" s="32" t="s">
        <v>96</v>
      </c>
      <c r="H64" s="1665" t="s">
        <v>234</v>
      </c>
      <c r="I64" s="1665"/>
      <c r="J64" s="52" t="s">
        <v>868</v>
      </c>
      <c r="K64" s="52" t="s">
        <v>235</v>
      </c>
      <c r="L64" s="52"/>
      <c r="N64" s="129">
        <f>'[2]capcost Stamp'!E7</f>
        <v>0</v>
      </c>
      <c r="O64" s="114"/>
      <c r="P64" s="114"/>
      <c r="AH64" s="18">
        <f>'[2]capcost Stamp'!O8</f>
        <v>0</v>
      </c>
      <c r="AO64" s="53"/>
      <c r="AP64" s="54"/>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row>
    <row r="65" spans="1:77" s="17" customFormat="1" ht="20.100000000000001" customHeight="1">
      <c r="A65" s="38"/>
      <c r="B65" s="32"/>
      <c r="C65" s="52" t="s">
        <v>97</v>
      </c>
      <c r="D65" s="17" t="s">
        <v>236</v>
      </c>
      <c r="E65" s="32" t="s">
        <v>237</v>
      </c>
      <c r="F65" s="55" t="s">
        <v>898</v>
      </c>
      <c r="G65" s="32" t="s">
        <v>99</v>
      </c>
      <c r="H65" s="52" t="s">
        <v>94</v>
      </c>
      <c r="I65" s="52" t="s">
        <v>98</v>
      </c>
      <c r="J65" s="52"/>
      <c r="K65" s="52" t="s">
        <v>899</v>
      </c>
      <c r="L65" s="35"/>
      <c r="O65" s="186"/>
      <c r="P65" s="186"/>
      <c r="Q65" s="57"/>
      <c r="R65" s="56"/>
      <c r="S65" s="56"/>
      <c r="T65" s="56"/>
      <c r="U65" s="56"/>
      <c r="V65" s="56"/>
      <c r="W65" s="56"/>
      <c r="X65" s="56"/>
      <c r="Y65" s="56"/>
      <c r="Z65" s="56"/>
      <c r="AA65" s="56"/>
      <c r="AB65" s="56"/>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row>
    <row r="66" spans="1:77" s="17" customFormat="1" ht="20.100000000000001" customHeight="1">
      <c r="A66" s="38"/>
      <c r="B66" s="58" t="s">
        <v>87</v>
      </c>
      <c r="C66" s="58" t="s">
        <v>87</v>
      </c>
      <c r="D66" s="58" t="s">
        <v>87</v>
      </c>
      <c r="E66" s="58" t="s">
        <v>87</v>
      </c>
      <c r="F66" s="58" t="s">
        <v>87</v>
      </c>
      <c r="G66" s="58" t="s">
        <v>87</v>
      </c>
      <c r="H66" s="58" t="s">
        <v>87</v>
      </c>
      <c r="I66" s="58" t="s">
        <v>87</v>
      </c>
      <c r="J66" s="58"/>
      <c r="K66" s="58"/>
      <c r="L66" s="59"/>
      <c r="N66" s="60" t="s">
        <v>238</v>
      </c>
      <c r="O66" s="186"/>
      <c r="P66" s="186"/>
      <c r="Q66" s="61"/>
      <c r="R66" s="56"/>
      <c r="S66" s="56"/>
      <c r="T66" s="56"/>
      <c r="U66" s="56"/>
      <c r="V66" s="56"/>
      <c r="W66" s="56"/>
      <c r="X66" s="56"/>
      <c r="Z66" s="56"/>
      <c r="AA66" s="56"/>
      <c r="AB66" s="56"/>
      <c r="AI66" s="60" t="s">
        <v>239</v>
      </c>
      <c r="AO66" s="38"/>
      <c r="AP66" s="62"/>
      <c r="AQ66" s="62"/>
      <c r="AR66" s="62"/>
      <c r="AS66" s="62"/>
      <c r="AT66" s="62"/>
      <c r="AU66" s="62"/>
      <c r="AV66" s="62"/>
      <c r="AW66" s="62"/>
      <c r="AX66" s="62"/>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row>
    <row r="67" spans="1:77" s="17" customFormat="1" ht="20.100000000000001" customHeight="1">
      <c r="A67" s="63"/>
      <c r="B67" s="32"/>
      <c r="C67" s="32"/>
      <c r="E67" s="32"/>
      <c r="F67" s="32"/>
      <c r="G67" s="32"/>
      <c r="H67" s="32"/>
      <c r="I67" s="32"/>
      <c r="J67" s="32"/>
      <c r="K67" s="32"/>
      <c r="L67" s="38"/>
      <c r="N67" s="64" t="s">
        <v>240</v>
      </c>
      <c r="O67" s="187" t="s">
        <v>241</v>
      </c>
      <c r="P67" s="187" t="s">
        <v>242</v>
      </c>
      <c r="Q67" s="65" t="s">
        <v>243</v>
      </c>
      <c r="R67" s="65" t="s">
        <v>244</v>
      </c>
      <c r="S67" s="65" t="s">
        <v>245</v>
      </c>
      <c r="T67" s="65" t="s">
        <v>246</v>
      </c>
      <c r="U67" s="65" t="s">
        <v>247</v>
      </c>
      <c r="V67" s="65" t="s">
        <v>248</v>
      </c>
      <c r="W67" s="65" t="s">
        <v>249</v>
      </c>
      <c r="X67" s="65" t="s">
        <v>250</v>
      </c>
      <c r="Y67" s="65" t="s">
        <v>251</v>
      </c>
      <c r="Z67" s="65" t="s">
        <v>252</v>
      </c>
      <c r="AA67" s="65" t="s">
        <v>253</v>
      </c>
      <c r="AB67" s="65" t="s">
        <v>254</v>
      </c>
      <c r="AC67" s="65" t="s">
        <v>255</v>
      </c>
      <c r="AD67" s="65" t="s">
        <v>256</v>
      </c>
      <c r="AE67" s="65" t="s">
        <v>257</v>
      </c>
      <c r="AF67" s="65" t="s">
        <v>258</v>
      </c>
      <c r="AG67" s="65" t="s">
        <v>259</v>
      </c>
      <c r="AH67" s="65" t="s">
        <v>260</v>
      </c>
      <c r="AI67" s="65" t="s">
        <v>261</v>
      </c>
      <c r="AJ67" s="65" t="s">
        <v>262</v>
      </c>
      <c r="AK67" s="65" t="s">
        <v>305</v>
      </c>
      <c r="AL67" s="65" t="s">
        <v>581</v>
      </c>
      <c r="AN67" s="221" t="s">
        <v>613</v>
      </c>
      <c r="AO67"/>
      <c r="AP67"/>
      <c r="AQ67"/>
      <c r="AR67"/>
      <c r="AS67"/>
      <c r="AT67"/>
      <c r="AU67"/>
      <c r="AV67"/>
      <c r="AW67"/>
      <c r="AX67"/>
      <c r="AY67"/>
      <c r="AZ67"/>
      <c r="BA67"/>
      <c r="BB67"/>
      <c r="BC67"/>
      <c r="BD67"/>
      <c r="BE67"/>
      <c r="BF67"/>
      <c r="BG67"/>
      <c r="BH67"/>
      <c r="BI67"/>
      <c r="BJ67"/>
      <c r="BK67"/>
      <c r="BL67"/>
      <c r="BM67"/>
      <c r="BN67" s="38"/>
      <c r="BO67" s="38"/>
      <c r="BP67" s="38"/>
      <c r="BQ67" s="38"/>
      <c r="BR67" s="38"/>
      <c r="BS67" s="38"/>
      <c r="BT67" s="38"/>
      <c r="BU67" s="38"/>
      <c r="BV67" s="38"/>
      <c r="BW67" s="38"/>
      <c r="BX67" s="38"/>
      <c r="BY67" s="38"/>
    </row>
    <row r="68" spans="1:77" s="17" customFormat="1" ht="20.100000000000001" customHeight="1">
      <c r="A68" s="38"/>
      <c r="B68" s="606" t="s">
        <v>138</v>
      </c>
      <c r="C68" s="19" t="e">
        <f>#REF!</f>
        <v>#REF!</v>
      </c>
      <c r="E68" s="32" t="e">
        <f>C68</f>
        <v>#REF!</v>
      </c>
      <c r="F68" s="32" t="e">
        <f>#REF!</f>
        <v>#REF!</v>
      </c>
      <c r="G68" s="32" t="e">
        <f>D68+E68+F68</f>
        <v>#REF!</v>
      </c>
      <c r="H68" s="32">
        <f>D68</f>
        <v>0</v>
      </c>
      <c r="I68" s="32" t="e">
        <f>E68+F68</f>
        <v>#REF!</v>
      </c>
      <c r="J68" s="32"/>
      <c r="K68" s="32"/>
      <c r="L68" s="38"/>
      <c r="N68" s="67" t="s">
        <v>263</v>
      </c>
      <c r="O68" s="187"/>
      <c r="P68" s="188"/>
      <c r="Q68" s="68">
        <f>70%/2*0</f>
        <v>0</v>
      </c>
      <c r="R68" s="68">
        <f>80%*6/12</f>
        <v>0.40000000000000008</v>
      </c>
      <c r="S68" s="68">
        <v>0.9</v>
      </c>
      <c r="T68" s="68">
        <v>1</v>
      </c>
      <c r="U68" s="68">
        <v>1</v>
      </c>
      <c r="V68" s="68">
        <v>1</v>
      </c>
      <c r="W68" s="68">
        <v>1</v>
      </c>
      <c r="X68" s="68">
        <v>1</v>
      </c>
      <c r="Y68" s="68">
        <v>1</v>
      </c>
      <c r="Z68" s="68">
        <v>1</v>
      </c>
      <c r="AA68" s="68">
        <v>1</v>
      </c>
      <c r="AB68" s="68">
        <v>1</v>
      </c>
      <c r="AC68" s="68">
        <v>1</v>
      </c>
      <c r="AD68" s="68">
        <v>1</v>
      </c>
      <c r="AE68" s="68">
        <v>1</v>
      </c>
      <c r="AF68" s="68">
        <v>1</v>
      </c>
      <c r="AG68" s="68">
        <v>1</v>
      </c>
      <c r="AH68" s="68">
        <v>1</v>
      </c>
      <c r="AI68" s="68">
        <v>1</v>
      </c>
      <c r="AJ68" s="68">
        <v>1</v>
      </c>
      <c r="AK68" s="68">
        <v>1</v>
      </c>
      <c r="AL68" s="68">
        <v>0.5</v>
      </c>
      <c r="AN68"/>
      <c r="AO68" s="222">
        <v>0.15</v>
      </c>
      <c r="AP68"/>
      <c r="AQ68"/>
      <c r="AR68"/>
      <c r="AS68"/>
      <c r="AT68"/>
      <c r="AU68"/>
      <c r="AV68"/>
      <c r="AW68"/>
      <c r="AX68"/>
      <c r="AY68"/>
      <c r="AZ68"/>
      <c r="BA68"/>
      <c r="BB68"/>
      <c r="BC68"/>
      <c r="BD68"/>
      <c r="BE68"/>
      <c r="BF68"/>
      <c r="BG68"/>
      <c r="BH68"/>
      <c r="BI68"/>
      <c r="BJ68"/>
      <c r="BK68"/>
      <c r="BL68"/>
      <c r="BM68"/>
      <c r="BN68" s="38"/>
      <c r="BO68" s="38"/>
      <c r="BP68" s="38"/>
      <c r="BQ68" s="38"/>
      <c r="BR68" s="38"/>
      <c r="BS68" s="38"/>
      <c r="BT68" s="38"/>
      <c r="BU68" s="38"/>
      <c r="BV68" s="38"/>
      <c r="BW68" s="38"/>
      <c r="BX68" s="38"/>
      <c r="BY68" s="38"/>
    </row>
    <row r="69" spans="1:77" s="17" customFormat="1" ht="20.100000000000001" customHeight="1">
      <c r="A69" s="38"/>
      <c r="B69" s="606" t="s">
        <v>141</v>
      </c>
      <c r="C69" s="19" t="e">
        <f>#REF!</f>
        <v>#REF!</v>
      </c>
      <c r="E69" s="32" t="e">
        <f>C69</f>
        <v>#REF!</v>
      </c>
      <c r="F69" s="32" t="e">
        <f>#REF!</f>
        <v>#REF!</v>
      </c>
      <c r="G69" s="32" t="e">
        <f>D69+E69+F69</f>
        <v>#REF!</v>
      </c>
      <c r="H69" s="32">
        <f>D69</f>
        <v>0</v>
      </c>
      <c r="I69" s="32" t="e">
        <f>E69+F69</f>
        <v>#REF!</v>
      </c>
      <c r="J69" s="32"/>
      <c r="K69" s="32"/>
      <c r="L69" s="38"/>
      <c r="N69" s="56" t="s">
        <v>264</v>
      </c>
      <c r="O69" s="186"/>
      <c r="P69" s="186"/>
      <c r="Q69" s="56"/>
      <c r="R69" s="56">
        <f t="shared" ref="R69:AL69" si="1">+$D$75*R68</f>
        <v>367.68545052919785</v>
      </c>
      <c r="S69" s="56">
        <f t="shared" si="1"/>
        <v>827.29226369069511</v>
      </c>
      <c r="T69" s="56">
        <f t="shared" si="1"/>
        <v>919.21362632299451</v>
      </c>
      <c r="U69" s="56">
        <f t="shared" si="1"/>
        <v>919.21362632299451</v>
      </c>
      <c r="V69" s="56">
        <f t="shared" si="1"/>
        <v>919.21362632299451</v>
      </c>
      <c r="W69" s="56">
        <f t="shared" si="1"/>
        <v>919.21362632299451</v>
      </c>
      <c r="X69" s="56">
        <f t="shared" si="1"/>
        <v>919.21362632299451</v>
      </c>
      <c r="Y69" s="56">
        <f t="shared" si="1"/>
        <v>919.21362632299451</v>
      </c>
      <c r="Z69" s="56">
        <f t="shared" si="1"/>
        <v>919.21362632299451</v>
      </c>
      <c r="AA69" s="56">
        <f t="shared" si="1"/>
        <v>919.21362632299451</v>
      </c>
      <c r="AB69" s="56">
        <f t="shared" si="1"/>
        <v>919.21362632299451</v>
      </c>
      <c r="AC69" s="56">
        <f t="shared" si="1"/>
        <v>919.21362632299451</v>
      </c>
      <c r="AD69" s="56">
        <f t="shared" si="1"/>
        <v>919.21362632299451</v>
      </c>
      <c r="AE69" s="56">
        <f t="shared" si="1"/>
        <v>919.21362632299451</v>
      </c>
      <c r="AF69" s="56">
        <f t="shared" si="1"/>
        <v>919.21362632299451</v>
      </c>
      <c r="AG69" s="56">
        <f t="shared" si="1"/>
        <v>919.21362632299451</v>
      </c>
      <c r="AH69" s="56">
        <f t="shared" si="1"/>
        <v>919.21362632299451</v>
      </c>
      <c r="AI69" s="56">
        <f t="shared" si="1"/>
        <v>919.21362632299451</v>
      </c>
      <c r="AJ69" s="56">
        <f t="shared" si="1"/>
        <v>919.21362632299451</v>
      </c>
      <c r="AK69" s="56">
        <f t="shared" si="1"/>
        <v>919.21362632299451</v>
      </c>
      <c r="AL69" s="56">
        <f t="shared" si="1"/>
        <v>459.60681316149726</v>
      </c>
      <c r="AN69" t="s">
        <v>265</v>
      </c>
      <c r="AO69" s="16">
        <v>1</v>
      </c>
      <c r="AP69" s="70">
        <v>2</v>
      </c>
      <c r="AQ69" s="70">
        <v>3</v>
      </c>
      <c r="AR69" s="70">
        <v>4</v>
      </c>
      <c r="AS69" s="70">
        <v>5</v>
      </c>
      <c r="AT69" s="70">
        <v>6</v>
      </c>
      <c r="AU69" s="70">
        <v>7</v>
      </c>
      <c r="AV69" s="70">
        <v>8</v>
      </c>
      <c r="AW69" s="70">
        <v>9</v>
      </c>
      <c r="AX69" s="70">
        <v>10</v>
      </c>
      <c r="AY69" s="70">
        <v>11</v>
      </c>
      <c r="AZ69" s="70">
        <v>12</v>
      </c>
      <c r="BA69" s="70">
        <v>13</v>
      </c>
      <c r="BB69" s="70">
        <v>14</v>
      </c>
      <c r="BC69" s="70">
        <v>15</v>
      </c>
      <c r="BD69" s="70">
        <v>16</v>
      </c>
      <c r="BE69" s="70">
        <v>17</v>
      </c>
      <c r="BF69" s="70">
        <v>18</v>
      </c>
      <c r="BG69" s="70">
        <v>19</v>
      </c>
      <c r="BH69" s="70">
        <v>20</v>
      </c>
      <c r="BI69" s="70">
        <v>21</v>
      </c>
      <c r="BJ69" s="71">
        <v>22</v>
      </c>
      <c r="BK69" s="71">
        <v>23</v>
      </c>
      <c r="BL69"/>
      <c r="BM69"/>
      <c r="BN69" s="38"/>
      <c r="BO69" s="38"/>
      <c r="BP69" s="38"/>
      <c r="BQ69" s="38"/>
      <c r="BR69" s="38"/>
      <c r="BS69" s="38"/>
      <c r="BT69" s="38"/>
      <c r="BU69" s="38"/>
      <c r="BV69" s="38"/>
      <c r="BW69" s="38"/>
      <c r="BX69" s="38"/>
      <c r="BY69" s="38"/>
    </row>
    <row r="70" spans="1:77" s="17" customFormat="1" ht="20.100000000000001" customHeight="1">
      <c r="A70" s="38"/>
      <c r="B70" s="30" t="s">
        <v>579</v>
      </c>
      <c r="C70" s="19" t="e">
        <f>#REF!</f>
        <v>#REF!</v>
      </c>
      <c r="E70" s="32" t="e">
        <f>C70</f>
        <v>#REF!</v>
      </c>
      <c r="F70" s="32" t="e">
        <f>#REF!</f>
        <v>#REF!</v>
      </c>
      <c r="G70" s="32" t="e">
        <f>D70+E70+F70</f>
        <v>#REF!</v>
      </c>
      <c r="H70" s="32">
        <f>D70</f>
        <v>0</v>
      </c>
      <c r="I70" s="32" t="e">
        <f>E70+F70</f>
        <v>#REF!</v>
      </c>
      <c r="L70" s="38"/>
      <c r="N70" s="56" t="s">
        <v>266</v>
      </c>
      <c r="O70" s="186">
        <f t="shared" ref="O70:AL70" si="2">+O90</f>
        <v>0</v>
      </c>
      <c r="P70" s="186">
        <f t="shared" si="2"/>
        <v>0</v>
      </c>
      <c r="Q70" s="186" t="e">
        <f t="shared" si="2"/>
        <v>#REF!</v>
      </c>
      <c r="R70" s="56" t="e">
        <f t="shared" si="2"/>
        <v>#REF!</v>
      </c>
      <c r="S70" s="56" t="e">
        <f t="shared" si="2"/>
        <v>#REF!</v>
      </c>
      <c r="T70" s="56" t="e">
        <f t="shared" si="2"/>
        <v>#REF!</v>
      </c>
      <c r="U70" s="56" t="e">
        <f t="shared" si="2"/>
        <v>#REF!</v>
      </c>
      <c r="V70" s="56" t="e">
        <f t="shared" si="2"/>
        <v>#REF!</v>
      </c>
      <c r="W70" s="56" t="e">
        <f t="shared" si="2"/>
        <v>#REF!</v>
      </c>
      <c r="X70" s="56" t="e">
        <f t="shared" si="2"/>
        <v>#REF!</v>
      </c>
      <c r="Y70" s="56" t="e">
        <f t="shared" si="2"/>
        <v>#REF!</v>
      </c>
      <c r="Z70" s="56" t="e">
        <f t="shared" si="2"/>
        <v>#REF!</v>
      </c>
      <c r="AA70" s="56" t="e">
        <f t="shared" si="2"/>
        <v>#REF!</v>
      </c>
      <c r="AB70" s="56" t="e">
        <f t="shared" si="2"/>
        <v>#REF!</v>
      </c>
      <c r="AC70" s="56" t="e">
        <f t="shared" si="2"/>
        <v>#REF!</v>
      </c>
      <c r="AD70" s="56" t="e">
        <f t="shared" si="2"/>
        <v>#REF!</v>
      </c>
      <c r="AE70" s="56" t="e">
        <f t="shared" si="2"/>
        <v>#REF!</v>
      </c>
      <c r="AF70" s="56" t="e">
        <f t="shared" si="2"/>
        <v>#REF!</v>
      </c>
      <c r="AG70" s="56" t="e">
        <f t="shared" si="2"/>
        <v>#REF!</v>
      </c>
      <c r="AH70" s="56" t="e">
        <f t="shared" si="2"/>
        <v>#REF!</v>
      </c>
      <c r="AI70" s="56" t="e">
        <f t="shared" si="2"/>
        <v>#REF!</v>
      </c>
      <c r="AJ70" s="56" t="e">
        <f t="shared" si="2"/>
        <v>#REF!</v>
      </c>
      <c r="AK70" s="56">
        <f t="shared" si="2"/>
        <v>0</v>
      </c>
      <c r="AL70" s="56">
        <f t="shared" si="2"/>
        <v>0</v>
      </c>
      <c r="AN70" t="s">
        <v>267</v>
      </c>
      <c r="AO70" t="e">
        <f>+K73</f>
        <v>#REF!</v>
      </c>
      <c r="AP70" t="e">
        <f t="shared" ref="AP70:BK70" si="3">+AO72</f>
        <v>#REF!</v>
      </c>
      <c r="AQ70" t="e">
        <f t="shared" si="3"/>
        <v>#REF!</v>
      </c>
      <c r="AR70" t="e">
        <f t="shared" si="3"/>
        <v>#REF!</v>
      </c>
      <c r="AS70" t="e">
        <f t="shared" si="3"/>
        <v>#REF!</v>
      </c>
      <c r="AT70" t="e">
        <f t="shared" si="3"/>
        <v>#REF!</v>
      </c>
      <c r="AU70" t="e">
        <f t="shared" si="3"/>
        <v>#REF!</v>
      </c>
      <c r="AV70" t="e">
        <f t="shared" si="3"/>
        <v>#REF!</v>
      </c>
      <c r="AW70" t="e">
        <f t="shared" si="3"/>
        <v>#REF!</v>
      </c>
      <c r="AX70" t="e">
        <f t="shared" si="3"/>
        <v>#REF!</v>
      </c>
      <c r="AY70" t="e">
        <f t="shared" si="3"/>
        <v>#REF!</v>
      </c>
      <c r="AZ70" t="e">
        <f t="shared" si="3"/>
        <v>#REF!</v>
      </c>
      <c r="BA70" t="e">
        <f t="shared" si="3"/>
        <v>#REF!</v>
      </c>
      <c r="BB70" t="e">
        <f t="shared" si="3"/>
        <v>#REF!</v>
      </c>
      <c r="BC70" t="e">
        <f t="shared" si="3"/>
        <v>#REF!</v>
      </c>
      <c r="BD70" t="e">
        <f t="shared" si="3"/>
        <v>#REF!</v>
      </c>
      <c r="BE70" t="e">
        <f t="shared" si="3"/>
        <v>#REF!</v>
      </c>
      <c r="BF70" t="e">
        <f t="shared" si="3"/>
        <v>#REF!</v>
      </c>
      <c r="BG70" t="e">
        <f t="shared" si="3"/>
        <v>#REF!</v>
      </c>
      <c r="BH70" s="73" t="e">
        <f t="shared" si="3"/>
        <v>#REF!</v>
      </c>
      <c r="BI70" t="e">
        <f t="shared" si="3"/>
        <v>#REF!</v>
      </c>
      <c r="BJ70" t="e">
        <f t="shared" si="3"/>
        <v>#REF!</v>
      </c>
      <c r="BK70" t="e">
        <f t="shared" si="3"/>
        <v>#REF!</v>
      </c>
      <c r="BL70"/>
      <c r="BM70" t="s">
        <v>268</v>
      </c>
      <c r="BN70" s="38"/>
      <c r="BO70" s="38"/>
      <c r="BP70" s="38"/>
      <c r="BQ70" s="38"/>
      <c r="BR70" s="38"/>
      <c r="BS70" s="38"/>
      <c r="BT70" s="38"/>
      <c r="BU70" s="38"/>
      <c r="BV70" s="38"/>
      <c r="BW70" s="38"/>
      <c r="BX70" s="38"/>
      <c r="BY70" s="38"/>
    </row>
    <row r="71" spans="1:77" s="17" customFormat="1" ht="20.100000000000001" customHeight="1">
      <c r="A71" s="38"/>
      <c r="B71" s="138" t="s">
        <v>580</v>
      </c>
      <c r="C71" s="19" t="e">
        <f>#REF!</f>
        <v>#REF!</v>
      </c>
      <c r="E71" s="32" t="e">
        <f>C71</f>
        <v>#REF!</v>
      </c>
      <c r="F71" s="32" t="e">
        <f>#REF!</f>
        <v>#REF!</v>
      </c>
      <c r="G71" s="32" t="e">
        <f>D71+E71+F71</f>
        <v>#REF!</v>
      </c>
      <c r="H71" s="32">
        <f>D71</f>
        <v>0</v>
      </c>
      <c r="I71" s="32" t="e">
        <f>E71+F71</f>
        <v>#REF!</v>
      </c>
      <c r="L71" s="38"/>
      <c r="N71" s="56" t="s">
        <v>228</v>
      </c>
      <c r="O71" s="186">
        <v>0</v>
      </c>
      <c r="P71" s="189">
        <v>0</v>
      </c>
      <c r="Q71" s="189"/>
      <c r="R71" s="69" t="e">
        <f t="shared" ref="R71:AL71" si="4">AO71</f>
        <v>#REF!</v>
      </c>
      <c r="S71" s="69" t="e">
        <f t="shared" si="4"/>
        <v>#REF!</v>
      </c>
      <c r="T71" s="69" t="e">
        <f t="shared" si="4"/>
        <v>#REF!</v>
      </c>
      <c r="U71" s="69" t="e">
        <f t="shared" si="4"/>
        <v>#REF!</v>
      </c>
      <c r="V71" s="69" t="e">
        <f t="shared" si="4"/>
        <v>#REF!</v>
      </c>
      <c r="W71" s="69" t="e">
        <f t="shared" si="4"/>
        <v>#REF!</v>
      </c>
      <c r="X71" s="69" t="e">
        <f t="shared" si="4"/>
        <v>#REF!</v>
      </c>
      <c r="Y71" s="69" t="e">
        <f t="shared" si="4"/>
        <v>#REF!</v>
      </c>
      <c r="Z71" s="69" t="e">
        <f t="shared" si="4"/>
        <v>#REF!</v>
      </c>
      <c r="AA71" s="69" t="e">
        <f t="shared" si="4"/>
        <v>#REF!</v>
      </c>
      <c r="AB71" s="69" t="e">
        <f t="shared" si="4"/>
        <v>#REF!</v>
      </c>
      <c r="AC71" s="69" t="e">
        <f t="shared" si="4"/>
        <v>#REF!</v>
      </c>
      <c r="AD71" s="69" t="e">
        <f t="shared" si="4"/>
        <v>#REF!</v>
      </c>
      <c r="AE71" s="69" t="e">
        <f t="shared" si="4"/>
        <v>#REF!</v>
      </c>
      <c r="AF71" s="69" t="e">
        <f t="shared" si="4"/>
        <v>#REF!</v>
      </c>
      <c r="AG71" s="69" t="e">
        <f t="shared" si="4"/>
        <v>#REF!</v>
      </c>
      <c r="AH71" s="69" t="e">
        <f t="shared" si="4"/>
        <v>#REF!</v>
      </c>
      <c r="AI71" s="69" t="e">
        <f t="shared" si="4"/>
        <v>#REF!</v>
      </c>
      <c r="AJ71" s="69" t="e">
        <f t="shared" si="4"/>
        <v>#REF!</v>
      </c>
      <c r="AK71" s="69" t="e">
        <f t="shared" si="4"/>
        <v>#REF!</v>
      </c>
      <c r="AL71" s="69">
        <f t="shared" si="4"/>
        <v>0</v>
      </c>
      <c r="AM71" s="69" t="e">
        <f>SUM(O71:AL71)</f>
        <v>#REF!</v>
      </c>
      <c r="AN71" s="33" t="s">
        <v>612</v>
      </c>
      <c r="AO71" s="73" t="e">
        <f>+AO70*$AO$68/2</f>
        <v>#REF!</v>
      </c>
      <c r="AP71" s="73" t="e">
        <f t="shared" ref="AP71:AU71" si="5">+AP70*$AO$68</f>
        <v>#REF!</v>
      </c>
      <c r="AQ71" s="73" t="e">
        <f t="shared" si="5"/>
        <v>#REF!</v>
      </c>
      <c r="AR71" s="73" t="e">
        <f t="shared" si="5"/>
        <v>#REF!</v>
      </c>
      <c r="AS71" s="73" t="e">
        <f t="shared" si="5"/>
        <v>#REF!</v>
      </c>
      <c r="AT71" s="73" t="e">
        <f t="shared" si="5"/>
        <v>#REF!</v>
      </c>
      <c r="AU71" s="73" t="e">
        <f t="shared" si="5"/>
        <v>#REF!</v>
      </c>
      <c r="AV71" s="73" t="e">
        <f t="shared" ref="AV71:BF71" si="6">+AV70*$AO$68</f>
        <v>#REF!</v>
      </c>
      <c r="AW71" s="73" t="e">
        <f t="shared" si="6"/>
        <v>#REF!</v>
      </c>
      <c r="AX71" s="73" t="e">
        <f t="shared" si="6"/>
        <v>#REF!</v>
      </c>
      <c r="AY71" s="73" t="e">
        <f t="shared" si="6"/>
        <v>#REF!</v>
      </c>
      <c r="AZ71" s="73" t="e">
        <f t="shared" si="6"/>
        <v>#REF!</v>
      </c>
      <c r="BA71" s="73" t="e">
        <f t="shared" si="6"/>
        <v>#REF!</v>
      </c>
      <c r="BB71" s="73" t="e">
        <f t="shared" si="6"/>
        <v>#REF!</v>
      </c>
      <c r="BC71" s="73" t="e">
        <f t="shared" si="6"/>
        <v>#REF!</v>
      </c>
      <c r="BD71" s="73" t="e">
        <f t="shared" si="6"/>
        <v>#REF!</v>
      </c>
      <c r="BE71" s="73" t="e">
        <f t="shared" si="6"/>
        <v>#REF!</v>
      </c>
      <c r="BF71" s="73" t="e">
        <f t="shared" si="6"/>
        <v>#REF!</v>
      </c>
      <c r="BG71" s="73" t="e">
        <f>+BG70*$AO$64*0+AO70*0.95-SUM(AO71:BF71)</f>
        <v>#REF!</v>
      </c>
      <c r="BH71" s="73" t="e">
        <f>AO70*0.95-SUM(AO71:BG71)</f>
        <v>#REF!</v>
      </c>
      <c r="BI71" s="73"/>
      <c r="BJ71" s="73"/>
      <c r="BK71"/>
      <c r="BL71" t="e">
        <f>SUM(AO71:BK71)</f>
        <v>#REF!</v>
      </c>
      <c r="BM71" t="e">
        <f>+K73*0.95</f>
        <v>#REF!</v>
      </c>
      <c r="BN71" s="38"/>
      <c r="BO71" s="38"/>
      <c r="BP71" s="38"/>
      <c r="BQ71" s="38"/>
      <c r="BR71" s="38"/>
      <c r="BS71" s="38"/>
      <c r="BT71" s="38"/>
      <c r="BU71" s="38"/>
      <c r="BV71" s="38"/>
      <c r="BW71" s="38"/>
      <c r="BX71" s="38"/>
      <c r="BY71" s="38"/>
    </row>
    <row r="72" spans="1:77" s="19" customFormat="1" ht="33.75" customHeight="1">
      <c r="A72" s="137"/>
      <c r="B72" s="607" t="s">
        <v>180</v>
      </c>
      <c r="C72" s="19" t="e">
        <f>#REF!</f>
        <v>#REF!</v>
      </c>
      <c r="E72" s="32" t="e">
        <f>C72</f>
        <v>#REF!</v>
      </c>
      <c r="F72" s="32"/>
      <c r="G72" s="761" t="e">
        <f>D72+E72+F72</f>
        <v>#REF!</v>
      </c>
      <c r="H72" s="761">
        <f>D72</f>
        <v>0</v>
      </c>
      <c r="I72" s="761" t="e">
        <f>E72+F72</f>
        <v>#REF!</v>
      </c>
      <c r="J72" s="762"/>
      <c r="K72" s="762"/>
      <c r="L72" s="137"/>
      <c r="N72" s="1213" t="s">
        <v>269</v>
      </c>
      <c r="O72" s="764">
        <v>0</v>
      </c>
      <c r="P72" s="765">
        <f t="shared" ref="P72:AL72" si="7">+P69-P70-P71</f>
        <v>0</v>
      </c>
      <c r="Q72" s="765" t="e">
        <f t="shared" si="7"/>
        <v>#REF!</v>
      </c>
      <c r="R72" s="766" t="e">
        <f t="shared" si="7"/>
        <v>#REF!</v>
      </c>
      <c r="S72" s="766" t="e">
        <f t="shared" si="7"/>
        <v>#REF!</v>
      </c>
      <c r="T72" s="766" t="e">
        <f t="shared" si="7"/>
        <v>#REF!</v>
      </c>
      <c r="U72" s="766" t="e">
        <f t="shared" si="7"/>
        <v>#REF!</v>
      </c>
      <c r="V72" s="766" t="e">
        <f t="shared" si="7"/>
        <v>#REF!</v>
      </c>
      <c r="W72" s="766" t="e">
        <f t="shared" si="7"/>
        <v>#REF!</v>
      </c>
      <c r="X72" s="766" t="e">
        <f t="shared" si="7"/>
        <v>#REF!</v>
      </c>
      <c r="Y72" s="766" t="e">
        <f t="shared" si="7"/>
        <v>#REF!</v>
      </c>
      <c r="Z72" s="766" t="e">
        <f t="shared" si="7"/>
        <v>#REF!</v>
      </c>
      <c r="AA72" s="766" t="e">
        <f t="shared" si="7"/>
        <v>#REF!</v>
      </c>
      <c r="AB72" s="766" t="e">
        <f t="shared" si="7"/>
        <v>#REF!</v>
      </c>
      <c r="AC72" s="766" t="e">
        <f t="shared" si="7"/>
        <v>#REF!</v>
      </c>
      <c r="AD72" s="766" t="e">
        <f t="shared" si="7"/>
        <v>#REF!</v>
      </c>
      <c r="AE72" s="766" t="e">
        <f t="shared" si="7"/>
        <v>#REF!</v>
      </c>
      <c r="AF72" s="766" t="e">
        <f t="shared" si="7"/>
        <v>#REF!</v>
      </c>
      <c r="AG72" s="766" t="e">
        <f t="shared" si="7"/>
        <v>#REF!</v>
      </c>
      <c r="AH72" s="766" t="e">
        <f t="shared" si="7"/>
        <v>#REF!</v>
      </c>
      <c r="AI72" s="766" t="e">
        <f t="shared" si="7"/>
        <v>#REF!</v>
      </c>
      <c r="AJ72" s="766" t="e">
        <f t="shared" si="7"/>
        <v>#REF!</v>
      </c>
      <c r="AK72" s="766" t="e">
        <f t="shared" si="7"/>
        <v>#REF!</v>
      </c>
      <c r="AL72" s="766">
        <f t="shared" si="7"/>
        <v>459.60681316149726</v>
      </c>
      <c r="AN72" s="21" t="s">
        <v>270</v>
      </c>
      <c r="AO72" s="767" t="e">
        <f t="shared" ref="AO72:BK72" si="8">+AO70-AO71</f>
        <v>#REF!</v>
      </c>
      <c r="AP72" s="767" t="e">
        <f t="shared" si="8"/>
        <v>#REF!</v>
      </c>
      <c r="AQ72" s="767" t="e">
        <f t="shared" si="8"/>
        <v>#REF!</v>
      </c>
      <c r="AR72" s="767" t="e">
        <f t="shared" si="8"/>
        <v>#REF!</v>
      </c>
      <c r="AS72" s="767" t="e">
        <f t="shared" si="8"/>
        <v>#REF!</v>
      </c>
      <c r="AT72" s="767" t="e">
        <f t="shared" si="8"/>
        <v>#REF!</v>
      </c>
      <c r="AU72" s="767" t="e">
        <f t="shared" si="8"/>
        <v>#REF!</v>
      </c>
      <c r="AV72" s="767" t="e">
        <f t="shared" si="8"/>
        <v>#REF!</v>
      </c>
      <c r="AW72" s="767" t="e">
        <f t="shared" si="8"/>
        <v>#REF!</v>
      </c>
      <c r="AX72" s="767" t="e">
        <f t="shared" si="8"/>
        <v>#REF!</v>
      </c>
      <c r="AY72" s="767" t="e">
        <f t="shared" si="8"/>
        <v>#REF!</v>
      </c>
      <c r="AZ72" s="767" t="e">
        <f t="shared" si="8"/>
        <v>#REF!</v>
      </c>
      <c r="BA72" s="767" t="e">
        <f t="shared" si="8"/>
        <v>#REF!</v>
      </c>
      <c r="BB72" s="767" t="e">
        <f t="shared" si="8"/>
        <v>#REF!</v>
      </c>
      <c r="BC72" s="767" t="e">
        <f t="shared" si="8"/>
        <v>#REF!</v>
      </c>
      <c r="BD72" s="767" t="e">
        <f t="shared" si="8"/>
        <v>#REF!</v>
      </c>
      <c r="BE72" s="767" t="e">
        <f t="shared" si="8"/>
        <v>#REF!</v>
      </c>
      <c r="BF72" s="767" t="e">
        <f t="shared" si="8"/>
        <v>#REF!</v>
      </c>
      <c r="BG72" s="767" t="e">
        <f t="shared" si="8"/>
        <v>#REF!</v>
      </c>
      <c r="BH72" s="767" t="e">
        <f t="shared" si="8"/>
        <v>#REF!</v>
      </c>
      <c r="BI72" s="767" t="e">
        <f t="shared" si="8"/>
        <v>#REF!</v>
      </c>
      <c r="BJ72" s="767" t="e">
        <f t="shared" si="8"/>
        <v>#REF!</v>
      </c>
      <c r="BK72" s="767" t="e">
        <f t="shared" si="8"/>
        <v>#REF!</v>
      </c>
      <c r="BL72" s="21"/>
      <c r="BM72" s="21"/>
      <c r="BN72" s="137"/>
      <c r="BO72" s="137"/>
      <c r="BP72" s="137"/>
      <c r="BQ72" s="137"/>
      <c r="BR72" s="137"/>
      <c r="BS72" s="137"/>
      <c r="BT72" s="137"/>
      <c r="BU72" s="137"/>
      <c r="BV72" s="137"/>
      <c r="BW72" s="137"/>
      <c r="BX72" s="137"/>
      <c r="BY72" s="137"/>
    </row>
    <row r="73" spans="1:77" s="19" customFormat="1" ht="28.5" customHeight="1">
      <c r="A73" s="137"/>
      <c r="B73" s="768" t="s">
        <v>72</v>
      </c>
      <c r="C73" s="769" t="e">
        <f t="shared" ref="C73:I73" si="9">SUM(C68:C72)</f>
        <v>#REF!</v>
      </c>
      <c r="D73" s="769">
        <f t="shared" si="9"/>
        <v>0</v>
      </c>
      <c r="E73" s="769" t="e">
        <f t="shared" si="9"/>
        <v>#REF!</v>
      </c>
      <c r="F73" s="769" t="e">
        <f t="shared" si="9"/>
        <v>#REF!</v>
      </c>
      <c r="G73" s="769" t="e">
        <f t="shared" si="9"/>
        <v>#REF!</v>
      </c>
      <c r="H73" s="769">
        <f t="shared" si="9"/>
        <v>0</v>
      </c>
      <c r="I73" s="769" t="e">
        <f t="shared" si="9"/>
        <v>#REF!</v>
      </c>
      <c r="J73" s="769" t="e">
        <f>#REF!</f>
        <v>#REF!</v>
      </c>
      <c r="K73" s="769" t="e">
        <f>+G73-J73</f>
        <v>#REF!</v>
      </c>
      <c r="L73" s="137"/>
      <c r="M73" s="770">
        <f>0.3*1.12*1.04</f>
        <v>0.34944000000000003</v>
      </c>
      <c r="N73" s="1213" t="s">
        <v>271</v>
      </c>
      <c r="O73" s="766">
        <f>IF(+O72*$M$73*$M$74&gt;0,O72*$M$73*$M$74,0)</f>
        <v>0</v>
      </c>
      <c r="P73" s="766">
        <f t="shared" ref="P73:AD73" si="10">IF(+P72*$M$73*$M$74&gt;0,P72*$M$73*$M$74,0)</f>
        <v>0</v>
      </c>
      <c r="Q73" s="766" t="e">
        <f t="shared" si="10"/>
        <v>#REF!</v>
      </c>
      <c r="R73" s="766" t="e">
        <f t="shared" si="10"/>
        <v>#REF!</v>
      </c>
      <c r="S73" s="766" t="e">
        <f t="shared" si="10"/>
        <v>#REF!</v>
      </c>
      <c r="T73" s="766" t="e">
        <f t="shared" si="10"/>
        <v>#REF!</v>
      </c>
      <c r="U73" s="766" t="e">
        <f t="shared" si="10"/>
        <v>#REF!</v>
      </c>
      <c r="V73" s="766" t="e">
        <f t="shared" si="10"/>
        <v>#REF!</v>
      </c>
      <c r="W73" s="766" t="e">
        <f t="shared" si="10"/>
        <v>#REF!</v>
      </c>
      <c r="X73" s="766" t="e">
        <f t="shared" si="10"/>
        <v>#REF!</v>
      </c>
      <c r="Y73" s="766" t="e">
        <f t="shared" si="10"/>
        <v>#REF!</v>
      </c>
      <c r="Z73" s="766" t="e">
        <f t="shared" si="10"/>
        <v>#REF!</v>
      </c>
      <c r="AA73" s="766" t="e">
        <f t="shared" si="10"/>
        <v>#REF!</v>
      </c>
      <c r="AB73" s="766" t="e">
        <f t="shared" si="10"/>
        <v>#REF!</v>
      </c>
      <c r="AC73" s="766" t="e">
        <f t="shared" si="10"/>
        <v>#REF!</v>
      </c>
      <c r="AD73" s="766" t="e">
        <f t="shared" si="10"/>
        <v>#REF!</v>
      </c>
      <c r="AE73" s="766" t="e">
        <f>IF(+AE72*$M$73*$M$74&gt;0,AE72*$M$73*$M$74,0)</f>
        <v>#REF!</v>
      </c>
      <c r="AF73" s="766" t="e">
        <f t="shared" ref="AF73:AL73" si="11">IF(+AF72*$M$73*$M$74&gt;0,AF72*$M$73*$M$74,0)</f>
        <v>#REF!</v>
      </c>
      <c r="AG73" s="766" t="e">
        <f t="shared" si="11"/>
        <v>#REF!</v>
      </c>
      <c r="AH73" s="766" t="e">
        <f t="shared" si="11"/>
        <v>#REF!</v>
      </c>
      <c r="AI73" s="766" t="e">
        <f t="shared" si="11"/>
        <v>#REF!</v>
      </c>
      <c r="AJ73" s="766" t="e">
        <f t="shared" si="11"/>
        <v>#REF!</v>
      </c>
      <c r="AK73" s="766" t="e">
        <f t="shared" si="11"/>
        <v>#REF!</v>
      </c>
      <c r="AL73" s="766">
        <f t="shared" si="11"/>
        <v>160.60500479115362</v>
      </c>
      <c r="AO73" s="137"/>
      <c r="AP73" s="624"/>
      <c r="AQ73" s="624"/>
      <c r="AR73" s="624"/>
      <c r="AS73" s="624"/>
      <c r="AT73" s="624"/>
      <c r="AU73" s="624"/>
      <c r="AV73" s="624"/>
      <c r="AW73" s="624"/>
      <c r="AX73" s="624"/>
      <c r="AY73" s="137"/>
      <c r="AZ73" s="137"/>
      <c r="BA73" s="137"/>
      <c r="BB73" s="137"/>
      <c r="BC73" s="137"/>
      <c r="BD73" s="137"/>
      <c r="BE73" s="137"/>
      <c r="BF73" s="137"/>
      <c r="BG73" s="137"/>
      <c r="BH73" s="137"/>
      <c r="BI73" s="137"/>
      <c r="BJ73" s="137"/>
      <c r="BK73" s="137"/>
      <c r="BL73" s="137"/>
      <c r="BM73" s="137"/>
      <c r="BN73" s="137"/>
      <c r="BO73" s="137"/>
      <c r="BP73" s="137"/>
      <c r="BQ73" s="137"/>
      <c r="BR73" s="137"/>
      <c r="BS73" s="137"/>
      <c r="BT73" s="137"/>
      <c r="BU73" s="137"/>
      <c r="BV73" s="137"/>
      <c r="BW73" s="137"/>
      <c r="BX73" s="137"/>
      <c r="BY73" s="137"/>
    </row>
    <row r="74" spans="1:77" s="17" customFormat="1" ht="20.100000000000001" customHeight="1">
      <c r="A74" s="41"/>
      <c r="B74" s="38"/>
      <c r="C74" s="38"/>
      <c r="D74" s="38"/>
      <c r="E74" s="38"/>
      <c r="F74" s="38"/>
      <c r="G74" s="38"/>
      <c r="H74" s="59"/>
      <c r="I74" s="59"/>
      <c r="J74" s="58"/>
      <c r="K74" s="58"/>
      <c r="L74" s="38"/>
      <c r="M74" s="17">
        <v>1</v>
      </c>
      <c r="O74" s="186"/>
      <c r="P74" s="189"/>
      <c r="Q74" s="189"/>
      <c r="R74" s="69"/>
      <c r="S74" s="69"/>
      <c r="T74" s="69"/>
      <c r="U74" s="69"/>
      <c r="V74" s="69"/>
      <c r="W74" s="69"/>
      <c r="X74" s="69"/>
      <c r="Y74" s="69"/>
      <c r="Z74" s="69"/>
      <c r="AA74" s="69"/>
      <c r="AB74" s="69"/>
      <c r="AC74" s="69"/>
      <c r="AD74" s="69"/>
      <c r="AE74" s="69"/>
      <c r="AF74" s="69"/>
      <c r="AG74" s="69"/>
      <c r="AH74" s="69"/>
      <c r="AI74" s="69"/>
      <c r="AJ74" s="69"/>
      <c r="AK74" s="69"/>
      <c r="AL74" s="69"/>
      <c r="AN74" s="17" t="e">
        <f>AO70*0.95</f>
        <v>#REF!</v>
      </c>
      <c r="AO74" s="38"/>
      <c r="AP74" s="62"/>
      <c r="AQ74" s="62"/>
      <c r="AR74" s="62"/>
      <c r="AS74" s="62"/>
      <c r="AT74" s="62"/>
      <c r="AU74" s="62"/>
      <c r="AV74" s="62"/>
      <c r="AW74" s="62"/>
      <c r="AX74" s="62"/>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row>
    <row r="75" spans="1:77" s="17" customFormat="1" ht="20.100000000000001" customHeight="1">
      <c r="A75" s="41"/>
      <c r="B75" s="78" t="s">
        <v>225</v>
      </c>
      <c r="C75" s="79" t="s">
        <v>272</v>
      </c>
      <c r="D75" s="421">
        <f>G46</f>
        <v>919.21362632299451</v>
      </c>
      <c r="E75" s="38"/>
      <c r="F75" s="38"/>
      <c r="G75" s="38"/>
      <c r="H75" s="38"/>
      <c r="I75" s="38"/>
      <c r="N75" s="56" t="s">
        <v>273</v>
      </c>
      <c r="O75" s="186">
        <v>0</v>
      </c>
      <c r="P75" s="189">
        <f t="shared" ref="P75:AL75" si="12">+P72-P73</f>
        <v>0</v>
      </c>
      <c r="Q75" s="189" t="e">
        <f t="shared" si="12"/>
        <v>#REF!</v>
      </c>
      <c r="R75" s="69" t="e">
        <f t="shared" si="12"/>
        <v>#REF!</v>
      </c>
      <c r="S75" s="69" t="e">
        <f t="shared" si="12"/>
        <v>#REF!</v>
      </c>
      <c r="T75" s="69" t="e">
        <f t="shared" si="12"/>
        <v>#REF!</v>
      </c>
      <c r="U75" s="69" t="e">
        <f t="shared" si="12"/>
        <v>#REF!</v>
      </c>
      <c r="V75" s="69" t="e">
        <f t="shared" si="12"/>
        <v>#REF!</v>
      </c>
      <c r="W75" s="69" t="e">
        <f t="shared" si="12"/>
        <v>#REF!</v>
      </c>
      <c r="X75" s="69" t="e">
        <f t="shared" si="12"/>
        <v>#REF!</v>
      </c>
      <c r="Y75" s="69" t="e">
        <f t="shared" si="12"/>
        <v>#REF!</v>
      </c>
      <c r="Z75" s="69" t="e">
        <f t="shared" si="12"/>
        <v>#REF!</v>
      </c>
      <c r="AA75" s="69" t="e">
        <f t="shared" si="12"/>
        <v>#REF!</v>
      </c>
      <c r="AB75" s="69" t="e">
        <f t="shared" si="12"/>
        <v>#REF!</v>
      </c>
      <c r="AC75" s="69" t="e">
        <f t="shared" si="12"/>
        <v>#REF!</v>
      </c>
      <c r="AD75" s="69" t="e">
        <f t="shared" si="12"/>
        <v>#REF!</v>
      </c>
      <c r="AE75" s="69" t="e">
        <f t="shared" si="12"/>
        <v>#REF!</v>
      </c>
      <c r="AF75" s="69" t="e">
        <f t="shared" si="12"/>
        <v>#REF!</v>
      </c>
      <c r="AG75" s="69" t="e">
        <f t="shared" si="12"/>
        <v>#REF!</v>
      </c>
      <c r="AH75" s="69" t="e">
        <f t="shared" si="12"/>
        <v>#REF!</v>
      </c>
      <c r="AI75" s="69" t="e">
        <f t="shared" si="12"/>
        <v>#REF!</v>
      </c>
      <c r="AJ75" s="69" t="e">
        <f t="shared" si="12"/>
        <v>#REF!</v>
      </c>
      <c r="AK75" s="69" t="e">
        <f t="shared" si="12"/>
        <v>#REF!</v>
      </c>
      <c r="AL75" s="69">
        <f t="shared" si="12"/>
        <v>299.00180837034361</v>
      </c>
      <c r="AO75" s="38"/>
      <c r="AP75" s="62"/>
      <c r="AQ75" s="62"/>
      <c r="AR75" s="62"/>
      <c r="AS75" s="62"/>
      <c r="AT75" s="62"/>
      <c r="AU75" s="62"/>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row>
    <row r="76" spans="1:77" s="17" customFormat="1" ht="20.100000000000001" customHeight="1">
      <c r="A76" s="41"/>
      <c r="B76" s="80"/>
      <c r="C76" s="35"/>
      <c r="D76" s="38"/>
      <c r="E76" s="40"/>
      <c r="F76" s="35"/>
      <c r="G76" s="40"/>
      <c r="H76" s="38"/>
      <c r="I76" s="38"/>
      <c r="N76" s="81" t="s">
        <v>274</v>
      </c>
      <c r="O76" s="190">
        <v>0</v>
      </c>
      <c r="P76" s="191">
        <f>+P75</f>
        <v>0</v>
      </c>
      <c r="Q76" s="191" t="e">
        <f>+Q75</f>
        <v>#REF!</v>
      </c>
      <c r="R76" s="82" t="e">
        <f t="shared" ref="R76:AG76" si="13">+R75+Q76</f>
        <v>#REF!</v>
      </c>
      <c r="S76" s="82" t="e">
        <f t="shared" si="13"/>
        <v>#REF!</v>
      </c>
      <c r="T76" s="82" t="e">
        <f t="shared" si="13"/>
        <v>#REF!</v>
      </c>
      <c r="U76" s="82" t="e">
        <f t="shared" si="13"/>
        <v>#REF!</v>
      </c>
      <c r="V76" s="82" t="e">
        <f t="shared" si="13"/>
        <v>#REF!</v>
      </c>
      <c r="W76" s="82" t="e">
        <f t="shared" si="13"/>
        <v>#REF!</v>
      </c>
      <c r="X76" s="82" t="e">
        <f t="shared" si="13"/>
        <v>#REF!</v>
      </c>
      <c r="Y76" s="82" t="e">
        <f t="shared" si="13"/>
        <v>#REF!</v>
      </c>
      <c r="Z76" s="82" t="e">
        <f t="shared" si="13"/>
        <v>#REF!</v>
      </c>
      <c r="AA76" s="82" t="e">
        <f t="shared" si="13"/>
        <v>#REF!</v>
      </c>
      <c r="AB76" s="82" t="e">
        <f t="shared" si="13"/>
        <v>#REF!</v>
      </c>
      <c r="AC76" s="82" t="e">
        <f t="shared" si="13"/>
        <v>#REF!</v>
      </c>
      <c r="AD76" s="82" t="e">
        <f t="shared" si="13"/>
        <v>#REF!</v>
      </c>
      <c r="AE76" s="82" t="e">
        <f t="shared" si="13"/>
        <v>#REF!</v>
      </c>
      <c r="AF76" s="82" t="e">
        <f t="shared" si="13"/>
        <v>#REF!</v>
      </c>
      <c r="AG76" s="82" t="e">
        <f t="shared" si="13"/>
        <v>#REF!</v>
      </c>
      <c r="AH76" s="82" t="e">
        <f>+AH75+AF76</f>
        <v>#REF!</v>
      </c>
      <c r="AI76" s="82" t="e">
        <f>+AI75+AH76</f>
        <v>#REF!</v>
      </c>
      <c r="AJ76" s="82" t="e">
        <f>+AJ75+AI76</f>
        <v>#REF!</v>
      </c>
      <c r="AK76" s="82" t="e">
        <f>+AK75+AJ76</f>
        <v>#REF!</v>
      </c>
      <c r="AL76" s="82" t="e">
        <f>+AL75+AK76</f>
        <v>#REF!</v>
      </c>
      <c r="AO76" s="38"/>
      <c r="AP76" s="62"/>
      <c r="AQ76" s="62"/>
      <c r="AR76" s="62"/>
      <c r="AS76" s="62"/>
      <c r="AT76" s="62"/>
      <c r="AU76" s="62"/>
      <c r="AV76" s="62"/>
      <c r="AW76" s="62"/>
      <c r="AX76" s="62"/>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row>
    <row r="77" spans="1:77" s="17" customFormat="1" ht="20.100000000000001" customHeight="1">
      <c r="A77" s="38"/>
      <c r="B77" s="20"/>
      <c r="C77" s="38"/>
      <c r="D77" s="38"/>
      <c r="E77" s="38"/>
      <c r="F77" s="38"/>
      <c r="G77" s="38"/>
      <c r="H77" s="38"/>
      <c r="I77" s="38"/>
      <c r="J77" s="38"/>
      <c r="K77" s="38"/>
      <c r="O77" s="114"/>
      <c r="P77" s="114"/>
      <c r="AJ77" s="69"/>
      <c r="AK77" s="69"/>
      <c r="AL77" s="69"/>
      <c r="AO77" s="38"/>
      <c r="AP77" s="62"/>
      <c r="AQ77" s="62"/>
      <c r="AR77" s="62"/>
      <c r="AS77" s="62"/>
      <c r="AT77" s="62"/>
      <c r="AU77" s="62"/>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row>
    <row r="78" spans="1:77" s="17" customFormat="1" ht="20.100000000000001" customHeight="1">
      <c r="A78" s="38"/>
      <c r="B78" s="20"/>
      <c r="C78" s="38"/>
      <c r="D78" s="38"/>
      <c r="E78" s="38"/>
      <c r="F78" s="38"/>
      <c r="G78" s="38"/>
      <c r="H78" s="1666"/>
      <c r="I78" s="1666"/>
      <c r="J78" s="35"/>
      <c r="K78" s="35"/>
      <c r="N78" s="83" t="s">
        <v>275</v>
      </c>
      <c r="O78" s="186"/>
      <c r="P78" s="186"/>
      <c r="Q78" s="56"/>
      <c r="R78" s="69"/>
      <c r="S78" s="69"/>
      <c r="T78" s="69"/>
      <c r="U78" s="69"/>
      <c r="V78" s="69"/>
      <c r="W78" s="69"/>
      <c r="X78" s="69"/>
      <c r="Y78" s="69"/>
      <c r="Z78" s="69"/>
      <c r="AA78" s="69"/>
      <c r="AB78" s="69"/>
      <c r="AC78" s="39"/>
      <c r="AD78" s="39"/>
      <c r="AE78" s="39"/>
      <c r="AF78" s="39"/>
      <c r="AG78" s="39"/>
      <c r="AH78" s="39"/>
      <c r="AJ78" s="69"/>
      <c r="AK78" s="69"/>
      <c r="AL78" s="69"/>
      <c r="AO78" s="38"/>
      <c r="AP78" s="62"/>
      <c r="AQ78" s="62"/>
      <c r="AR78" s="62"/>
      <c r="AS78" s="62"/>
      <c r="AT78" s="62"/>
      <c r="AU78" s="62"/>
      <c r="AV78" s="62"/>
      <c r="AW78" s="62"/>
      <c r="AX78" s="62"/>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row>
    <row r="79" spans="1:77" s="17" customFormat="1" ht="20.100000000000001" customHeight="1">
      <c r="A79" s="38"/>
      <c r="B79" s="38"/>
      <c r="C79" s="38"/>
      <c r="D79" s="38"/>
      <c r="E79" s="38"/>
      <c r="F79" s="38"/>
      <c r="G79" s="38"/>
      <c r="H79" s="35"/>
      <c r="I79" s="35"/>
      <c r="J79" s="35"/>
      <c r="K79" s="35"/>
      <c r="N79" s="83"/>
      <c r="O79" s="186"/>
      <c r="P79" s="186"/>
      <c r="Q79" s="56"/>
      <c r="R79" s="69"/>
      <c r="S79" s="69"/>
      <c r="T79" s="69"/>
      <c r="U79" s="69">
        <f>+U66</f>
        <v>0</v>
      </c>
      <c r="W79" s="69"/>
      <c r="X79" s="69"/>
      <c r="Y79" s="69"/>
      <c r="Z79" s="69"/>
      <c r="AA79" s="69"/>
      <c r="AB79" s="69"/>
      <c r="AC79" s="39"/>
      <c r="AD79" s="39"/>
      <c r="AE79" s="39"/>
      <c r="AF79" s="39"/>
      <c r="AG79" s="39"/>
      <c r="AH79" s="39">
        <f>+U79</f>
        <v>0</v>
      </c>
      <c r="AJ79" s="69"/>
      <c r="AK79" s="69"/>
      <c r="AL79" s="69"/>
      <c r="AO79" s="38"/>
      <c r="AP79" s="62"/>
      <c r="AQ79" s="62"/>
      <c r="AR79" s="62"/>
      <c r="AS79" s="62"/>
      <c r="AT79" s="62"/>
      <c r="AU79" s="62"/>
      <c r="AV79" s="62"/>
      <c r="AW79" s="62"/>
      <c r="AX79" s="62"/>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row>
    <row r="80" spans="1:77" s="17" customFormat="1" ht="20.100000000000001" customHeight="1">
      <c r="H80" s="35"/>
      <c r="I80" s="35"/>
      <c r="J80" s="35"/>
      <c r="K80" s="35"/>
      <c r="N80" s="84" t="s">
        <v>276</v>
      </c>
      <c r="O80" s="192" t="str">
        <f t="shared" ref="O80:T80" si="14">+O67</f>
        <v>Yr 1</v>
      </c>
      <c r="P80" s="192" t="str">
        <f t="shared" si="14"/>
        <v>Yr 2</v>
      </c>
      <c r="Q80" s="85" t="str">
        <f t="shared" si="14"/>
        <v>Yr 3</v>
      </c>
      <c r="R80" s="85" t="str">
        <f t="shared" si="14"/>
        <v>Yr 4</v>
      </c>
      <c r="S80" s="85" t="str">
        <f t="shared" si="14"/>
        <v>Yr 5</v>
      </c>
      <c r="T80" s="85" t="str">
        <f t="shared" si="14"/>
        <v>Yr 6</v>
      </c>
      <c r="U80" s="85" t="str">
        <f>+U67</f>
        <v>Yr 7</v>
      </c>
      <c r="V80" s="85" t="str">
        <f t="shared" ref="V80:AI80" si="15">+V67</f>
        <v>Yr 8</v>
      </c>
      <c r="W80" s="85" t="str">
        <f t="shared" si="15"/>
        <v>Yr 9</v>
      </c>
      <c r="X80" s="85" t="str">
        <f t="shared" si="15"/>
        <v>Yr 10</v>
      </c>
      <c r="Y80" s="85" t="str">
        <f t="shared" si="15"/>
        <v>Yr 11</v>
      </c>
      <c r="Z80" s="85" t="str">
        <f t="shared" si="15"/>
        <v>Yr 12</v>
      </c>
      <c r="AA80" s="85" t="str">
        <f t="shared" si="15"/>
        <v>Yr 13</v>
      </c>
      <c r="AB80" s="85" t="str">
        <f t="shared" si="15"/>
        <v>Yr 14</v>
      </c>
      <c r="AC80" s="85" t="str">
        <f t="shared" si="15"/>
        <v>Yr 15</v>
      </c>
      <c r="AD80" s="85" t="str">
        <f t="shared" si="15"/>
        <v>Yr 16</v>
      </c>
      <c r="AE80" s="85" t="str">
        <f t="shared" si="15"/>
        <v>Yr 17</v>
      </c>
      <c r="AF80" s="85" t="str">
        <f t="shared" si="15"/>
        <v>Yr 18</v>
      </c>
      <c r="AG80" s="85" t="str">
        <f t="shared" si="15"/>
        <v>Yr 19</v>
      </c>
      <c r="AH80" s="85" t="str">
        <f t="shared" si="15"/>
        <v>Yr 20</v>
      </c>
      <c r="AI80" s="86" t="str">
        <f t="shared" si="15"/>
        <v>Yr 21</v>
      </c>
      <c r="AJ80" s="65" t="s">
        <v>305</v>
      </c>
      <c r="AK80" s="65" t="str">
        <f>AK67</f>
        <v>Yr 23</v>
      </c>
      <c r="AL80" s="65" t="str">
        <f>AL67</f>
        <v>Yr 24</v>
      </c>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row>
    <row r="81" spans="1:39" s="17" customFormat="1" ht="20.100000000000001" customHeight="1">
      <c r="H81" s="59"/>
      <c r="I81" s="59"/>
      <c r="J81" s="59"/>
      <c r="K81" s="59"/>
      <c r="N81" s="56" t="s">
        <v>277</v>
      </c>
      <c r="O81" s="186">
        <v>0</v>
      </c>
      <c r="P81" s="186">
        <f t="shared" ref="P81:AL81" si="16">+P69</f>
        <v>0</v>
      </c>
      <c r="Q81" s="56">
        <f t="shared" si="16"/>
        <v>0</v>
      </c>
      <c r="R81" s="56">
        <f t="shared" si="16"/>
        <v>367.68545052919785</v>
      </c>
      <c r="S81" s="56">
        <f t="shared" si="16"/>
        <v>827.29226369069511</v>
      </c>
      <c r="T81" s="56">
        <f t="shared" si="16"/>
        <v>919.21362632299451</v>
      </c>
      <c r="U81" s="56">
        <f t="shared" si="16"/>
        <v>919.21362632299451</v>
      </c>
      <c r="V81" s="56">
        <f t="shared" si="16"/>
        <v>919.21362632299451</v>
      </c>
      <c r="W81" s="56">
        <f t="shared" si="16"/>
        <v>919.21362632299451</v>
      </c>
      <c r="X81" s="56">
        <f t="shared" si="16"/>
        <v>919.21362632299451</v>
      </c>
      <c r="Y81" s="56">
        <f t="shared" si="16"/>
        <v>919.21362632299451</v>
      </c>
      <c r="Z81" s="56">
        <f t="shared" si="16"/>
        <v>919.21362632299451</v>
      </c>
      <c r="AA81" s="56">
        <f t="shared" si="16"/>
        <v>919.21362632299451</v>
      </c>
      <c r="AB81" s="56">
        <f t="shared" si="16"/>
        <v>919.21362632299451</v>
      </c>
      <c r="AC81" s="56">
        <f t="shared" si="16"/>
        <v>919.21362632299451</v>
      </c>
      <c r="AD81" s="56">
        <f t="shared" si="16"/>
        <v>919.21362632299451</v>
      </c>
      <c r="AE81" s="56">
        <f t="shared" si="16"/>
        <v>919.21362632299451</v>
      </c>
      <c r="AF81" s="56">
        <f t="shared" si="16"/>
        <v>919.21362632299451</v>
      </c>
      <c r="AG81" s="56">
        <f t="shared" si="16"/>
        <v>919.21362632299451</v>
      </c>
      <c r="AH81" s="56">
        <f t="shared" si="16"/>
        <v>919.21362632299451</v>
      </c>
      <c r="AI81" s="56">
        <f t="shared" si="16"/>
        <v>919.21362632299451</v>
      </c>
      <c r="AJ81" s="56">
        <f t="shared" si="16"/>
        <v>919.21362632299451</v>
      </c>
      <c r="AK81" s="56">
        <f t="shared" si="16"/>
        <v>919.21362632299451</v>
      </c>
      <c r="AL81" s="56">
        <f t="shared" si="16"/>
        <v>459.60681316149726</v>
      </c>
      <c r="AM81" s="69">
        <f>SUM(O81:AI81)</f>
        <v>15902.39573538781</v>
      </c>
    </row>
    <row r="82" spans="1:39" s="17" customFormat="1" ht="20.100000000000001" customHeight="1">
      <c r="H82" s="40"/>
      <c r="I82" s="40"/>
      <c r="J82" s="40"/>
      <c r="K82" s="40"/>
      <c r="M82" s="17">
        <f>SUM(O82:R82)</f>
        <v>0</v>
      </c>
      <c r="N82" s="56" t="s">
        <v>278</v>
      </c>
      <c r="O82" s="189">
        <f>+H68</f>
        <v>0</v>
      </c>
      <c r="P82" s="189">
        <f>+H69</f>
        <v>0</v>
      </c>
      <c r="Q82" s="69">
        <f>H70</f>
        <v>0</v>
      </c>
      <c r="R82" s="69">
        <f>H71+H72</f>
        <v>0</v>
      </c>
      <c r="S82" s="69">
        <v>0</v>
      </c>
      <c r="T82" s="69">
        <v>0</v>
      </c>
      <c r="U82" s="69">
        <v>0</v>
      </c>
      <c r="V82" s="69">
        <v>0</v>
      </c>
      <c r="W82" s="69">
        <v>0</v>
      </c>
      <c r="X82" s="69">
        <v>0</v>
      </c>
      <c r="Y82" s="69">
        <v>0</v>
      </c>
      <c r="Z82" s="69">
        <v>0</v>
      </c>
      <c r="AA82" s="69">
        <v>0</v>
      </c>
      <c r="AB82" s="69">
        <v>0</v>
      </c>
      <c r="AC82" s="69">
        <v>0</v>
      </c>
      <c r="AD82" s="69">
        <v>0</v>
      </c>
      <c r="AE82" s="69">
        <v>0</v>
      </c>
      <c r="AF82" s="69">
        <v>0</v>
      </c>
      <c r="AG82" s="69">
        <v>0</v>
      </c>
      <c r="AH82" s="69">
        <v>0</v>
      </c>
      <c r="AI82" s="69">
        <v>0</v>
      </c>
      <c r="AM82" s="69">
        <f>SUM(O82:AI82)</f>
        <v>0</v>
      </c>
    </row>
    <row r="83" spans="1:39" s="17" customFormat="1" ht="20.100000000000001" customHeight="1">
      <c r="A83" s="41"/>
      <c r="B83" s="40"/>
      <c r="C83" s="35"/>
      <c r="D83" s="38"/>
      <c r="E83" s="40"/>
      <c r="F83" s="87"/>
      <c r="G83" s="40"/>
      <c r="H83" s="40"/>
      <c r="I83" s="40"/>
      <c r="J83" s="40"/>
      <c r="K83" s="40"/>
      <c r="M83" s="17" t="e">
        <f>SUM(O83:R83)</f>
        <v>#REF!</v>
      </c>
      <c r="N83" s="56" t="s">
        <v>279</v>
      </c>
      <c r="O83" s="189" t="e">
        <f>+I68</f>
        <v>#REF!</v>
      </c>
      <c r="P83" s="189" t="e">
        <f>+I69</f>
        <v>#REF!</v>
      </c>
      <c r="Q83" s="69" t="e">
        <f>I70</f>
        <v>#REF!</v>
      </c>
      <c r="R83" s="69" t="e">
        <f>I71+I72</f>
        <v>#REF!</v>
      </c>
      <c r="S83" s="69">
        <v>0</v>
      </c>
      <c r="T83" s="69">
        <v>0</v>
      </c>
      <c r="U83" s="69">
        <v>0</v>
      </c>
      <c r="V83" s="69">
        <v>0</v>
      </c>
      <c r="W83" s="69">
        <v>0</v>
      </c>
      <c r="X83" s="69">
        <v>0</v>
      </c>
      <c r="Y83" s="69">
        <v>0</v>
      </c>
      <c r="Z83" s="69">
        <v>0</v>
      </c>
      <c r="AA83" s="69">
        <v>0</v>
      </c>
      <c r="AB83" s="69">
        <v>0</v>
      </c>
      <c r="AC83" s="69">
        <v>0</v>
      </c>
      <c r="AD83" s="69">
        <v>0</v>
      </c>
      <c r="AE83" s="69">
        <v>0</v>
      </c>
      <c r="AF83" s="69">
        <v>0</v>
      </c>
      <c r="AG83" s="69">
        <v>0</v>
      </c>
      <c r="AH83" s="69">
        <v>0</v>
      </c>
      <c r="AI83" s="69">
        <v>0</v>
      </c>
      <c r="AM83" s="69" t="e">
        <f>SUM(O83:AI83)</f>
        <v>#REF!</v>
      </c>
    </row>
    <row r="84" spans="1:39" s="17" customFormat="1" ht="20.100000000000001" customHeight="1">
      <c r="A84" s="41"/>
      <c r="E84" s="38"/>
      <c r="F84" s="38"/>
      <c r="G84" s="59"/>
      <c r="H84" s="40"/>
      <c r="I84" s="40"/>
      <c r="J84" s="40"/>
      <c r="K84" s="40"/>
      <c r="M84" s="88" t="e">
        <f>+M83+M82</f>
        <v>#REF!</v>
      </c>
      <c r="N84" s="67" t="s">
        <v>72</v>
      </c>
      <c r="O84" s="193" t="e">
        <f t="shared" ref="O84:AL84" si="17">SUM(O81:O83)</f>
        <v>#REF!</v>
      </c>
      <c r="P84" s="193" t="e">
        <f t="shared" si="17"/>
        <v>#REF!</v>
      </c>
      <c r="Q84" s="89" t="e">
        <f t="shared" si="17"/>
        <v>#REF!</v>
      </c>
      <c r="R84" s="89" t="e">
        <f t="shared" si="17"/>
        <v>#REF!</v>
      </c>
      <c r="S84" s="89">
        <f t="shared" si="17"/>
        <v>827.29226369069511</v>
      </c>
      <c r="T84" s="89">
        <f t="shared" si="17"/>
        <v>919.21362632299451</v>
      </c>
      <c r="U84" s="89">
        <f t="shared" si="17"/>
        <v>919.21362632299451</v>
      </c>
      <c r="V84" s="89">
        <f t="shared" si="17"/>
        <v>919.21362632299451</v>
      </c>
      <c r="W84" s="89">
        <f t="shared" si="17"/>
        <v>919.21362632299451</v>
      </c>
      <c r="X84" s="89">
        <f t="shared" si="17"/>
        <v>919.21362632299451</v>
      </c>
      <c r="Y84" s="89">
        <f t="shared" si="17"/>
        <v>919.21362632299451</v>
      </c>
      <c r="Z84" s="89">
        <f t="shared" si="17"/>
        <v>919.21362632299451</v>
      </c>
      <c r="AA84" s="89">
        <f t="shared" si="17"/>
        <v>919.21362632299451</v>
      </c>
      <c r="AB84" s="89">
        <f t="shared" si="17"/>
        <v>919.21362632299451</v>
      </c>
      <c r="AC84" s="89">
        <f t="shared" si="17"/>
        <v>919.21362632299451</v>
      </c>
      <c r="AD84" s="89">
        <f t="shared" si="17"/>
        <v>919.21362632299451</v>
      </c>
      <c r="AE84" s="89">
        <f t="shared" si="17"/>
        <v>919.21362632299451</v>
      </c>
      <c r="AF84" s="89">
        <f t="shared" si="17"/>
        <v>919.21362632299451</v>
      </c>
      <c r="AG84" s="89">
        <f t="shared" si="17"/>
        <v>919.21362632299451</v>
      </c>
      <c r="AH84" s="89">
        <f t="shared" si="17"/>
        <v>919.21362632299451</v>
      </c>
      <c r="AI84" s="89">
        <f t="shared" si="17"/>
        <v>919.21362632299451</v>
      </c>
      <c r="AJ84" s="89">
        <f t="shared" si="17"/>
        <v>919.21362632299451</v>
      </c>
      <c r="AK84" s="89">
        <f t="shared" si="17"/>
        <v>919.21362632299451</v>
      </c>
      <c r="AL84" s="89">
        <f t="shared" si="17"/>
        <v>459.60681316149726</v>
      </c>
      <c r="AM84" s="69" t="e">
        <f>SUM(O84:AI84)</f>
        <v>#REF!</v>
      </c>
    </row>
    <row r="85" spans="1:39" s="17" customFormat="1" ht="20.100000000000001" customHeight="1">
      <c r="A85" s="41"/>
      <c r="B85" s="59"/>
      <c r="C85" s="35"/>
      <c r="D85" s="35"/>
      <c r="E85" s="35"/>
      <c r="F85" s="35"/>
      <c r="G85" s="40"/>
      <c r="H85" s="40"/>
      <c r="I85" s="40"/>
      <c r="J85" s="40"/>
      <c r="K85" s="40"/>
      <c r="O85" s="114"/>
      <c r="P85" s="114"/>
      <c r="AM85" s="69"/>
    </row>
    <row r="86" spans="1:39" s="17" customFormat="1" ht="20.100000000000001" customHeight="1">
      <c r="A86" s="41"/>
      <c r="B86" s="40"/>
      <c r="C86" s="90"/>
      <c r="D86" s="38"/>
      <c r="E86" s="40"/>
      <c r="F86" s="40"/>
      <c r="G86" s="40"/>
      <c r="H86" s="59"/>
      <c r="I86" s="59"/>
      <c r="J86" s="59"/>
      <c r="K86" s="59"/>
      <c r="N86" s="56" t="s">
        <v>280</v>
      </c>
      <c r="O86" s="189"/>
      <c r="P86" s="189"/>
      <c r="Q86" s="69"/>
      <c r="R86" s="69"/>
      <c r="S86" s="69"/>
      <c r="T86" s="91"/>
      <c r="U86" s="69"/>
      <c r="V86" s="69"/>
      <c r="W86" s="69"/>
      <c r="X86" s="69"/>
      <c r="Y86" s="69"/>
      <c r="Z86" s="69"/>
      <c r="AA86" s="69"/>
      <c r="AB86" s="69"/>
      <c r="AC86" s="69"/>
      <c r="AD86" s="69"/>
      <c r="AE86" s="69"/>
      <c r="AF86" s="69"/>
      <c r="AG86" s="69"/>
      <c r="AH86" s="69"/>
      <c r="AI86" s="69"/>
      <c r="AM86" s="69">
        <f>SUM(O86:AI86)</f>
        <v>0</v>
      </c>
    </row>
    <row r="87" spans="1:39" s="17" customFormat="1" ht="20.100000000000001" customHeight="1">
      <c r="A87" s="41"/>
      <c r="B87" s="35"/>
      <c r="C87" s="38"/>
      <c r="D87" s="40"/>
      <c r="E87" s="40"/>
      <c r="F87" s="40"/>
      <c r="G87" s="40"/>
      <c r="H87" s="40"/>
      <c r="I87" s="40"/>
      <c r="J87" s="40"/>
      <c r="K87" s="40"/>
      <c r="N87" s="56" t="s">
        <v>281</v>
      </c>
      <c r="O87" s="189"/>
      <c r="P87" s="189"/>
      <c r="Q87" s="69"/>
      <c r="R87" s="69"/>
      <c r="S87" s="69"/>
      <c r="T87" s="69"/>
      <c r="U87" s="69"/>
      <c r="V87" s="69"/>
      <c r="W87" s="69"/>
      <c r="X87" s="69"/>
      <c r="Y87" s="69"/>
      <c r="Z87" s="69"/>
      <c r="AA87" s="69"/>
      <c r="AB87" s="69"/>
      <c r="AC87" s="69"/>
      <c r="AD87" s="69"/>
      <c r="AE87" s="69"/>
      <c r="AF87" s="69"/>
      <c r="AG87" s="69"/>
      <c r="AH87" s="69"/>
      <c r="AI87" s="69"/>
      <c r="AM87" s="69"/>
    </row>
    <row r="88" spans="1:39" s="17" customFormat="1" ht="20.100000000000001" customHeight="1">
      <c r="A88" s="41"/>
      <c r="B88" s="80"/>
      <c r="C88" s="38"/>
      <c r="D88" s="40"/>
      <c r="E88" s="40"/>
      <c r="F88" s="40"/>
      <c r="G88" s="40"/>
      <c r="H88" s="59"/>
      <c r="I88" s="59"/>
      <c r="J88" s="59"/>
      <c r="K88" s="59"/>
      <c r="M88" s="17">
        <f>SUM(O88:R88)</f>
        <v>0</v>
      </c>
      <c r="N88" s="56" t="s">
        <v>282</v>
      </c>
      <c r="O88" s="189">
        <f t="shared" ref="O88:R89" si="18">+O82</f>
        <v>0</v>
      </c>
      <c r="P88" s="189">
        <f t="shared" si="18"/>
        <v>0</v>
      </c>
      <c r="Q88" s="69">
        <f t="shared" si="18"/>
        <v>0</v>
      </c>
      <c r="R88" s="69">
        <f t="shared" si="18"/>
        <v>0</v>
      </c>
      <c r="S88" s="69">
        <v>0</v>
      </c>
      <c r="T88" s="69">
        <v>0</v>
      </c>
      <c r="U88" s="69">
        <v>0</v>
      </c>
      <c r="V88" s="69">
        <v>0</v>
      </c>
      <c r="W88" s="69">
        <v>0</v>
      </c>
      <c r="X88" s="69">
        <v>0</v>
      </c>
      <c r="Y88" s="69">
        <v>0</v>
      </c>
      <c r="Z88" s="69">
        <v>0</v>
      </c>
      <c r="AA88" s="69">
        <v>0</v>
      </c>
      <c r="AB88" s="69">
        <v>0</v>
      </c>
      <c r="AC88" s="69">
        <v>0</v>
      </c>
      <c r="AD88" s="69">
        <v>0</v>
      </c>
      <c r="AE88" s="69">
        <v>0</v>
      </c>
      <c r="AF88" s="69">
        <v>0</v>
      </c>
      <c r="AG88" s="69">
        <v>0</v>
      </c>
      <c r="AH88" s="69">
        <v>0</v>
      </c>
      <c r="AI88" s="69">
        <v>0</v>
      </c>
      <c r="AM88" s="69">
        <f t="shared" ref="AM88:AM94" si="19">SUM(O88:AI88)</f>
        <v>0</v>
      </c>
    </row>
    <row r="89" spans="1:39" s="17" customFormat="1" ht="20.100000000000001" customHeight="1">
      <c r="A89" s="41"/>
      <c r="B89" s="35"/>
      <c r="C89" s="38"/>
      <c r="D89" s="40"/>
      <c r="E89" s="40"/>
      <c r="F89" s="40"/>
      <c r="G89" s="59"/>
      <c r="H89" s="38"/>
      <c r="I89" s="38"/>
      <c r="J89" s="38"/>
      <c r="K89" s="38"/>
      <c r="M89" s="17" t="e">
        <f>SUM(O89:R89)</f>
        <v>#REF!</v>
      </c>
      <c r="N89" s="56" t="s">
        <v>283</v>
      </c>
      <c r="O89" s="189" t="e">
        <f t="shared" si="18"/>
        <v>#REF!</v>
      </c>
      <c r="P89" s="189" t="e">
        <f t="shared" si="18"/>
        <v>#REF!</v>
      </c>
      <c r="Q89" s="69" t="e">
        <f t="shared" si="18"/>
        <v>#REF!</v>
      </c>
      <c r="R89" s="69" t="e">
        <f t="shared" si="18"/>
        <v>#REF!</v>
      </c>
      <c r="S89" s="69">
        <v>0</v>
      </c>
      <c r="T89" s="69">
        <v>0</v>
      </c>
      <c r="U89" s="69">
        <v>0</v>
      </c>
      <c r="V89" s="69">
        <v>0</v>
      </c>
      <c r="W89" s="69">
        <v>0</v>
      </c>
      <c r="X89" s="69">
        <v>0</v>
      </c>
      <c r="Y89" s="69">
        <v>0</v>
      </c>
      <c r="Z89" s="69">
        <v>0</v>
      </c>
      <c r="AA89" s="69">
        <v>0</v>
      </c>
      <c r="AB89" s="69">
        <v>0</v>
      </c>
      <c r="AC89" s="69">
        <v>0</v>
      </c>
      <c r="AD89" s="69">
        <v>0</v>
      </c>
      <c r="AE89" s="69">
        <v>0</v>
      </c>
      <c r="AF89" s="69">
        <v>0</v>
      </c>
      <c r="AG89" s="69">
        <v>0</v>
      </c>
      <c r="AH89" s="69">
        <v>0</v>
      </c>
      <c r="AI89" s="69">
        <v>0</v>
      </c>
      <c r="AM89" s="69" t="e">
        <f t="shared" si="19"/>
        <v>#REF!</v>
      </c>
    </row>
    <row r="90" spans="1:39" s="17" customFormat="1" ht="20.100000000000001" customHeight="1">
      <c r="A90" s="41"/>
      <c r="B90" s="40"/>
      <c r="C90" s="40"/>
      <c r="D90" s="40"/>
      <c r="E90" s="40"/>
      <c r="F90" s="40"/>
      <c r="G90" s="40"/>
      <c r="M90" s="92">
        <v>0.1</v>
      </c>
      <c r="N90" s="763" t="s">
        <v>284</v>
      </c>
      <c r="O90" s="189">
        <f>+AP73</f>
        <v>0</v>
      </c>
      <c r="P90" s="189">
        <v>0</v>
      </c>
      <c r="Q90" s="114" t="e">
        <f>M83*M90*6/12*0</f>
        <v>#REF!</v>
      </c>
      <c r="R90" s="189" t="e">
        <f>($M$83-SUM($Q$91:Q91))*$M$90*6/12</f>
        <v>#REF!</v>
      </c>
      <c r="S90" s="189" t="e">
        <f>($M$83-SUM($Q$91:R91))*$M$90</f>
        <v>#REF!</v>
      </c>
      <c r="T90" s="189" t="e">
        <f>($M$83-SUM($Q$91:S91))*$M$90</f>
        <v>#REF!</v>
      </c>
      <c r="U90" s="189" t="e">
        <f>($M$83-SUM($Q$91:T91))*$M$90</f>
        <v>#REF!</v>
      </c>
      <c r="V90" s="189" t="e">
        <f>($M$83-SUM($Q$91:U91))*$M$90</f>
        <v>#REF!</v>
      </c>
      <c r="W90" s="189" t="e">
        <f>($M$83-SUM($Q$91:V91))*$M$90</f>
        <v>#REF!</v>
      </c>
      <c r="X90" s="189" t="e">
        <f>($M$83-SUM($Q$91:W91))*$M$90</f>
        <v>#REF!</v>
      </c>
      <c r="Y90" s="189" t="e">
        <f>($M$83-SUM($Q$91:X91))*$M$90</f>
        <v>#REF!</v>
      </c>
      <c r="Z90" s="189" t="e">
        <f>($M$83-SUM($Q$91:Y91))*$M$90</f>
        <v>#REF!</v>
      </c>
      <c r="AA90" s="189" t="e">
        <f>($M$83-SUM($Q$91:Z91))*$M$90</f>
        <v>#REF!</v>
      </c>
      <c r="AB90" s="189" t="e">
        <f>($M$83-SUM($Q$91:AA91))*$M$90</f>
        <v>#REF!</v>
      </c>
      <c r="AC90" s="189" t="e">
        <f>($M$83-SUM($Q$91:AB91))*$M$90</f>
        <v>#REF!</v>
      </c>
      <c r="AD90" s="189" t="e">
        <f>($M$83-SUM($Q$91:AC91))*$M$90</f>
        <v>#REF!</v>
      </c>
      <c r="AE90" s="189" t="e">
        <f>($M$83-SUM($Q$91:AD91))*$M$90</f>
        <v>#REF!</v>
      </c>
      <c r="AF90" s="189" t="e">
        <f>($M$83-SUM($Q$91:AE91))*$M$90</f>
        <v>#REF!</v>
      </c>
      <c r="AG90" s="189" t="e">
        <f>($M$83-SUM($Q$91:AF91))*$M$90</f>
        <v>#REF!</v>
      </c>
      <c r="AH90" s="189" t="e">
        <f>($M$83-SUM($Q$91:AG91))*$M$90</f>
        <v>#REF!</v>
      </c>
      <c r="AI90" s="189" t="e">
        <f>($M$83-SUM($Q$91:AH91))*$M$90</f>
        <v>#REF!</v>
      </c>
      <c r="AJ90" s="189" t="e">
        <f>($M$83-SUM($Q$91:AI91))*$M$90</f>
        <v>#REF!</v>
      </c>
      <c r="AM90" s="69" t="e">
        <f t="shared" si="19"/>
        <v>#REF!</v>
      </c>
    </row>
    <row r="91" spans="1:39" s="17" customFormat="1" ht="26.25" customHeight="1">
      <c r="A91" s="41"/>
      <c r="B91" s="59"/>
      <c r="C91" s="59"/>
      <c r="D91" s="59"/>
      <c r="E91" s="59"/>
      <c r="F91" s="40"/>
      <c r="G91" s="59"/>
      <c r="M91" s="17" t="e">
        <f>SUM(P91:AL91)</f>
        <v>#REF!</v>
      </c>
      <c r="N91" s="1214" t="s">
        <v>285</v>
      </c>
      <c r="O91" s="189">
        <f>+AP76</f>
        <v>0</v>
      </c>
      <c r="P91" s="189">
        <v>0</v>
      </c>
      <c r="Q91" s="69">
        <f>+$M$85/10*0</f>
        <v>0</v>
      </c>
      <c r="R91" s="69">
        <f>+$M$85/10*0</f>
        <v>0</v>
      </c>
      <c r="S91" s="69"/>
      <c r="T91" s="766" t="e">
        <f>+$M$89/16</f>
        <v>#REF!</v>
      </c>
      <c r="U91" s="766" t="e">
        <f t="shared" ref="U91:AI91" si="20">+$M$89/16</f>
        <v>#REF!</v>
      </c>
      <c r="V91" s="766" t="e">
        <f t="shared" si="20"/>
        <v>#REF!</v>
      </c>
      <c r="W91" s="766" t="e">
        <f t="shared" si="20"/>
        <v>#REF!</v>
      </c>
      <c r="X91" s="766" t="e">
        <f t="shared" si="20"/>
        <v>#REF!</v>
      </c>
      <c r="Y91" s="766" t="e">
        <f t="shared" si="20"/>
        <v>#REF!</v>
      </c>
      <c r="Z91" s="766" t="e">
        <f t="shared" si="20"/>
        <v>#REF!</v>
      </c>
      <c r="AA91" s="766" t="e">
        <f t="shared" si="20"/>
        <v>#REF!</v>
      </c>
      <c r="AB91" s="766" t="e">
        <f t="shared" si="20"/>
        <v>#REF!</v>
      </c>
      <c r="AC91" s="766" t="e">
        <f t="shared" si="20"/>
        <v>#REF!</v>
      </c>
      <c r="AD91" s="766" t="e">
        <f t="shared" si="20"/>
        <v>#REF!</v>
      </c>
      <c r="AE91" s="766" t="e">
        <f t="shared" si="20"/>
        <v>#REF!</v>
      </c>
      <c r="AF91" s="766" t="e">
        <f t="shared" si="20"/>
        <v>#REF!</v>
      </c>
      <c r="AG91" s="766" t="e">
        <f t="shared" si="20"/>
        <v>#REF!</v>
      </c>
      <c r="AH91" s="766" t="e">
        <f t="shared" si="20"/>
        <v>#REF!</v>
      </c>
      <c r="AI91" s="766" t="e">
        <f t="shared" si="20"/>
        <v>#REF!</v>
      </c>
      <c r="AM91" s="69" t="e">
        <f t="shared" si="19"/>
        <v>#REF!</v>
      </c>
    </row>
    <row r="92" spans="1:39" s="17" customFormat="1" ht="34.5" customHeight="1">
      <c r="A92" s="41"/>
      <c r="B92" s="38"/>
      <c r="C92" s="38"/>
      <c r="D92" s="38"/>
      <c r="E92" s="38"/>
      <c r="F92" s="38"/>
      <c r="G92" s="38"/>
      <c r="N92" s="1215" t="s">
        <v>286</v>
      </c>
      <c r="O92" s="191">
        <f t="shared" ref="O92:AL92" si="21">+O73</f>
        <v>0</v>
      </c>
      <c r="P92" s="191">
        <f t="shared" si="21"/>
        <v>0</v>
      </c>
      <c r="Q92" s="82" t="e">
        <f t="shared" si="21"/>
        <v>#REF!</v>
      </c>
      <c r="R92" s="82" t="e">
        <f t="shared" si="21"/>
        <v>#REF!</v>
      </c>
      <c r="S92" s="82" t="e">
        <f t="shared" si="21"/>
        <v>#REF!</v>
      </c>
      <c r="T92" s="82" t="e">
        <f t="shared" si="21"/>
        <v>#REF!</v>
      </c>
      <c r="U92" s="82" t="e">
        <f t="shared" si="21"/>
        <v>#REF!</v>
      </c>
      <c r="V92" s="82" t="e">
        <f t="shared" si="21"/>
        <v>#REF!</v>
      </c>
      <c r="W92" s="82" t="e">
        <f t="shared" si="21"/>
        <v>#REF!</v>
      </c>
      <c r="X92" s="82" t="e">
        <f t="shared" si="21"/>
        <v>#REF!</v>
      </c>
      <c r="Y92" s="82" t="e">
        <f t="shared" si="21"/>
        <v>#REF!</v>
      </c>
      <c r="Z92" s="82" t="e">
        <f t="shared" si="21"/>
        <v>#REF!</v>
      </c>
      <c r="AA92" s="82" t="e">
        <f t="shared" si="21"/>
        <v>#REF!</v>
      </c>
      <c r="AB92" s="82" t="e">
        <f t="shared" si="21"/>
        <v>#REF!</v>
      </c>
      <c r="AC92" s="82" t="e">
        <f t="shared" si="21"/>
        <v>#REF!</v>
      </c>
      <c r="AD92" s="82" t="e">
        <f t="shared" si="21"/>
        <v>#REF!</v>
      </c>
      <c r="AE92" s="82" t="e">
        <f t="shared" si="21"/>
        <v>#REF!</v>
      </c>
      <c r="AF92" s="82" t="e">
        <f t="shared" si="21"/>
        <v>#REF!</v>
      </c>
      <c r="AG92" s="82" t="e">
        <f t="shared" si="21"/>
        <v>#REF!</v>
      </c>
      <c r="AH92" s="82" t="e">
        <f t="shared" si="21"/>
        <v>#REF!</v>
      </c>
      <c r="AI92" s="82" t="e">
        <f t="shared" si="21"/>
        <v>#REF!</v>
      </c>
      <c r="AJ92" s="82" t="e">
        <f t="shared" si="21"/>
        <v>#REF!</v>
      </c>
      <c r="AK92" s="82" t="e">
        <f t="shared" si="21"/>
        <v>#REF!</v>
      </c>
      <c r="AL92" s="82">
        <f t="shared" si="21"/>
        <v>160.60500479115362</v>
      </c>
      <c r="AM92" s="69" t="e">
        <f t="shared" si="19"/>
        <v>#REF!</v>
      </c>
    </row>
    <row r="93" spans="1:39" s="17" customFormat="1" ht="20.100000000000001" customHeight="1">
      <c r="A93" s="93"/>
      <c r="B93" s="80"/>
      <c r="C93" s="35"/>
      <c r="D93" s="38"/>
      <c r="E93" s="40"/>
      <c r="F93" s="94"/>
      <c r="G93" s="40"/>
      <c r="N93" s="56" t="s">
        <v>72</v>
      </c>
      <c r="O93" s="189" t="e">
        <f t="shared" ref="O93:AL93" si="22">SUM(O87:O92)</f>
        <v>#REF!</v>
      </c>
      <c r="P93" s="189" t="e">
        <f t="shared" si="22"/>
        <v>#REF!</v>
      </c>
      <c r="Q93" s="69" t="e">
        <f t="shared" si="22"/>
        <v>#REF!</v>
      </c>
      <c r="R93" s="69" t="e">
        <f t="shared" si="22"/>
        <v>#REF!</v>
      </c>
      <c r="S93" s="69" t="e">
        <f t="shared" si="22"/>
        <v>#REF!</v>
      </c>
      <c r="T93" s="69" t="e">
        <f t="shared" si="22"/>
        <v>#REF!</v>
      </c>
      <c r="U93" s="69" t="e">
        <f t="shared" si="22"/>
        <v>#REF!</v>
      </c>
      <c r="V93" s="69" t="e">
        <f t="shared" si="22"/>
        <v>#REF!</v>
      </c>
      <c r="W93" s="69" t="e">
        <f t="shared" si="22"/>
        <v>#REF!</v>
      </c>
      <c r="X93" s="69" t="e">
        <f t="shared" si="22"/>
        <v>#REF!</v>
      </c>
      <c r="Y93" s="69" t="e">
        <f t="shared" si="22"/>
        <v>#REF!</v>
      </c>
      <c r="Z93" s="69" t="e">
        <f t="shared" si="22"/>
        <v>#REF!</v>
      </c>
      <c r="AA93" s="69" t="e">
        <f t="shared" si="22"/>
        <v>#REF!</v>
      </c>
      <c r="AB93" s="69" t="e">
        <f t="shared" si="22"/>
        <v>#REF!</v>
      </c>
      <c r="AC93" s="69" t="e">
        <f t="shared" si="22"/>
        <v>#REF!</v>
      </c>
      <c r="AD93" s="69" t="e">
        <f t="shared" si="22"/>
        <v>#REF!</v>
      </c>
      <c r="AE93" s="69" t="e">
        <f t="shared" si="22"/>
        <v>#REF!</v>
      </c>
      <c r="AF93" s="69" t="e">
        <f t="shared" si="22"/>
        <v>#REF!</v>
      </c>
      <c r="AG93" s="69" t="e">
        <f t="shared" si="22"/>
        <v>#REF!</v>
      </c>
      <c r="AH93" s="69" t="e">
        <f t="shared" si="22"/>
        <v>#REF!</v>
      </c>
      <c r="AI93" s="69" t="e">
        <f t="shared" si="22"/>
        <v>#REF!</v>
      </c>
      <c r="AJ93" s="69" t="e">
        <f t="shared" si="22"/>
        <v>#REF!</v>
      </c>
      <c r="AK93" s="69" t="e">
        <f t="shared" si="22"/>
        <v>#REF!</v>
      </c>
      <c r="AL93" s="69">
        <f t="shared" si="22"/>
        <v>160.60500479115362</v>
      </c>
      <c r="AM93" s="69" t="e">
        <f t="shared" si="19"/>
        <v>#REF!</v>
      </c>
    </row>
    <row r="94" spans="1:39" s="17" customFormat="1" ht="20.100000000000001" customHeight="1" thickBot="1">
      <c r="A94" s="38"/>
      <c r="B94" s="38"/>
      <c r="C94" s="38"/>
      <c r="D94" s="38"/>
      <c r="E94" s="38"/>
      <c r="F94" s="38"/>
      <c r="G94" s="38"/>
      <c r="N94" s="95" t="s">
        <v>287</v>
      </c>
      <c r="O94" s="194" t="e">
        <f t="shared" ref="O94:AL94" si="23">+O84-O93</f>
        <v>#REF!</v>
      </c>
      <c r="P94" s="194" t="e">
        <f t="shared" si="23"/>
        <v>#REF!</v>
      </c>
      <c r="Q94" s="96" t="e">
        <f t="shared" si="23"/>
        <v>#REF!</v>
      </c>
      <c r="R94" s="96" t="e">
        <f t="shared" si="23"/>
        <v>#REF!</v>
      </c>
      <c r="S94" s="96" t="e">
        <f t="shared" si="23"/>
        <v>#REF!</v>
      </c>
      <c r="T94" s="96" t="e">
        <f t="shared" si="23"/>
        <v>#REF!</v>
      </c>
      <c r="U94" s="96" t="e">
        <f t="shared" si="23"/>
        <v>#REF!</v>
      </c>
      <c r="V94" s="96" t="e">
        <f t="shared" si="23"/>
        <v>#REF!</v>
      </c>
      <c r="W94" s="96" t="e">
        <f t="shared" si="23"/>
        <v>#REF!</v>
      </c>
      <c r="X94" s="96" t="e">
        <f t="shared" si="23"/>
        <v>#REF!</v>
      </c>
      <c r="Y94" s="96" t="e">
        <f t="shared" si="23"/>
        <v>#REF!</v>
      </c>
      <c r="Z94" s="96" t="e">
        <f t="shared" si="23"/>
        <v>#REF!</v>
      </c>
      <c r="AA94" s="96" t="e">
        <f t="shared" si="23"/>
        <v>#REF!</v>
      </c>
      <c r="AB94" s="96" t="e">
        <f t="shared" si="23"/>
        <v>#REF!</v>
      </c>
      <c r="AC94" s="96" t="e">
        <f t="shared" si="23"/>
        <v>#REF!</v>
      </c>
      <c r="AD94" s="96" t="e">
        <f t="shared" si="23"/>
        <v>#REF!</v>
      </c>
      <c r="AE94" s="96" t="e">
        <f t="shared" si="23"/>
        <v>#REF!</v>
      </c>
      <c r="AF94" s="96" t="e">
        <f t="shared" si="23"/>
        <v>#REF!</v>
      </c>
      <c r="AG94" s="96" t="e">
        <f t="shared" si="23"/>
        <v>#REF!</v>
      </c>
      <c r="AH94" s="96" t="e">
        <f t="shared" si="23"/>
        <v>#REF!</v>
      </c>
      <c r="AI94" s="96" t="e">
        <f t="shared" si="23"/>
        <v>#REF!</v>
      </c>
      <c r="AJ94" s="96" t="e">
        <f t="shared" si="23"/>
        <v>#REF!</v>
      </c>
      <c r="AK94" s="96" t="e">
        <f t="shared" si="23"/>
        <v>#REF!</v>
      </c>
      <c r="AL94" s="96">
        <f t="shared" si="23"/>
        <v>299.00180837034361</v>
      </c>
      <c r="AM94" s="69" t="e">
        <f t="shared" si="19"/>
        <v>#REF!</v>
      </c>
    </row>
    <row r="95" spans="1:39" s="17" customFormat="1" ht="20.100000000000001" customHeight="1" thickBot="1">
      <c r="A95" s="38"/>
      <c r="B95" s="38"/>
      <c r="C95" s="38"/>
      <c r="D95" s="38"/>
      <c r="E95" s="38"/>
      <c r="F95" s="38"/>
      <c r="G95" s="38"/>
      <c r="N95" s="97" t="s">
        <v>288</v>
      </c>
      <c r="O95" s="195" t="e">
        <f>SUM($O$94:O94)</f>
        <v>#REF!</v>
      </c>
      <c r="P95" s="195" t="e">
        <f>SUM($O$94:P94)</f>
        <v>#REF!</v>
      </c>
      <c r="Q95" s="195" t="e">
        <f>SUM($O$94:Q94)</f>
        <v>#REF!</v>
      </c>
      <c r="R95" s="195" t="e">
        <f>SUM($O$94:R94)</f>
        <v>#REF!</v>
      </c>
      <c r="S95" s="195" t="e">
        <f>SUM($O$94:S94)</f>
        <v>#REF!</v>
      </c>
      <c r="T95" s="195" t="e">
        <f>SUM($O$94:T94)</f>
        <v>#REF!</v>
      </c>
      <c r="U95" s="195" t="e">
        <f>SUM($O$94:U94)</f>
        <v>#REF!</v>
      </c>
      <c r="V95" s="195" t="e">
        <f>SUM($O$94:V94)</f>
        <v>#REF!</v>
      </c>
      <c r="W95" s="195" t="e">
        <f>SUM($O$94:W94)</f>
        <v>#REF!</v>
      </c>
      <c r="X95" s="195" t="e">
        <f>SUM($O$94:X94)</f>
        <v>#REF!</v>
      </c>
      <c r="Y95" s="195" t="e">
        <f>SUM($O$94:Y94)</f>
        <v>#REF!</v>
      </c>
      <c r="Z95" s="195" t="e">
        <f>SUM($O$94:Z94)</f>
        <v>#REF!</v>
      </c>
      <c r="AA95" s="195" t="e">
        <f>SUM($O$94:AA94)</f>
        <v>#REF!</v>
      </c>
      <c r="AB95" s="195" t="e">
        <f>SUM($O$94:AB94)</f>
        <v>#REF!</v>
      </c>
      <c r="AC95" s="195" t="e">
        <f>SUM($O$94:AC94)</f>
        <v>#REF!</v>
      </c>
      <c r="AD95" s="195" t="e">
        <f>SUM($O$94:AD94)</f>
        <v>#REF!</v>
      </c>
      <c r="AE95" s="195" t="e">
        <f>SUM($O$94:AE94)</f>
        <v>#REF!</v>
      </c>
      <c r="AF95" s="195" t="e">
        <f>SUM($O$94:AF94)</f>
        <v>#REF!</v>
      </c>
      <c r="AG95" s="195" t="e">
        <f>SUM($O$94:AG94)</f>
        <v>#REF!</v>
      </c>
      <c r="AH95" s="195" t="e">
        <f>SUM($O$94:AH94)</f>
        <v>#REF!</v>
      </c>
      <c r="AI95" s="195" t="e">
        <f>SUM($O$94:AI94)</f>
        <v>#REF!</v>
      </c>
      <c r="AJ95" s="195" t="e">
        <f>SUM($O$94:AJ94)</f>
        <v>#REF!</v>
      </c>
      <c r="AK95" s="195" t="e">
        <f>SUM($O$94:AK94)</f>
        <v>#REF!</v>
      </c>
      <c r="AL95" s="195" t="e">
        <f>SUM($O$94:AL94)</f>
        <v>#REF!</v>
      </c>
      <c r="AM95" s="69"/>
    </row>
    <row r="96" spans="1:39" s="17" customFormat="1" ht="20.100000000000001" customHeight="1">
      <c r="A96" s="38"/>
      <c r="B96" s="38"/>
      <c r="C96" s="38"/>
      <c r="D96" s="38"/>
      <c r="E96" s="38"/>
      <c r="F96" s="38"/>
      <c r="G96" s="38"/>
      <c r="O96" s="114"/>
      <c r="P96" s="114"/>
      <c r="V96" s="17">
        <f>+V77</f>
        <v>0</v>
      </c>
      <c r="AH96" s="17">
        <f>+V96</f>
        <v>0</v>
      </c>
    </row>
    <row r="97" spans="1:42" s="17" customFormat="1" ht="20.100000000000001" customHeight="1">
      <c r="N97" s="18" t="s">
        <v>289</v>
      </c>
      <c r="O97" s="114"/>
      <c r="P97" s="114"/>
      <c r="Q97" s="32"/>
      <c r="T97" s="38"/>
      <c r="U97" s="39"/>
      <c r="V97" s="39"/>
      <c r="W97" s="39"/>
      <c r="X97" s="39"/>
      <c r="Y97" s="39"/>
      <c r="Z97" s="39"/>
      <c r="AA97" s="39"/>
      <c r="AB97" s="39"/>
      <c r="AC97" s="39"/>
      <c r="AD97" s="39"/>
      <c r="AM97" s="69"/>
    </row>
    <row r="98" spans="1:42" s="17" customFormat="1" ht="20.100000000000001" customHeight="1">
      <c r="A98" s="38"/>
      <c r="B98" s="35"/>
      <c r="C98" s="38"/>
      <c r="D98" s="38"/>
      <c r="E98" s="40"/>
      <c r="F98" s="40"/>
      <c r="G98" s="40"/>
      <c r="N98" s="18"/>
      <c r="O98" s="114"/>
      <c r="P98" s="114"/>
      <c r="Q98" s="32"/>
      <c r="T98" s="38"/>
      <c r="U98" s="39">
        <f>+U79</f>
        <v>0</v>
      </c>
      <c r="V98" s="39"/>
      <c r="W98" s="39"/>
      <c r="X98" s="39"/>
      <c r="Y98" s="39"/>
      <c r="Z98" s="39"/>
      <c r="AA98" s="39"/>
      <c r="AB98" s="39"/>
      <c r="AC98" s="39"/>
      <c r="AD98" s="39"/>
      <c r="AH98" s="17">
        <f>+U98</f>
        <v>0</v>
      </c>
      <c r="AM98" s="69"/>
    </row>
    <row r="99" spans="1:42" s="17" customFormat="1" ht="20.100000000000001" customHeight="1">
      <c r="A99" s="38"/>
      <c r="B99" s="59"/>
      <c r="C99" s="59"/>
      <c r="D99" s="59"/>
      <c r="E99" s="59"/>
      <c r="F99" s="59"/>
      <c r="G99" s="59"/>
      <c r="N99" s="25" t="s">
        <v>1</v>
      </c>
      <c r="O99" s="187" t="str">
        <f t="shared" ref="O99:AL99" si="24">+O67</f>
        <v>Yr 1</v>
      </c>
      <c r="P99" s="187" t="str">
        <f t="shared" si="24"/>
        <v>Yr 2</v>
      </c>
      <c r="Q99" s="65" t="str">
        <f t="shared" si="24"/>
        <v>Yr 3</v>
      </c>
      <c r="R99" s="65" t="str">
        <f t="shared" si="24"/>
        <v>Yr 4</v>
      </c>
      <c r="S99" s="65" t="str">
        <f t="shared" si="24"/>
        <v>Yr 5</v>
      </c>
      <c r="T99" s="65" t="str">
        <f t="shared" si="24"/>
        <v>Yr 6</v>
      </c>
      <c r="U99" s="65" t="str">
        <f t="shared" si="24"/>
        <v>Yr 7</v>
      </c>
      <c r="V99" s="65" t="str">
        <f t="shared" si="24"/>
        <v>Yr 8</v>
      </c>
      <c r="W99" s="65" t="str">
        <f t="shared" si="24"/>
        <v>Yr 9</v>
      </c>
      <c r="X99" s="65" t="str">
        <f t="shared" si="24"/>
        <v>Yr 10</v>
      </c>
      <c r="Y99" s="65" t="str">
        <f t="shared" si="24"/>
        <v>Yr 11</v>
      </c>
      <c r="Z99" s="65" t="str">
        <f t="shared" si="24"/>
        <v>Yr 12</v>
      </c>
      <c r="AA99" s="65" t="str">
        <f t="shared" si="24"/>
        <v>Yr 13</v>
      </c>
      <c r="AB99" s="65" t="str">
        <f t="shared" si="24"/>
        <v>Yr 14</v>
      </c>
      <c r="AC99" s="65" t="str">
        <f t="shared" si="24"/>
        <v>Yr 15</v>
      </c>
      <c r="AD99" s="65" t="str">
        <f t="shared" si="24"/>
        <v>Yr 16</v>
      </c>
      <c r="AE99" s="65" t="str">
        <f t="shared" si="24"/>
        <v>Yr 17</v>
      </c>
      <c r="AF99" s="65" t="str">
        <f t="shared" si="24"/>
        <v>Yr 18</v>
      </c>
      <c r="AG99" s="65" t="str">
        <f t="shared" si="24"/>
        <v>Yr 19</v>
      </c>
      <c r="AH99" s="65" t="str">
        <f t="shared" si="24"/>
        <v>Yr 20</v>
      </c>
      <c r="AI99" s="65" t="str">
        <f t="shared" si="24"/>
        <v>Yr 21</v>
      </c>
      <c r="AJ99" s="65" t="str">
        <f t="shared" si="24"/>
        <v>Yr 22</v>
      </c>
      <c r="AK99" s="65" t="str">
        <f t="shared" si="24"/>
        <v>Yr 23</v>
      </c>
      <c r="AL99" s="65" t="str">
        <f t="shared" si="24"/>
        <v>Yr 24</v>
      </c>
      <c r="AM99" s="99" t="s">
        <v>951</v>
      </c>
      <c r="AN99" s="26" t="s">
        <v>952</v>
      </c>
      <c r="AO99" s="26" t="s">
        <v>952</v>
      </c>
      <c r="AP99" s="26" t="s">
        <v>953</v>
      </c>
    </row>
    <row r="100" spans="1:42" s="17" customFormat="1" ht="20.100000000000001" customHeight="1">
      <c r="A100" s="38"/>
      <c r="B100" s="40"/>
      <c r="C100" s="40"/>
      <c r="D100" s="40"/>
      <c r="E100" s="40"/>
      <c r="F100" s="40"/>
      <c r="G100" s="40"/>
      <c r="M100" s="27" t="s">
        <v>9</v>
      </c>
      <c r="N100" s="18" t="s">
        <v>290</v>
      </c>
      <c r="O100" s="196"/>
      <c r="P100" s="196"/>
      <c r="Q100" s="100"/>
      <c r="R100" s="100"/>
      <c r="S100" s="100"/>
      <c r="T100" s="100"/>
      <c r="U100" s="100"/>
      <c r="V100" s="100"/>
      <c r="W100" s="100"/>
      <c r="X100" s="100"/>
      <c r="Y100" s="100"/>
      <c r="Z100" s="100"/>
      <c r="AA100" s="100"/>
      <c r="AB100" s="100"/>
      <c r="AC100" s="100"/>
      <c r="AD100" s="100"/>
      <c r="AE100" s="100"/>
      <c r="AF100" s="100"/>
      <c r="AG100" s="100"/>
      <c r="AH100" s="100"/>
      <c r="AI100" s="100"/>
      <c r="AM100" s="99"/>
      <c r="AN100" s="26"/>
      <c r="AO100" s="26"/>
      <c r="AP100" s="26"/>
    </row>
    <row r="101" spans="1:42" s="17" customFormat="1" ht="20.100000000000001" customHeight="1">
      <c r="A101" s="38"/>
      <c r="B101" s="59"/>
      <c r="C101" s="59"/>
      <c r="D101" s="59"/>
      <c r="E101" s="59"/>
      <c r="F101" s="59"/>
      <c r="G101" s="59"/>
      <c r="K101" s="17" t="e">
        <f>+C73</f>
        <v>#REF!</v>
      </c>
      <c r="L101" s="17" t="e">
        <f>SUM(O101:R101)</f>
        <v>#REF!</v>
      </c>
      <c r="M101" s="101">
        <v>1</v>
      </c>
      <c r="N101" s="17" t="s">
        <v>291</v>
      </c>
      <c r="O101" s="197" t="e">
        <f>+C68</f>
        <v>#REF!</v>
      </c>
      <c r="P101" s="197" t="e">
        <f>+C69</f>
        <v>#REF!</v>
      </c>
      <c r="Q101" s="102" t="e">
        <f>C70</f>
        <v>#REF!</v>
      </c>
      <c r="R101" s="102" t="e">
        <f>C71+C72</f>
        <v>#REF!</v>
      </c>
      <c r="S101" s="102">
        <f t="shared" ref="S101:AI101" si="25">+S88+S89</f>
        <v>0</v>
      </c>
      <c r="T101" s="102">
        <f t="shared" si="25"/>
        <v>0</v>
      </c>
      <c r="U101" s="102">
        <f t="shared" si="25"/>
        <v>0</v>
      </c>
      <c r="V101" s="102">
        <f t="shared" si="25"/>
        <v>0</v>
      </c>
      <c r="W101" s="102">
        <f t="shared" si="25"/>
        <v>0</v>
      </c>
      <c r="X101" s="102">
        <f t="shared" si="25"/>
        <v>0</v>
      </c>
      <c r="Y101" s="102">
        <f t="shared" si="25"/>
        <v>0</v>
      </c>
      <c r="Z101" s="102">
        <f t="shared" si="25"/>
        <v>0</v>
      </c>
      <c r="AA101" s="102">
        <f t="shared" si="25"/>
        <v>0</v>
      </c>
      <c r="AB101" s="102">
        <f t="shared" si="25"/>
        <v>0</v>
      </c>
      <c r="AC101" s="102">
        <f t="shared" si="25"/>
        <v>0</v>
      </c>
      <c r="AD101" s="102">
        <f t="shared" si="25"/>
        <v>0</v>
      </c>
      <c r="AE101" s="102">
        <f t="shared" si="25"/>
        <v>0</v>
      </c>
      <c r="AF101" s="102">
        <f t="shared" si="25"/>
        <v>0</v>
      </c>
      <c r="AG101" s="102">
        <f t="shared" si="25"/>
        <v>0</v>
      </c>
      <c r="AH101" s="102">
        <f t="shared" si="25"/>
        <v>0</v>
      </c>
      <c r="AI101" s="102">
        <f t="shared" si="25"/>
        <v>0</v>
      </c>
      <c r="AM101" s="69" t="e">
        <f>NPV(0.1,O101:AJ101)</f>
        <v>#REF!</v>
      </c>
      <c r="AP101" s="17" t="e">
        <f>+AM105/AM101</f>
        <v>#REF!</v>
      </c>
    </row>
    <row r="102" spans="1:42" s="17" customFormat="1" ht="20.100000000000001" customHeight="1">
      <c r="B102" s="38"/>
      <c r="C102" s="38"/>
      <c r="D102" s="38"/>
      <c r="E102" s="38"/>
      <c r="F102" s="38"/>
      <c r="G102" s="38"/>
      <c r="M102" s="101">
        <v>2</v>
      </c>
      <c r="N102" s="17" t="s">
        <v>286</v>
      </c>
      <c r="O102" s="197">
        <f t="shared" ref="O102:AL102" si="26">+O73</f>
        <v>0</v>
      </c>
      <c r="P102" s="197">
        <f t="shared" si="26"/>
        <v>0</v>
      </c>
      <c r="Q102" s="102" t="e">
        <f t="shared" si="26"/>
        <v>#REF!</v>
      </c>
      <c r="R102" s="102" t="e">
        <f t="shared" si="26"/>
        <v>#REF!</v>
      </c>
      <c r="S102" s="102" t="e">
        <f t="shared" si="26"/>
        <v>#REF!</v>
      </c>
      <c r="T102" s="102" t="e">
        <f t="shared" si="26"/>
        <v>#REF!</v>
      </c>
      <c r="U102" s="102" t="e">
        <f t="shared" si="26"/>
        <v>#REF!</v>
      </c>
      <c r="V102" s="102" t="e">
        <f t="shared" si="26"/>
        <v>#REF!</v>
      </c>
      <c r="W102" s="102" t="e">
        <f t="shared" si="26"/>
        <v>#REF!</v>
      </c>
      <c r="X102" s="102" t="e">
        <f t="shared" si="26"/>
        <v>#REF!</v>
      </c>
      <c r="Y102" s="102" t="e">
        <f t="shared" si="26"/>
        <v>#REF!</v>
      </c>
      <c r="Z102" s="102" t="e">
        <f t="shared" si="26"/>
        <v>#REF!</v>
      </c>
      <c r="AA102" s="102" t="e">
        <f t="shared" si="26"/>
        <v>#REF!</v>
      </c>
      <c r="AB102" s="102" t="e">
        <f t="shared" si="26"/>
        <v>#REF!</v>
      </c>
      <c r="AC102" s="102" t="e">
        <f t="shared" si="26"/>
        <v>#REF!</v>
      </c>
      <c r="AD102" s="102" t="e">
        <f t="shared" si="26"/>
        <v>#REF!</v>
      </c>
      <c r="AE102" s="102" t="e">
        <f t="shared" si="26"/>
        <v>#REF!</v>
      </c>
      <c r="AF102" s="102" t="e">
        <f t="shared" si="26"/>
        <v>#REF!</v>
      </c>
      <c r="AG102" s="102" t="e">
        <f t="shared" si="26"/>
        <v>#REF!</v>
      </c>
      <c r="AH102" s="102" t="e">
        <f t="shared" si="26"/>
        <v>#REF!</v>
      </c>
      <c r="AI102" s="102" t="e">
        <f t="shared" si="26"/>
        <v>#REF!</v>
      </c>
      <c r="AJ102" s="102" t="e">
        <f t="shared" si="26"/>
        <v>#REF!</v>
      </c>
      <c r="AK102" s="102" t="e">
        <f t="shared" si="26"/>
        <v>#REF!</v>
      </c>
      <c r="AL102" s="102">
        <f t="shared" si="26"/>
        <v>160.60500479115362</v>
      </c>
      <c r="AM102" s="69" t="e">
        <f>NPV(0.1,O102:AJ102)</f>
        <v>#REF!</v>
      </c>
    </row>
    <row r="103" spans="1:42" s="17" customFormat="1" ht="20.100000000000001" customHeight="1">
      <c r="A103" s="38"/>
      <c r="B103" s="76"/>
      <c r="C103" s="38"/>
      <c r="D103" s="38"/>
      <c r="M103" s="101"/>
      <c r="N103" s="103" t="s">
        <v>292</v>
      </c>
      <c r="O103" s="197" t="e">
        <f t="shared" ref="O103:AL103" si="27">SUM(O101:O102)</f>
        <v>#REF!</v>
      </c>
      <c r="P103" s="197" t="e">
        <f t="shared" si="27"/>
        <v>#REF!</v>
      </c>
      <c r="Q103" s="102" t="e">
        <f t="shared" si="27"/>
        <v>#REF!</v>
      </c>
      <c r="R103" s="102" t="e">
        <f t="shared" si="27"/>
        <v>#REF!</v>
      </c>
      <c r="S103" s="102" t="e">
        <f t="shared" si="27"/>
        <v>#REF!</v>
      </c>
      <c r="T103" s="102" t="e">
        <f t="shared" si="27"/>
        <v>#REF!</v>
      </c>
      <c r="U103" s="102" t="e">
        <f t="shared" si="27"/>
        <v>#REF!</v>
      </c>
      <c r="V103" s="102" t="e">
        <f t="shared" si="27"/>
        <v>#REF!</v>
      </c>
      <c r="W103" s="102" t="e">
        <f t="shared" si="27"/>
        <v>#REF!</v>
      </c>
      <c r="X103" s="102" t="e">
        <f t="shared" si="27"/>
        <v>#REF!</v>
      </c>
      <c r="Y103" s="102" t="e">
        <f t="shared" si="27"/>
        <v>#REF!</v>
      </c>
      <c r="Z103" s="102" t="e">
        <f t="shared" si="27"/>
        <v>#REF!</v>
      </c>
      <c r="AA103" s="102" t="e">
        <f t="shared" si="27"/>
        <v>#REF!</v>
      </c>
      <c r="AB103" s="102" t="e">
        <f t="shared" si="27"/>
        <v>#REF!</v>
      </c>
      <c r="AC103" s="102" t="e">
        <f t="shared" si="27"/>
        <v>#REF!</v>
      </c>
      <c r="AD103" s="102" t="e">
        <f t="shared" si="27"/>
        <v>#REF!</v>
      </c>
      <c r="AE103" s="102" t="e">
        <f t="shared" si="27"/>
        <v>#REF!</v>
      </c>
      <c r="AF103" s="102" t="e">
        <f t="shared" si="27"/>
        <v>#REF!</v>
      </c>
      <c r="AG103" s="102" t="e">
        <f t="shared" si="27"/>
        <v>#REF!</v>
      </c>
      <c r="AH103" s="102" t="e">
        <f t="shared" si="27"/>
        <v>#REF!</v>
      </c>
      <c r="AI103" s="102" t="e">
        <f t="shared" si="27"/>
        <v>#REF!</v>
      </c>
      <c r="AJ103" s="102" t="e">
        <f t="shared" si="27"/>
        <v>#REF!</v>
      </c>
      <c r="AK103" s="102" t="e">
        <f t="shared" si="27"/>
        <v>#REF!</v>
      </c>
      <c r="AL103" s="102">
        <f t="shared" si="27"/>
        <v>160.60500479115362</v>
      </c>
      <c r="AM103" s="69"/>
    </row>
    <row r="104" spans="1:42" s="17" customFormat="1" ht="20.100000000000001" customHeight="1">
      <c r="B104" s="35"/>
      <c r="C104" s="35"/>
      <c r="D104" s="38"/>
      <c r="E104" s="32"/>
      <c r="F104" s="52"/>
      <c r="G104" s="32"/>
      <c r="M104" s="27" t="s">
        <v>10</v>
      </c>
      <c r="N104" s="18" t="s">
        <v>293</v>
      </c>
      <c r="O104" s="197"/>
      <c r="P104" s="197"/>
      <c r="Q104" s="102"/>
      <c r="R104" s="102"/>
      <c r="S104" s="102"/>
      <c r="T104" s="102"/>
      <c r="U104" s="102"/>
      <c r="V104" s="102"/>
      <c r="W104" s="102"/>
      <c r="X104" s="102"/>
      <c r="Y104" s="102"/>
      <c r="Z104" s="102"/>
      <c r="AA104" s="102"/>
      <c r="AB104" s="102"/>
      <c r="AC104" s="102"/>
      <c r="AD104" s="102"/>
      <c r="AE104" s="102"/>
      <c r="AF104" s="102"/>
      <c r="AG104" s="102"/>
      <c r="AH104" s="102"/>
      <c r="AI104" s="102"/>
      <c r="AJ104" s="102"/>
      <c r="AK104" s="102"/>
      <c r="AL104" s="102"/>
      <c r="AM104" s="69"/>
    </row>
    <row r="105" spans="1:42" s="17" customFormat="1" ht="20.100000000000001" customHeight="1">
      <c r="A105" s="38"/>
      <c r="B105" s="40"/>
      <c r="C105" s="35"/>
      <c r="D105" s="38"/>
      <c r="E105" s="32"/>
      <c r="F105" s="55"/>
      <c r="G105" s="32"/>
      <c r="M105" s="101">
        <v>1</v>
      </c>
      <c r="N105" s="17" t="s">
        <v>294</v>
      </c>
      <c r="O105" s="185">
        <f t="shared" ref="O105:AK105" si="28">+O81</f>
        <v>0</v>
      </c>
      <c r="P105" s="185">
        <f t="shared" si="28"/>
        <v>0</v>
      </c>
      <c r="Q105" s="104">
        <f t="shared" si="28"/>
        <v>0</v>
      </c>
      <c r="R105" s="104">
        <f t="shared" si="28"/>
        <v>367.68545052919785</v>
      </c>
      <c r="S105" s="104">
        <f t="shared" si="28"/>
        <v>827.29226369069511</v>
      </c>
      <c r="T105" s="104">
        <f t="shared" si="28"/>
        <v>919.21362632299451</v>
      </c>
      <c r="U105" s="104">
        <f t="shared" si="28"/>
        <v>919.21362632299451</v>
      </c>
      <c r="V105" s="104">
        <f t="shared" si="28"/>
        <v>919.21362632299451</v>
      </c>
      <c r="W105" s="104">
        <f t="shared" si="28"/>
        <v>919.21362632299451</v>
      </c>
      <c r="X105" s="104">
        <f t="shared" si="28"/>
        <v>919.21362632299451</v>
      </c>
      <c r="Y105" s="104">
        <f t="shared" si="28"/>
        <v>919.21362632299451</v>
      </c>
      <c r="Z105" s="104">
        <f t="shared" si="28"/>
        <v>919.21362632299451</v>
      </c>
      <c r="AA105" s="104">
        <f t="shared" si="28"/>
        <v>919.21362632299451</v>
      </c>
      <c r="AB105" s="104">
        <f t="shared" si="28"/>
        <v>919.21362632299451</v>
      </c>
      <c r="AC105" s="104">
        <f t="shared" si="28"/>
        <v>919.21362632299451</v>
      </c>
      <c r="AD105" s="104">
        <f t="shared" si="28"/>
        <v>919.21362632299451</v>
      </c>
      <c r="AE105" s="104">
        <f t="shared" si="28"/>
        <v>919.21362632299451</v>
      </c>
      <c r="AF105" s="104">
        <f t="shared" si="28"/>
        <v>919.21362632299451</v>
      </c>
      <c r="AG105" s="104">
        <f t="shared" si="28"/>
        <v>919.21362632299451</v>
      </c>
      <c r="AH105" s="104">
        <f t="shared" si="28"/>
        <v>919.21362632299451</v>
      </c>
      <c r="AI105" s="104">
        <f t="shared" si="28"/>
        <v>919.21362632299451</v>
      </c>
      <c r="AJ105" s="104">
        <f t="shared" si="28"/>
        <v>919.21362632299451</v>
      </c>
      <c r="AK105" s="104">
        <f t="shared" si="28"/>
        <v>919.21362632299451</v>
      </c>
      <c r="AL105" s="104" t="e">
        <f>+AL81+AO70*0.05</f>
        <v>#REF!</v>
      </c>
      <c r="AM105" s="69">
        <f>NPV(0.1,O105:AJ105)</f>
        <v>5343.1939988072691</v>
      </c>
    </row>
    <row r="106" spans="1:42" s="17" customFormat="1" ht="20.100000000000001" customHeight="1">
      <c r="A106" s="38"/>
      <c r="B106" s="40"/>
      <c r="C106" s="35"/>
      <c r="D106" s="38"/>
      <c r="E106" s="32"/>
      <c r="F106" s="55"/>
      <c r="G106" s="32"/>
      <c r="L106" s="17" t="e">
        <f>SUM(O106:S106)</f>
        <v>#REF!</v>
      </c>
      <c r="M106" s="101">
        <v>2</v>
      </c>
      <c r="N106" s="17" t="s">
        <v>954</v>
      </c>
      <c r="O106" s="185"/>
      <c r="P106" s="185"/>
      <c r="Q106" s="185"/>
      <c r="R106" s="185" t="e">
        <f>+$J$73/2</f>
        <v>#REF!</v>
      </c>
      <c r="S106" s="185" t="e">
        <f>+$J$73/2</f>
        <v>#REF!</v>
      </c>
      <c r="T106" s="104"/>
      <c r="U106" s="104"/>
      <c r="V106" s="104"/>
      <c r="W106" s="104"/>
      <c r="X106" s="104"/>
      <c r="Y106" s="104"/>
      <c r="Z106" s="104"/>
      <c r="AA106" s="104"/>
      <c r="AB106" s="104"/>
      <c r="AC106" s="104"/>
      <c r="AD106" s="104"/>
      <c r="AE106" s="104"/>
      <c r="AF106" s="104"/>
      <c r="AG106" s="104"/>
      <c r="AH106" s="104"/>
      <c r="AI106" s="104"/>
      <c r="AJ106" s="104"/>
      <c r="AK106" s="104"/>
      <c r="AL106" s="104" t="e">
        <f>AO70*0.05</f>
        <v>#REF!</v>
      </c>
      <c r="AM106" s="69"/>
    </row>
    <row r="107" spans="1:42" s="17" customFormat="1" ht="20.100000000000001" customHeight="1">
      <c r="A107" s="38"/>
      <c r="B107" s="40"/>
      <c r="C107" s="35"/>
      <c r="D107" s="38"/>
      <c r="E107" s="32"/>
      <c r="F107" s="55"/>
      <c r="G107" s="32"/>
      <c r="M107" s="101"/>
      <c r="N107" s="31" t="s">
        <v>295</v>
      </c>
      <c r="O107" s="185">
        <f t="shared" ref="O107:AL107" si="29">SUM(O105:O106)</f>
        <v>0</v>
      </c>
      <c r="P107" s="185">
        <f t="shared" si="29"/>
        <v>0</v>
      </c>
      <c r="Q107" s="104">
        <f t="shared" si="29"/>
        <v>0</v>
      </c>
      <c r="R107" s="104" t="e">
        <f t="shared" si="29"/>
        <v>#REF!</v>
      </c>
      <c r="S107" s="104" t="e">
        <f t="shared" si="29"/>
        <v>#REF!</v>
      </c>
      <c r="T107" s="104">
        <f t="shared" si="29"/>
        <v>919.21362632299451</v>
      </c>
      <c r="U107" s="104">
        <f t="shared" si="29"/>
        <v>919.21362632299451</v>
      </c>
      <c r="V107" s="104">
        <f t="shared" si="29"/>
        <v>919.21362632299451</v>
      </c>
      <c r="W107" s="104">
        <f t="shared" si="29"/>
        <v>919.21362632299451</v>
      </c>
      <c r="X107" s="104">
        <f t="shared" si="29"/>
        <v>919.21362632299451</v>
      </c>
      <c r="Y107" s="104">
        <f t="shared" si="29"/>
        <v>919.21362632299451</v>
      </c>
      <c r="Z107" s="104">
        <f t="shared" si="29"/>
        <v>919.21362632299451</v>
      </c>
      <c r="AA107" s="104">
        <f t="shared" si="29"/>
        <v>919.21362632299451</v>
      </c>
      <c r="AB107" s="104">
        <f t="shared" si="29"/>
        <v>919.21362632299451</v>
      </c>
      <c r="AC107" s="104">
        <f t="shared" si="29"/>
        <v>919.21362632299451</v>
      </c>
      <c r="AD107" s="104">
        <f t="shared" si="29"/>
        <v>919.21362632299451</v>
      </c>
      <c r="AE107" s="104">
        <f t="shared" si="29"/>
        <v>919.21362632299451</v>
      </c>
      <c r="AF107" s="104">
        <f t="shared" si="29"/>
        <v>919.21362632299451</v>
      </c>
      <c r="AG107" s="104">
        <f t="shared" si="29"/>
        <v>919.21362632299451</v>
      </c>
      <c r="AH107" s="104">
        <f t="shared" si="29"/>
        <v>919.21362632299451</v>
      </c>
      <c r="AI107" s="104">
        <f t="shared" si="29"/>
        <v>919.21362632299451</v>
      </c>
      <c r="AJ107" s="104">
        <f t="shared" si="29"/>
        <v>919.21362632299451</v>
      </c>
      <c r="AK107" s="104">
        <f t="shared" si="29"/>
        <v>919.21362632299451</v>
      </c>
      <c r="AL107" s="104" t="e">
        <f t="shared" si="29"/>
        <v>#REF!</v>
      </c>
      <c r="AM107" s="69"/>
    </row>
    <row r="108" spans="1:42" s="17" customFormat="1" ht="20.100000000000001" customHeight="1">
      <c r="A108" s="38"/>
      <c r="B108" s="40"/>
      <c r="C108" s="40"/>
      <c r="D108" s="59"/>
      <c r="E108" s="58"/>
      <c r="F108" s="58"/>
      <c r="G108" s="58"/>
      <c r="M108" s="27" t="s">
        <v>11</v>
      </c>
      <c r="N108" s="18" t="s">
        <v>296</v>
      </c>
      <c r="O108" s="185"/>
      <c r="P108" s="185"/>
      <c r="Q108" s="104"/>
      <c r="R108" s="104"/>
      <c r="S108" s="104"/>
      <c r="T108" s="104"/>
      <c r="U108" s="104"/>
      <c r="V108" s="104"/>
      <c r="W108" s="104"/>
      <c r="X108" s="104"/>
      <c r="Y108" s="104"/>
      <c r="Z108" s="104"/>
      <c r="AA108" s="104"/>
      <c r="AB108" s="104"/>
      <c r="AC108" s="104"/>
      <c r="AD108" s="104"/>
      <c r="AE108" s="104"/>
      <c r="AF108" s="104"/>
      <c r="AG108" s="104"/>
      <c r="AH108" s="104"/>
      <c r="AI108" s="104"/>
      <c r="AJ108" s="104"/>
      <c r="AK108" s="104"/>
      <c r="AL108" s="104"/>
      <c r="AM108" s="69"/>
    </row>
    <row r="109" spans="1:42" s="17" customFormat="1" ht="20.100000000000001" customHeight="1">
      <c r="A109" s="38"/>
      <c r="B109" s="35"/>
      <c r="C109" s="38"/>
      <c r="D109" s="38"/>
      <c r="E109" s="32"/>
      <c r="F109" s="32"/>
      <c r="G109" s="32"/>
      <c r="M109" s="101">
        <v>1</v>
      </c>
      <c r="N109" s="17" t="s">
        <v>297</v>
      </c>
      <c r="O109" s="197" t="e">
        <f t="shared" ref="O109:AL109" si="30">+O107-O103+O102</f>
        <v>#REF!</v>
      </c>
      <c r="P109" s="197" t="e">
        <f t="shared" si="30"/>
        <v>#REF!</v>
      </c>
      <c r="Q109" s="102" t="e">
        <f t="shared" si="30"/>
        <v>#REF!</v>
      </c>
      <c r="R109" s="102" t="e">
        <f t="shared" si="30"/>
        <v>#REF!</v>
      </c>
      <c r="S109" s="102" t="e">
        <f t="shared" si="30"/>
        <v>#REF!</v>
      </c>
      <c r="T109" s="102" t="e">
        <f t="shared" si="30"/>
        <v>#REF!</v>
      </c>
      <c r="U109" s="102" t="e">
        <f t="shared" si="30"/>
        <v>#REF!</v>
      </c>
      <c r="V109" s="102" t="e">
        <f t="shared" si="30"/>
        <v>#REF!</v>
      </c>
      <c r="W109" s="102" t="e">
        <f t="shared" si="30"/>
        <v>#REF!</v>
      </c>
      <c r="X109" s="102" t="e">
        <f t="shared" si="30"/>
        <v>#REF!</v>
      </c>
      <c r="Y109" s="102" t="e">
        <f t="shared" si="30"/>
        <v>#REF!</v>
      </c>
      <c r="Z109" s="102" t="e">
        <f t="shared" si="30"/>
        <v>#REF!</v>
      </c>
      <c r="AA109" s="102" t="e">
        <f t="shared" si="30"/>
        <v>#REF!</v>
      </c>
      <c r="AB109" s="102" t="e">
        <f t="shared" si="30"/>
        <v>#REF!</v>
      </c>
      <c r="AC109" s="102" t="e">
        <f t="shared" si="30"/>
        <v>#REF!</v>
      </c>
      <c r="AD109" s="102" t="e">
        <f t="shared" si="30"/>
        <v>#REF!</v>
      </c>
      <c r="AE109" s="102" t="e">
        <f t="shared" si="30"/>
        <v>#REF!</v>
      </c>
      <c r="AF109" s="102" t="e">
        <f t="shared" si="30"/>
        <v>#REF!</v>
      </c>
      <c r="AG109" s="102" t="e">
        <f t="shared" si="30"/>
        <v>#REF!</v>
      </c>
      <c r="AH109" s="102" t="e">
        <f t="shared" si="30"/>
        <v>#REF!</v>
      </c>
      <c r="AI109" s="102" t="e">
        <f t="shared" si="30"/>
        <v>#REF!</v>
      </c>
      <c r="AJ109" s="102" t="e">
        <f t="shared" si="30"/>
        <v>#REF!</v>
      </c>
      <c r="AK109" s="102" t="e">
        <f t="shared" si="30"/>
        <v>#REF!</v>
      </c>
      <c r="AL109" s="102" t="e">
        <f t="shared" si="30"/>
        <v>#REF!</v>
      </c>
      <c r="AM109" s="69"/>
      <c r="AN109" s="105"/>
      <c r="AO109" s="105"/>
    </row>
    <row r="110" spans="1:42" s="17" customFormat="1" ht="20.100000000000001" customHeight="1">
      <c r="A110" s="38"/>
      <c r="B110" s="35"/>
      <c r="C110" s="38"/>
      <c r="D110" s="38"/>
      <c r="E110" s="32"/>
      <c r="F110" s="32"/>
      <c r="G110" s="32"/>
      <c r="M110" s="101">
        <v>2</v>
      </c>
      <c r="N110" s="17" t="s">
        <v>298</v>
      </c>
      <c r="O110" s="114" t="e">
        <f t="shared" ref="O110:AL110" si="31">+O107-O103</f>
        <v>#REF!</v>
      </c>
      <c r="P110" s="114" t="e">
        <f t="shared" si="31"/>
        <v>#REF!</v>
      </c>
      <c r="Q110" s="17" t="e">
        <f t="shared" si="31"/>
        <v>#REF!</v>
      </c>
      <c r="R110" s="17" t="e">
        <f t="shared" si="31"/>
        <v>#REF!</v>
      </c>
      <c r="S110" s="17" t="e">
        <f t="shared" si="31"/>
        <v>#REF!</v>
      </c>
      <c r="T110" s="17" t="e">
        <f t="shared" si="31"/>
        <v>#REF!</v>
      </c>
      <c r="U110" s="17" t="e">
        <f t="shared" si="31"/>
        <v>#REF!</v>
      </c>
      <c r="V110" s="17" t="e">
        <f t="shared" si="31"/>
        <v>#REF!</v>
      </c>
      <c r="W110" s="17" t="e">
        <f t="shared" si="31"/>
        <v>#REF!</v>
      </c>
      <c r="X110" s="17" t="e">
        <f t="shared" si="31"/>
        <v>#REF!</v>
      </c>
      <c r="Y110" s="17" t="e">
        <f t="shared" si="31"/>
        <v>#REF!</v>
      </c>
      <c r="Z110" s="17" t="e">
        <f t="shared" si="31"/>
        <v>#REF!</v>
      </c>
      <c r="AA110" s="17" t="e">
        <f t="shared" si="31"/>
        <v>#REF!</v>
      </c>
      <c r="AB110" s="17" t="e">
        <f t="shared" si="31"/>
        <v>#REF!</v>
      </c>
      <c r="AC110" s="17" t="e">
        <f t="shared" si="31"/>
        <v>#REF!</v>
      </c>
      <c r="AD110" s="17" t="e">
        <f t="shared" si="31"/>
        <v>#REF!</v>
      </c>
      <c r="AE110" s="17" t="e">
        <f t="shared" si="31"/>
        <v>#REF!</v>
      </c>
      <c r="AF110" s="17" t="e">
        <f t="shared" si="31"/>
        <v>#REF!</v>
      </c>
      <c r="AG110" s="17" t="e">
        <f t="shared" si="31"/>
        <v>#REF!</v>
      </c>
      <c r="AH110" s="17" t="e">
        <f t="shared" si="31"/>
        <v>#REF!</v>
      </c>
      <c r="AI110" s="17" t="e">
        <f t="shared" si="31"/>
        <v>#REF!</v>
      </c>
      <c r="AJ110" s="17" t="e">
        <f t="shared" si="31"/>
        <v>#REF!</v>
      </c>
      <c r="AK110" s="17" t="e">
        <f t="shared" si="31"/>
        <v>#REF!</v>
      </c>
      <c r="AL110" s="17" t="e">
        <f t="shared" si="31"/>
        <v>#REF!</v>
      </c>
      <c r="AM110" s="69"/>
      <c r="AN110" s="105"/>
    </row>
    <row r="111" spans="1:42" s="17" customFormat="1" ht="20.100000000000001" customHeight="1">
      <c r="A111" s="38"/>
      <c r="B111" s="35"/>
      <c r="C111" s="38"/>
      <c r="D111" s="38"/>
      <c r="E111" s="32"/>
      <c r="F111" s="32"/>
      <c r="G111" s="32"/>
      <c r="M111" s="27" t="s">
        <v>12</v>
      </c>
      <c r="N111" s="18" t="s">
        <v>738</v>
      </c>
      <c r="O111" s="114"/>
      <c r="P111" s="114"/>
      <c r="AJ111" s="69"/>
      <c r="AK111" s="69"/>
      <c r="AL111" s="69"/>
      <c r="AN111" s="105"/>
    </row>
    <row r="112" spans="1:42" s="17" customFormat="1" ht="20.100000000000001" customHeight="1">
      <c r="A112" s="38"/>
      <c r="B112" s="40"/>
      <c r="C112" s="40"/>
      <c r="D112" s="38"/>
      <c r="E112" s="32"/>
      <c r="F112" s="32"/>
      <c r="G112" s="32"/>
      <c r="M112" s="106">
        <v>1</v>
      </c>
      <c r="N112" s="17" t="s">
        <v>297</v>
      </c>
      <c r="O112" s="114" t="e">
        <f>NPV(M90,O109:AL109)</f>
        <v>#REF!</v>
      </c>
      <c r="P112" s="114"/>
      <c r="AJ112" s="69"/>
      <c r="AK112" s="69"/>
      <c r="AL112" s="69"/>
      <c r="AN112" s="105"/>
    </row>
    <row r="113" spans="1:40" s="17" customFormat="1" ht="20.100000000000001" customHeight="1">
      <c r="A113" s="38"/>
      <c r="B113" s="38"/>
      <c r="C113" s="38"/>
      <c r="D113" s="59"/>
      <c r="E113" s="58"/>
      <c r="F113" s="58"/>
      <c r="G113" s="58"/>
      <c r="M113" s="101">
        <v>2</v>
      </c>
      <c r="N113" s="17" t="s">
        <v>299</v>
      </c>
      <c r="O113" s="114" t="e">
        <f>NPV(M90,O110:AL110)</f>
        <v>#REF!</v>
      </c>
      <c r="P113" s="114"/>
      <c r="AJ113" s="69"/>
      <c r="AK113" s="69"/>
      <c r="AL113" s="69"/>
      <c r="AN113" s="105"/>
    </row>
    <row r="114" spans="1:40" s="17" customFormat="1" ht="20.100000000000001" customHeight="1">
      <c r="A114" s="38"/>
      <c r="B114" s="76"/>
      <c r="C114" s="38"/>
      <c r="D114" s="38"/>
      <c r="E114" s="32"/>
      <c r="F114" s="32"/>
      <c r="G114" s="32"/>
      <c r="M114" s="27" t="s">
        <v>13</v>
      </c>
      <c r="N114" s="18" t="s">
        <v>300</v>
      </c>
      <c r="O114" s="114"/>
      <c r="P114" s="114"/>
      <c r="AJ114" s="69"/>
      <c r="AK114" s="69"/>
      <c r="AL114" s="69"/>
      <c r="AN114" s="105"/>
    </row>
    <row r="115" spans="1:40" s="17" customFormat="1" ht="20.100000000000001" customHeight="1">
      <c r="A115" s="38"/>
      <c r="B115" s="52"/>
      <c r="C115" s="52"/>
      <c r="D115" s="38"/>
      <c r="E115" s="58"/>
      <c r="F115" s="58"/>
      <c r="G115" s="58"/>
      <c r="M115" s="101">
        <v>1</v>
      </c>
      <c r="N115" s="17" t="s">
        <v>297</v>
      </c>
      <c r="O115" s="198" t="e">
        <f>IRR(O109:AL109)</f>
        <v>#VALUE!</v>
      </c>
      <c r="P115" s="114"/>
      <c r="AJ115" s="69"/>
      <c r="AK115" s="69"/>
      <c r="AL115" s="69"/>
      <c r="AN115" s="105"/>
    </row>
    <row r="116" spans="1:40" s="17" customFormat="1" ht="20.100000000000001" customHeight="1">
      <c r="B116" s="32"/>
      <c r="C116" s="52"/>
      <c r="D116" s="38"/>
      <c r="M116" s="41">
        <v>2</v>
      </c>
      <c r="N116" s="17" t="s">
        <v>299</v>
      </c>
      <c r="O116" s="198" t="e">
        <f>IRR(O110:AL110)</f>
        <v>#VALUE!</v>
      </c>
      <c r="P116" s="144"/>
      <c r="AJ116" s="69"/>
      <c r="AK116" s="69"/>
      <c r="AL116" s="69"/>
    </row>
    <row r="117" spans="1:40" s="17" customFormat="1">
      <c r="A117" s="38"/>
      <c r="B117" s="32"/>
      <c r="C117" s="32"/>
      <c r="D117" s="59"/>
      <c r="M117" s="41"/>
      <c r="O117" s="198"/>
      <c r="P117" s="144"/>
    </row>
    <row r="118" spans="1:40" s="17" customFormat="1">
      <c r="B118" s="52"/>
      <c r="C118" s="38"/>
      <c r="D118" s="38"/>
      <c r="N118" s="66"/>
      <c r="O118" s="199"/>
      <c r="P118" s="199"/>
      <c r="Q118" s="107"/>
      <c r="R118" s="107"/>
      <c r="S118" s="107"/>
      <c r="T118" s="107"/>
      <c r="U118" s="107"/>
      <c r="V118" s="107"/>
      <c r="W118" s="107"/>
      <c r="X118" s="107"/>
      <c r="Y118" s="107"/>
      <c r="Z118" s="107"/>
      <c r="AA118" s="107"/>
      <c r="AB118" s="107"/>
      <c r="AC118" s="107"/>
      <c r="AD118" s="107"/>
      <c r="AE118" s="107"/>
      <c r="AF118" s="107"/>
      <c r="AG118" s="107"/>
      <c r="AH118" s="107"/>
      <c r="AI118" s="107"/>
      <c r="AJ118" s="107"/>
      <c r="AK118" s="107"/>
      <c r="AL118" s="107"/>
    </row>
  </sheetData>
  <mergeCells count="62">
    <mergeCell ref="A5:G5"/>
    <mergeCell ref="A6:G6"/>
    <mergeCell ref="A7:G7"/>
    <mergeCell ref="A8:G8"/>
    <mergeCell ref="B10:E10"/>
    <mergeCell ref="H10:J10"/>
    <mergeCell ref="B11:E11"/>
    <mergeCell ref="H11:J11"/>
    <mergeCell ref="B12:E12"/>
    <mergeCell ref="H12:J12"/>
    <mergeCell ref="B13:E13"/>
    <mergeCell ref="H13:J13"/>
    <mergeCell ref="B14:E14"/>
    <mergeCell ref="H14:J14"/>
    <mergeCell ref="B15:E15"/>
    <mergeCell ref="H15:J15"/>
    <mergeCell ref="B16:E16"/>
    <mergeCell ref="H16:J16"/>
    <mergeCell ref="B17:E17"/>
    <mergeCell ref="H17:J17"/>
    <mergeCell ref="B18:E18"/>
    <mergeCell ref="H18:J18"/>
    <mergeCell ref="B19:E19"/>
    <mergeCell ref="H19:J19"/>
    <mergeCell ref="B20:E20"/>
    <mergeCell ref="H20:J20"/>
    <mergeCell ref="B21:E21"/>
    <mergeCell ref="H21:J21"/>
    <mergeCell ref="B22:E22"/>
    <mergeCell ref="H22:J22"/>
    <mergeCell ref="B29:E29"/>
    <mergeCell ref="B23:E23"/>
    <mergeCell ref="H23:J23"/>
    <mergeCell ref="B24:E24"/>
    <mergeCell ref="H24:J24"/>
    <mergeCell ref="B25:E25"/>
    <mergeCell ref="H25:J25"/>
    <mergeCell ref="H30:J30"/>
    <mergeCell ref="B31:E31"/>
    <mergeCell ref="B32:E32"/>
    <mergeCell ref="B33:E33"/>
    <mergeCell ref="B34:E34"/>
    <mergeCell ref="B26:E26"/>
    <mergeCell ref="H26:J26"/>
    <mergeCell ref="B27:E27"/>
    <mergeCell ref="B28:E28"/>
    <mergeCell ref="H28:J28"/>
    <mergeCell ref="B35:E35"/>
    <mergeCell ref="B36:E36"/>
    <mergeCell ref="B37:E37"/>
    <mergeCell ref="B38:E38"/>
    <mergeCell ref="B39:E39"/>
    <mergeCell ref="B30:E30"/>
    <mergeCell ref="A46:E46"/>
    <mergeCell ref="H64:I64"/>
    <mergeCell ref="H78:I78"/>
    <mergeCell ref="B40:E40"/>
    <mergeCell ref="B41:E41"/>
    <mergeCell ref="B42:E42"/>
    <mergeCell ref="B43:E43"/>
    <mergeCell ref="B44:E44"/>
    <mergeCell ref="B45:E45"/>
  </mergeCells>
  <printOptions horizontalCentered="1" verticalCentered="1"/>
  <pageMargins left="0.11811023622047245" right="0.11811023622047245" top="0.35433070866141736" bottom="0.19685039370078741" header="0.31496062992125984" footer="0.31496062992125984"/>
  <pageSetup paperSize="9" scale="5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BY118"/>
  <sheetViews>
    <sheetView showZeros="0" topLeftCell="A15" workbookViewId="0">
      <selection activeCell="G17" sqref="G17"/>
    </sheetView>
  </sheetViews>
  <sheetFormatPr defaultColWidth="10.1796875" defaultRowHeight="15"/>
  <cols>
    <col min="1" max="1" width="5.54296875" style="42" customWidth="1"/>
    <col min="2" max="4" width="10.1796875" style="42"/>
    <col min="5" max="5" width="8.6328125" style="42" customWidth="1"/>
    <col min="6" max="6" width="12" style="42" customWidth="1"/>
    <col min="7" max="7" width="11.90625" style="42" customWidth="1"/>
    <col min="8" max="8" width="12.54296875" style="42" customWidth="1"/>
    <col min="9" max="9" width="9" style="42" customWidth="1"/>
    <col min="10" max="10" width="8" style="42" customWidth="1"/>
    <col min="11" max="11" width="18.36328125" style="383" customWidth="1"/>
    <col min="12" max="13" width="10.1796875" style="42"/>
    <col min="14" max="14" width="12.453125" style="42" customWidth="1"/>
    <col min="15" max="16384" width="10.1796875" style="42"/>
  </cols>
  <sheetData>
    <row r="4" spans="1:26" ht="15.6">
      <c r="G4" s="43" t="s">
        <v>322</v>
      </c>
      <c r="H4" s="43"/>
      <c r="J4" s="44"/>
      <c r="K4" s="413"/>
    </row>
    <row r="5" spans="1:26" s="219" customFormat="1" ht="21" customHeight="1">
      <c r="A5" s="1692" t="e">
        <f>#REF!</f>
        <v>#REF!</v>
      </c>
      <c r="B5" s="1692"/>
      <c r="C5" s="1692"/>
      <c r="D5" s="1692"/>
      <c r="E5" s="1692"/>
      <c r="F5" s="1692"/>
      <c r="G5" s="1692"/>
      <c r="H5" s="218"/>
      <c r="J5" s="220"/>
      <c r="K5" s="414"/>
    </row>
    <row r="6" spans="1:26" s="219" customFormat="1" ht="21.75" customHeight="1">
      <c r="A6" s="1693" t="e">
        <f>#REF!</f>
        <v>#REF!</v>
      </c>
      <c r="B6" s="1693"/>
      <c r="C6" s="1693"/>
      <c r="D6" s="1693"/>
      <c r="E6" s="1693"/>
      <c r="F6" s="1693"/>
      <c r="G6" s="1693"/>
      <c r="H6" s="218"/>
      <c r="J6" s="262"/>
      <c r="K6" s="415"/>
    </row>
    <row r="7" spans="1:26" s="219" customFormat="1" ht="22.5" customHeight="1">
      <c r="A7" s="1694" t="e">
        <f>#REF!</f>
        <v>#REF!</v>
      </c>
      <c r="B7" s="1694"/>
      <c r="C7" s="1694"/>
      <c r="D7" s="1694"/>
      <c r="E7" s="1694"/>
      <c r="F7" s="1694"/>
      <c r="G7" s="1694"/>
      <c r="H7" s="218"/>
      <c r="J7" s="220"/>
      <c r="K7" s="414"/>
    </row>
    <row r="8" spans="1:26" ht="18" customHeight="1">
      <c r="A8" s="1695" t="s">
        <v>1459</v>
      </c>
      <c r="B8" s="1695"/>
      <c r="C8" s="1695"/>
      <c r="D8" s="1695"/>
      <c r="E8" s="1695"/>
      <c r="F8" s="1695"/>
      <c r="G8" s="1695"/>
      <c r="H8" s="45"/>
    </row>
    <row r="9" spans="1:26" s="150" customFormat="1" ht="18" customHeight="1">
      <c r="B9" s="145"/>
      <c r="C9" s="145"/>
      <c r="D9" s="145"/>
      <c r="E9" s="145"/>
      <c r="F9" s="145"/>
      <c r="G9" s="182" t="e">
        <f>#REF!</f>
        <v>#REF!</v>
      </c>
      <c r="H9" s="145"/>
      <c r="K9" s="210"/>
    </row>
    <row r="10" spans="1:26" s="150" customFormat="1" ht="21" customHeight="1">
      <c r="A10" s="141" t="s">
        <v>9</v>
      </c>
      <c r="B10" s="1696" t="s">
        <v>223</v>
      </c>
      <c r="C10" s="1697"/>
      <c r="D10" s="1697"/>
      <c r="E10" s="1698"/>
      <c r="F10" s="141" t="s">
        <v>2</v>
      </c>
      <c r="G10" s="209" t="s">
        <v>584</v>
      </c>
      <c r="H10" s="1699" t="s">
        <v>603</v>
      </c>
      <c r="I10" s="1699"/>
      <c r="J10" s="1699"/>
      <c r="K10" s="410"/>
      <c r="L10" s="152"/>
      <c r="N10" s="151"/>
      <c r="O10" s="152"/>
      <c r="R10" s="152"/>
      <c r="U10" s="136"/>
      <c r="V10" s="136"/>
      <c r="W10" s="136"/>
      <c r="X10" s="392"/>
      <c r="Y10" s="136"/>
      <c r="Z10" s="136"/>
    </row>
    <row r="11" spans="1:26" ht="39.75" customHeight="1">
      <c r="A11" s="135">
        <v>1</v>
      </c>
      <c r="B11" s="1686" t="s">
        <v>592</v>
      </c>
      <c r="C11" s="1687"/>
      <c r="D11" s="1687"/>
      <c r="E11" s="1688"/>
      <c r="F11" s="135" t="s">
        <v>4</v>
      </c>
      <c r="G11" s="471">
        <f>F51</f>
        <v>670000</v>
      </c>
      <c r="H11" s="1670" t="s">
        <v>1463</v>
      </c>
      <c r="I11" s="1671"/>
      <c r="J11" s="1672"/>
      <c r="K11" s="391"/>
      <c r="L11" s="47"/>
      <c r="N11" s="46"/>
      <c r="O11" s="47"/>
      <c r="R11" s="47"/>
      <c r="U11" s="493"/>
      <c r="V11" s="493"/>
      <c r="W11" s="493"/>
      <c r="X11" s="703"/>
      <c r="Y11" s="493"/>
      <c r="Z11" s="493"/>
    </row>
    <row r="12" spans="1:26" ht="52.5" customHeight="1">
      <c r="A12" s="135">
        <f>A11+1</f>
        <v>2</v>
      </c>
      <c r="B12" s="1686" t="s">
        <v>751</v>
      </c>
      <c r="C12" s="1687"/>
      <c r="D12" s="1687"/>
      <c r="E12" s="1688"/>
      <c r="F12" s="135" t="s">
        <v>229</v>
      </c>
      <c r="G12" s="631">
        <f>'Coal &amp; Coke Data'!G18</f>
        <v>25545.454545454544</v>
      </c>
      <c r="H12" s="1670" t="s">
        <v>1461</v>
      </c>
      <c r="I12" s="1671"/>
      <c r="J12" s="1672"/>
      <c r="K12" s="108"/>
      <c r="L12" s="47"/>
      <c r="N12" s="46"/>
      <c r="P12" s="47"/>
      <c r="Q12" s="47"/>
      <c r="R12" s="47"/>
      <c r="U12" s="493"/>
      <c r="V12" s="493"/>
      <c r="W12" s="493"/>
      <c r="X12" s="493"/>
      <c r="Y12" s="493"/>
      <c r="Z12" s="493"/>
    </row>
    <row r="13" spans="1:26" ht="70.5" customHeight="1">
      <c r="A13" s="135">
        <f t="shared" ref="A13:A30" si="0">A12+1</f>
        <v>3</v>
      </c>
      <c r="B13" s="1686" t="s">
        <v>585</v>
      </c>
      <c r="C13" s="1687"/>
      <c r="D13" s="1687"/>
      <c r="E13" s="1688"/>
      <c r="F13" s="135" t="s">
        <v>229</v>
      </c>
      <c r="G13" s="471">
        <f>G12*70/67</f>
        <v>26689.280868385344</v>
      </c>
      <c r="H13" s="1691" t="s">
        <v>1464</v>
      </c>
      <c r="I13" s="1691"/>
      <c r="J13" s="1691"/>
      <c r="K13" s="108"/>
      <c r="L13" s="47"/>
      <c r="N13" s="46"/>
      <c r="P13" s="47"/>
      <c r="Q13" s="47"/>
      <c r="R13" s="47"/>
      <c r="U13" s="493"/>
      <c r="V13" s="493"/>
      <c r="W13" s="493"/>
      <c r="X13" s="493"/>
      <c r="Y13" s="493"/>
      <c r="Z13" s="493"/>
    </row>
    <row r="14" spans="1:26" ht="39" customHeight="1">
      <c r="A14" s="135">
        <f t="shared" si="0"/>
        <v>4</v>
      </c>
      <c r="B14" s="1686" t="s">
        <v>593</v>
      </c>
      <c r="C14" s="1687"/>
      <c r="D14" s="1687"/>
      <c r="E14" s="1688"/>
      <c r="F14" s="135" t="s">
        <v>4</v>
      </c>
      <c r="G14" s="471">
        <f>F49*1.02</f>
        <v>1020000</v>
      </c>
      <c r="H14" s="1689"/>
      <c r="I14" s="1689"/>
      <c r="J14" s="1689"/>
      <c r="K14" s="416"/>
      <c r="L14" s="701"/>
      <c r="M14" s="701"/>
      <c r="N14" s="701"/>
      <c r="O14" s="701"/>
      <c r="P14" s="701"/>
      <c r="Q14" s="701"/>
      <c r="R14" s="701"/>
      <c r="S14" s="701"/>
      <c r="T14" s="701"/>
      <c r="U14" s="699"/>
      <c r="V14" s="699"/>
      <c r="W14" s="699"/>
      <c r="X14" s="699"/>
      <c r="Y14" s="493"/>
      <c r="Z14" s="493"/>
    </row>
    <row r="15" spans="1:26" ht="42.75" customHeight="1">
      <c r="A15" s="135">
        <f t="shared" si="0"/>
        <v>5</v>
      </c>
      <c r="B15" s="1670" t="s">
        <v>1462</v>
      </c>
      <c r="C15" s="1671"/>
      <c r="D15" s="1671"/>
      <c r="E15" s="1672"/>
      <c r="F15" s="406" t="s">
        <v>586</v>
      </c>
      <c r="G15" s="631">
        <f>'Coal &amp; Coke Data'!I15</f>
        <v>10885.0123</v>
      </c>
      <c r="H15" s="1670" t="s">
        <v>1465</v>
      </c>
      <c r="I15" s="1671"/>
      <c r="J15" s="1672"/>
      <c r="K15" s="108"/>
      <c r="L15" s="702"/>
      <c r="M15" s="702"/>
      <c r="N15" s="702"/>
      <c r="O15" s="702"/>
      <c r="P15" s="702"/>
      <c r="Q15" s="702"/>
      <c r="R15" s="702"/>
      <c r="S15" s="702"/>
      <c r="T15" s="702"/>
      <c r="U15" s="700"/>
      <c r="V15" s="700"/>
      <c r="W15" s="700"/>
      <c r="X15" s="700"/>
      <c r="Y15" s="493"/>
      <c r="Z15" s="493"/>
    </row>
    <row r="16" spans="1:26" ht="42" customHeight="1">
      <c r="A16" s="135">
        <f t="shared" si="0"/>
        <v>6</v>
      </c>
      <c r="B16" s="1680" t="s">
        <v>587</v>
      </c>
      <c r="C16" s="1681"/>
      <c r="D16" s="1681"/>
      <c r="E16" s="1682"/>
      <c r="F16" s="406" t="s">
        <v>589</v>
      </c>
      <c r="G16" s="471">
        <f>G14*G15/G11</f>
        <v>16571.212755223882</v>
      </c>
      <c r="H16" s="1689"/>
      <c r="I16" s="1689"/>
      <c r="J16" s="1689"/>
      <c r="K16" s="417"/>
      <c r="L16" s="702"/>
      <c r="M16" s="702"/>
      <c r="N16" s="702"/>
      <c r="O16" s="702"/>
      <c r="P16" s="702"/>
      <c r="Q16" s="702"/>
      <c r="R16" s="702"/>
      <c r="S16" s="702"/>
      <c r="T16" s="702"/>
      <c r="U16" s="700"/>
      <c r="V16" s="700"/>
      <c r="W16" s="700"/>
      <c r="X16" s="700"/>
      <c r="Y16" s="700"/>
      <c r="Z16" s="493"/>
    </row>
    <row r="17" spans="1:18" ht="66.75" customHeight="1">
      <c r="A17" s="135">
        <f t="shared" si="0"/>
        <v>7</v>
      </c>
      <c r="B17" s="1686" t="s">
        <v>928</v>
      </c>
      <c r="C17" s="1687"/>
      <c r="D17" s="1687"/>
      <c r="E17" s="1688"/>
      <c r="F17" s="406" t="str">
        <f>F16</f>
        <v>Rs/t of BF coke</v>
      </c>
      <c r="G17" s="533">
        <f>((272.76+2439.67+528.23)*1731603/1446351+138.92+29.4+284.23)*0+'TE Tall 5'!D22+5*G26*G14/G11</f>
        <v>3217.2104477611938</v>
      </c>
      <c r="H17" s="1691" t="s">
        <v>1466</v>
      </c>
      <c r="I17" s="1691"/>
      <c r="J17" s="1691"/>
      <c r="K17" s="418"/>
      <c r="L17" s="47"/>
      <c r="N17" s="46"/>
      <c r="P17" s="47"/>
      <c r="Q17" s="47"/>
      <c r="R17" s="47"/>
    </row>
    <row r="18" spans="1:18" ht="34.5" customHeight="1">
      <c r="A18" s="135">
        <f t="shared" si="0"/>
        <v>8</v>
      </c>
      <c r="B18" s="1686" t="s">
        <v>929</v>
      </c>
      <c r="C18" s="1687"/>
      <c r="D18" s="1687"/>
      <c r="E18" s="1688"/>
      <c r="F18" s="406" t="s">
        <v>589</v>
      </c>
      <c r="G18" s="472">
        <f>(G16+G17)</f>
        <v>19788.423202985075</v>
      </c>
      <c r="H18" s="1691"/>
      <c r="I18" s="1691"/>
      <c r="J18" s="1691"/>
      <c r="K18" s="108"/>
    </row>
    <row r="19" spans="1:18" ht="45.75" customHeight="1">
      <c r="A19" s="135">
        <f>A18+1</f>
        <v>9</v>
      </c>
      <c r="B19" s="1686" t="s">
        <v>772</v>
      </c>
      <c r="C19" s="1687"/>
      <c r="D19" s="1687"/>
      <c r="E19" s="1688"/>
      <c r="F19" s="406" t="s">
        <v>589</v>
      </c>
      <c r="G19" s="532">
        <f>(652.05+137.98+309.29)</f>
        <v>1099.32</v>
      </c>
      <c r="H19" s="1691" t="str">
        <f>H17</f>
        <v>As per RSP Std cost sheet 2021-22</v>
      </c>
      <c r="I19" s="1691"/>
      <c r="J19" s="1691"/>
      <c r="K19" s="710"/>
    </row>
    <row r="20" spans="1:18" ht="43.5" customHeight="1">
      <c r="A20" s="135">
        <f t="shared" si="0"/>
        <v>10</v>
      </c>
      <c r="B20" s="1686" t="s">
        <v>590</v>
      </c>
      <c r="C20" s="1687"/>
      <c r="D20" s="1687"/>
      <c r="E20" s="1688"/>
      <c r="F20" s="406" t="s">
        <v>589</v>
      </c>
      <c r="G20" s="472">
        <f>G18+G19</f>
        <v>20887.743202985075</v>
      </c>
      <c r="H20" s="1691" t="s">
        <v>596</v>
      </c>
      <c r="I20" s="1691"/>
      <c r="J20" s="1691"/>
      <c r="K20" s="710"/>
    </row>
    <row r="21" spans="1:18" ht="43.5" customHeight="1">
      <c r="A21" s="135">
        <f t="shared" si="0"/>
        <v>11</v>
      </c>
      <c r="B21" s="1686" t="s">
        <v>595</v>
      </c>
      <c r="C21" s="1687"/>
      <c r="D21" s="1687"/>
      <c r="E21" s="1688"/>
      <c r="F21" s="406" t="s">
        <v>591</v>
      </c>
      <c r="G21" s="472">
        <f>320*F49</f>
        <v>320000000</v>
      </c>
      <c r="H21" s="1689"/>
      <c r="I21" s="1689"/>
      <c r="J21" s="1689"/>
      <c r="K21" s="710"/>
      <c r="L21" s="47"/>
      <c r="N21" s="46"/>
      <c r="P21" s="47"/>
      <c r="Q21" s="47"/>
      <c r="R21" s="47"/>
    </row>
    <row r="22" spans="1:18" ht="39" customHeight="1">
      <c r="A22" s="135">
        <f>A21+1</f>
        <v>12</v>
      </c>
      <c r="B22" s="1686" t="s">
        <v>597</v>
      </c>
      <c r="C22" s="1687"/>
      <c r="D22" s="1687"/>
      <c r="E22" s="1688"/>
      <c r="F22" s="135" t="s">
        <v>598</v>
      </c>
      <c r="G22" s="532">
        <v>1338</v>
      </c>
      <c r="H22" s="1670" t="str">
        <f>H19</f>
        <v>As per RSP Std cost sheet 2021-22</v>
      </c>
      <c r="I22" s="1671"/>
      <c r="J22" s="1672"/>
      <c r="K22" s="716"/>
      <c r="L22" s="47"/>
      <c r="N22" s="46"/>
      <c r="P22" s="47"/>
      <c r="Q22" s="47"/>
      <c r="R22" s="47"/>
    </row>
    <row r="23" spans="1:18" ht="32.25" customHeight="1">
      <c r="A23" s="135">
        <f t="shared" si="0"/>
        <v>13</v>
      </c>
      <c r="B23" s="1686" t="s">
        <v>594</v>
      </c>
      <c r="C23" s="1687"/>
      <c r="D23" s="1687"/>
      <c r="E23" s="1688"/>
      <c r="F23" s="406" t="s">
        <v>4</v>
      </c>
      <c r="G23" s="472">
        <f>F55</f>
        <v>32000</v>
      </c>
      <c r="H23" s="1689"/>
      <c r="I23" s="1689"/>
      <c r="J23" s="1689"/>
      <c r="K23" s="391"/>
      <c r="L23" s="47"/>
      <c r="N23" s="46"/>
      <c r="P23" s="47"/>
      <c r="Q23" s="47"/>
      <c r="R23" s="47"/>
    </row>
    <row r="24" spans="1:18" ht="39" customHeight="1">
      <c r="A24" s="135">
        <f t="shared" si="0"/>
        <v>14</v>
      </c>
      <c r="B24" s="1686" t="s">
        <v>599</v>
      </c>
      <c r="C24" s="1687"/>
      <c r="D24" s="1687"/>
      <c r="E24" s="1688"/>
      <c r="F24" s="135" t="s">
        <v>598</v>
      </c>
      <c r="G24" s="532">
        <f>G22</f>
        <v>1338</v>
      </c>
      <c r="H24" s="1670" t="str">
        <f>H22</f>
        <v>As per RSP Std cost sheet 2021-22</v>
      </c>
      <c r="I24" s="1671"/>
      <c r="J24" s="1672"/>
      <c r="K24" s="711"/>
      <c r="L24" s="47"/>
      <c r="N24" s="46"/>
      <c r="P24" s="47"/>
      <c r="Q24" s="47"/>
      <c r="R24" s="47"/>
    </row>
    <row r="25" spans="1:18" ht="35.25" customHeight="1">
      <c r="A25" s="135">
        <f t="shared" si="0"/>
        <v>15</v>
      </c>
      <c r="B25" s="1670" t="s">
        <v>773</v>
      </c>
      <c r="C25" s="1671"/>
      <c r="D25" s="1671"/>
      <c r="E25" s="1672"/>
      <c r="F25" s="135" t="s">
        <v>600</v>
      </c>
      <c r="G25" s="471">
        <f>5*10^3*24*345</f>
        <v>41400000</v>
      </c>
      <c r="H25" s="1690"/>
      <c r="I25" s="1690"/>
      <c r="J25" s="1690"/>
      <c r="K25" s="412"/>
      <c r="L25" s="47"/>
      <c r="N25" s="46"/>
      <c r="P25" s="47"/>
      <c r="Q25" s="47"/>
      <c r="R25" s="47"/>
    </row>
    <row r="26" spans="1:18" ht="44.25" customHeight="1">
      <c r="A26" s="135">
        <f t="shared" si="0"/>
        <v>16</v>
      </c>
      <c r="B26" s="1680" t="s">
        <v>752</v>
      </c>
      <c r="C26" s="1681"/>
      <c r="D26" s="1681"/>
      <c r="E26" s="1682"/>
      <c r="F26" s="135" t="s">
        <v>339</v>
      </c>
      <c r="G26" s="1212">
        <v>6.6369999999999996</v>
      </c>
      <c r="H26" s="1670" t="str">
        <f>H24</f>
        <v>As per RSP Std cost sheet 2021-22</v>
      </c>
      <c r="I26" s="1671"/>
      <c r="J26" s="1672"/>
      <c r="K26" s="711"/>
      <c r="L26" s="47"/>
      <c r="N26" s="46"/>
      <c r="P26" s="47"/>
      <c r="Q26" s="47"/>
      <c r="R26" s="47"/>
    </row>
    <row r="27" spans="1:18" ht="33.75" customHeight="1">
      <c r="A27" s="135">
        <f t="shared" si="0"/>
        <v>17</v>
      </c>
      <c r="B27" s="1670" t="s">
        <v>770</v>
      </c>
      <c r="C27" s="1671"/>
      <c r="D27" s="1671"/>
      <c r="E27" s="1672"/>
      <c r="F27" s="406" t="s">
        <v>4</v>
      </c>
      <c r="G27" s="472">
        <f>52*24*345</f>
        <v>430560</v>
      </c>
      <c r="H27" s="108"/>
      <c r="I27" s="180"/>
      <c r="J27" s="180"/>
      <c r="K27" s="180"/>
      <c r="L27" s="47"/>
      <c r="N27" s="46"/>
      <c r="P27" s="47"/>
      <c r="Q27" s="47"/>
      <c r="R27" s="47"/>
    </row>
    <row r="28" spans="1:18" ht="41.4" customHeight="1">
      <c r="A28" s="135">
        <f t="shared" si="0"/>
        <v>18</v>
      </c>
      <c r="B28" s="1680" t="s">
        <v>897</v>
      </c>
      <c r="C28" s="1681"/>
      <c r="D28" s="1681"/>
      <c r="E28" s="1682"/>
      <c r="F28" s="135" t="s">
        <v>229</v>
      </c>
      <c r="G28" s="532">
        <v>1218</v>
      </c>
      <c r="H28" s="1670" t="str">
        <f>H26</f>
        <v>As per RSP Std cost sheet 2021-22</v>
      </c>
      <c r="I28" s="1671"/>
      <c r="J28" s="1672"/>
      <c r="K28" s="712"/>
      <c r="L28" s="47"/>
      <c r="N28" s="46"/>
      <c r="P28" s="47"/>
      <c r="Q28" s="47"/>
      <c r="R28" s="47"/>
    </row>
    <row r="29" spans="1:18" s="210" customFormat="1" ht="22.5" customHeight="1">
      <c r="A29" s="135">
        <f>A28+1</f>
        <v>19</v>
      </c>
      <c r="B29" s="1670" t="s">
        <v>774</v>
      </c>
      <c r="C29" s="1671"/>
      <c r="D29" s="1671"/>
      <c r="E29" s="1672"/>
      <c r="F29" s="5" t="s">
        <v>4</v>
      </c>
      <c r="G29" s="471">
        <f>F52</f>
        <v>90000</v>
      </c>
      <c r="H29" s="214"/>
      <c r="I29" s="208"/>
      <c r="J29" s="208"/>
      <c r="K29" s="208"/>
      <c r="L29" s="212"/>
      <c r="N29" s="211"/>
      <c r="P29" s="212"/>
      <c r="Q29" s="212"/>
      <c r="R29" s="212"/>
    </row>
    <row r="30" spans="1:18" s="210" customFormat="1" ht="49.5" customHeight="1">
      <c r="A30" s="135">
        <f t="shared" si="0"/>
        <v>20</v>
      </c>
      <c r="B30" s="1670" t="s">
        <v>775</v>
      </c>
      <c r="C30" s="1671"/>
      <c r="D30" s="1671"/>
      <c r="E30" s="1672"/>
      <c r="F30" s="5" t="s">
        <v>229</v>
      </c>
      <c r="G30" s="631">
        <v>11488</v>
      </c>
      <c r="H30" s="1670" t="s">
        <v>1467</v>
      </c>
      <c r="I30" s="1671"/>
      <c r="J30" s="1672"/>
      <c r="K30" s="712" t="s">
        <v>912</v>
      </c>
      <c r="L30" s="212"/>
      <c r="N30" s="211"/>
      <c r="P30" s="212"/>
      <c r="Q30" s="212"/>
      <c r="R30" s="212"/>
    </row>
    <row r="31" spans="1:18" s="210" customFormat="1" ht="36" hidden="1" customHeight="1">
      <c r="A31" s="5"/>
      <c r="B31" s="1683" t="s">
        <v>601</v>
      </c>
      <c r="C31" s="1684"/>
      <c r="D31" s="1684"/>
      <c r="E31" s="1685"/>
      <c r="F31" s="15" t="s">
        <v>4</v>
      </c>
      <c r="G31" s="708">
        <f>41004*0</f>
        <v>0</v>
      </c>
      <c r="H31" s="214"/>
      <c r="I31" s="208"/>
      <c r="J31" s="208"/>
      <c r="K31" s="208"/>
      <c r="L31" s="212"/>
      <c r="N31" s="211"/>
      <c r="P31" s="212"/>
      <c r="Q31" s="212"/>
      <c r="R31" s="212"/>
    </row>
    <row r="32" spans="1:18" s="210" customFormat="1" ht="36" hidden="1" customHeight="1">
      <c r="A32" s="5"/>
      <c r="B32" s="1683" t="s">
        <v>602</v>
      </c>
      <c r="C32" s="1684"/>
      <c r="D32" s="1684"/>
      <c r="E32" s="1685"/>
      <c r="F32" s="15" t="s">
        <v>4</v>
      </c>
      <c r="G32" s="708">
        <f>18451*0</f>
        <v>0</v>
      </c>
      <c r="H32" s="214"/>
      <c r="I32" s="208"/>
      <c r="J32" s="208"/>
      <c r="K32" s="208"/>
      <c r="L32" s="212"/>
      <c r="N32" s="211"/>
      <c r="P32" s="212"/>
      <c r="Q32" s="212"/>
      <c r="R32" s="212"/>
    </row>
    <row r="33" spans="1:18" s="150" customFormat="1" ht="21.75" customHeight="1">
      <c r="A33" s="141" t="s">
        <v>10</v>
      </c>
      <c r="B33" s="1674" t="s">
        <v>340</v>
      </c>
      <c r="C33" s="1675"/>
      <c r="D33" s="1675"/>
      <c r="E33" s="1676"/>
      <c r="F33" s="149"/>
      <c r="G33" s="147"/>
      <c r="H33" s="473"/>
      <c r="I33" s="210"/>
      <c r="J33" s="210"/>
      <c r="K33" s="210"/>
      <c r="L33" s="152"/>
      <c r="N33" s="151"/>
      <c r="P33" s="152"/>
      <c r="Q33" s="152"/>
      <c r="R33" s="152"/>
    </row>
    <row r="34" spans="1:18" ht="36" customHeight="1">
      <c r="A34" s="135">
        <v>1</v>
      </c>
      <c r="B34" s="1686" t="s">
        <v>331</v>
      </c>
      <c r="C34" s="1687"/>
      <c r="D34" s="1687"/>
      <c r="E34" s="1688"/>
      <c r="F34" s="135" t="s">
        <v>272</v>
      </c>
      <c r="G34" s="174">
        <f>G11*G13/10^7</f>
        <v>1788.181818181818</v>
      </c>
      <c r="H34" s="474"/>
      <c r="I34" s="383"/>
      <c r="J34" s="383"/>
      <c r="L34" s="47"/>
      <c r="N34" s="46"/>
      <c r="P34" s="47"/>
      <c r="Q34" s="47"/>
      <c r="R34" s="47"/>
    </row>
    <row r="35" spans="1:18" s="150" customFormat="1" ht="35.25" customHeight="1">
      <c r="A35" s="135">
        <v>2</v>
      </c>
      <c r="B35" s="1670" t="s">
        <v>344</v>
      </c>
      <c r="C35" s="1671"/>
      <c r="D35" s="1671"/>
      <c r="E35" s="1672"/>
      <c r="F35" s="5" t="s">
        <v>226</v>
      </c>
      <c r="G35" s="174">
        <f>G25*G26/10^7</f>
        <v>27.477180000000001</v>
      </c>
      <c r="H35" s="475"/>
      <c r="I35" s="210"/>
      <c r="J35" s="210"/>
      <c r="K35" s="210"/>
      <c r="L35" s="152"/>
      <c r="N35" s="151"/>
      <c r="P35" s="152"/>
      <c r="Q35" s="152"/>
      <c r="R35" s="152"/>
    </row>
    <row r="36" spans="1:18" s="150" customFormat="1" ht="35.25" customHeight="1">
      <c r="A36" s="135">
        <v>3</v>
      </c>
      <c r="B36" s="1670" t="s">
        <v>900</v>
      </c>
      <c r="C36" s="1671"/>
      <c r="D36" s="1671"/>
      <c r="E36" s="1672"/>
      <c r="F36" s="5" t="s">
        <v>226</v>
      </c>
      <c r="G36" s="174">
        <f>G27*G28/10^7</f>
        <v>52.442208000000001</v>
      </c>
      <c r="H36" s="475"/>
      <c r="I36" s="210"/>
      <c r="J36" s="210"/>
      <c r="K36" s="210"/>
      <c r="L36" s="152"/>
      <c r="N36" s="151"/>
      <c r="P36" s="152"/>
      <c r="Q36" s="152"/>
      <c r="R36" s="152"/>
    </row>
    <row r="37" spans="1:18" s="150" customFormat="1" ht="33" customHeight="1">
      <c r="A37" s="135">
        <v>4</v>
      </c>
      <c r="B37" s="1670" t="s">
        <v>683</v>
      </c>
      <c r="C37" s="1671"/>
      <c r="D37" s="1671"/>
      <c r="E37" s="1672"/>
      <c r="F37" s="5" t="s">
        <v>226</v>
      </c>
      <c r="G37" s="174">
        <f>G29*G30/10^7</f>
        <v>103.392</v>
      </c>
      <c r="H37" s="216"/>
      <c r="I37" s="217"/>
      <c r="J37" s="217"/>
      <c r="K37" s="217"/>
      <c r="L37" s="152"/>
      <c r="N37" s="151"/>
      <c r="P37" s="152"/>
      <c r="Q37" s="152"/>
      <c r="R37" s="152"/>
    </row>
    <row r="38" spans="1:18" s="150" customFormat="1" ht="67.5" customHeight="1">
      <c r="A38" s="135">
        <v>5</v>
      </c>
      <c r="B38" s="1670" t="s">
        <v>342</v>
      </c>
      <c r="C38" s="1671"/>
      <c r="D38" s="1671"/>
      <c r="E38" s="1672"/>
      <c r="F38" s="5" t="s">
        <v>226</v>
      </c>
      <c r="G38" s="174">
        <f>'Incr TE'!C13</f>
        <v>31.464852141176468</v>
      </c>
      <c r="H38" s="1673"/>
      <c r="I38" s="1673"/>
      <c r="J38" s="1673"/>
      <c r="K38" s="389"/>
      <c r="L38" s="152"/>
      <c r="N38" s="151"/>
      <c r="P38" s="152"/>
      <c r="Q38" s="152"/>
      <c r="R38" s="152"/>
    </row>
    <row r="39" spans="1:18" s="150" customFormat="1" ht="52.5" customHeight="1">
      <c r="A39" s="135">
        <v>6</v>
      </c>
      <c r="B39" s="1670" t="s">
        <v>343</v>
      </c>
      <c r="C39" s="1671"/>
      <c r="D39" s="1671"/>
      <c r="E39" s="1672"/>
      <c r="F39" s="5" t="s">
        <v>226</v>
      </c>
      <c r="G39" s="174">
        <f>'Incr TE'!C12</f>
        <v>21.879854999999999</v>
      </c>
      <c r="H39" s="475"/>
      <c r="I39" s="210"/>
      <c r="J39" s="210"/>
      <c r="K39" s="210"/>
      <c r="L39" s="152"/>
      <c r="N39" s="151"/>
      <c r="P39" s="152"/>
      <c r="Q39" s="152"/>
      <c r="R39" s="152"/>
    </row>
    <row r="40" spans="1:18" ht="18" customHeight="1">
      <c r="A40" s="135"/>
      <c r="B40" s="1674" t="s">
        <v>327</v>
      </c>
      <c r="C40" s="1675"/>
      <c r="D40" s="1675"/>
      <c r="E40" s="1676"/>
      <c r="F40" s="141" t="s">
        <v>226</v>
      </c>
      <c r="G40" s="591">
        <f>SUM(G34:G39)</f>
        <v>2024.8379133229944</v>
      </c>
      <c r="H40" s="474"/>
      <c r="I40" s="383"/>
      <c r="J40" s="383"/>
      <c r="L40" s="47"/>
      <c r="N40" s="46"/>
      <c r="P40" s="47"/>
      <c r="Q40" s="47"/>
      <c r="R40" s="47"/>
    </row>
    <row r="41" spans="1:18" ht="15.6">
      <c r="A41" s="142" t="s">
        <v>11</v>
      </c>
      <c r="B41" s="1677" t="s">
        <v>328</v>
      </c>
      <c r="C41" s="1678"/>
      <c r="D41" s="1678"/>
      <c r="E41" s="1679"/>
      <c r="F41" s="48"/>
      <c r="G41" s="289"/>
      <c r="H41" s="474"/>
      <c r="I41" s="383"/>
      <c r="J41" s="383"/>
      <c r="L41" s="47"/>
      <c r="N41" s="46"/>
      <c r="P41" s="47"/>
      <c r="Q41" s="47"/>
      <c r="R41" s="47"/>
    </row>
    <row r="42" spans="1:18" s="150" customFormat="1" ht="33" customHeight="1">
      <c r="A42" s="135">
        <v>1</v>
      </c>
      <c r="B42" s="1670" t="s">
        <v>607</v>
      </c>
      <c r="C42" s="1671"/>
      <c r="D42" s="1671"/>
      <c r="E42" s="1672"/>
      <c r="F42" s="135" t="s">
        <v>226</v>
      </c>
      <c r="G42" s="592">
        <f>G11*G20/10^7</f>
        <v>1399.4787945999999</v>
      </c>
      <c r="H42" s="108"/>
      <c r="I42" s="208"/>
      <c r="J42" s="208"/>
      <c r="K42" s="208"/>
      <c r="L42" s="152"/>
      <c r="N42" s="151"/>
      <c r="P42" s="152"/>
      <c r="Q42" s="152"/>
      <c r="R42" s="152"/>
    </row>
    <row r="43" spans="1:18" s="150" customFormat="1" ht="25.5" customHeight="1">
      <c r="A43" s="135">
        <v>2</v>
      </c>
      <c r="B43" s="1680" t="s">
        <v>597</v>
      </c>
      <c r="C43" s="1681"/>
      <c r="D43" s="1681"/>
      <c r="E43" s="1682"/>
      <c r="F43" s="135" t="s">
        <v>226</v>
      </c>
      <c r="G43" s="174">
        <f>-G21*F53/10^6*G22/10^7</f>
        <v>-179.8272</v>
      </c>
      <c r="H43" s="108"/>
      <c r="I43" s="208"/>
      <c r="J43" s="208"/>
      <c r="K43" s="208"/>
      <c r="L43" s="152"/>
      <c r="N43" s="151"/>
      <c r="P43" s="152"/>
      <c r="Q43" s="152"/>
      <c r="R43" s="152"/>
    </row>
    <row r="44" spans="1:18" s="150" customFormat="1" ht="25.5" customHeight="1">
      <c r="A44" s="135">
        <v>3</v>
      </c>
      <c r="B44" s="1680" t="s">
        <v>606</v>
      </c>
      <c r="C44" s="1681"/>
      <c r="D44" s="1681"/>
      <c r="E44" s="1682"/>
      <c r="F44" s="135" t="s">
        <v>226</v>
      </c>
      <c r="G44" s="174">
        <f>-G23*F54*G24/10^7</f>
        <v>-36.821759999999998</v>
      </c>
      <c r="H44" s="108"/>
      <c r="I44" s="208"/>
      <c r="J44" s="208"/>
      <c r="K44" s="208"/>
      <c r="L44" s="152"/>
      <c r="N44" s="151"/>
      <c r="P44" s="152"/>
      <c r="Q44" s="152"/>
      <c r="R44" s="152"/>
    </row>
    <row r="45" spans="1:18" ht="24.75" customHeight="1">
      <c r="A45" s="135"/>
      <c r="B45" s="1662" t="s">
        <v>341</v>
      </c>
      <c r="C45" s="1663"/>
      <c r="D45" s="1663"/>
      <c r="E45" s="1664"/>
      <c r="F45" s="141" t="s">
        <v>226</v>
      </c>
      <c r="G45" s="714">
        <f>SUM(G42:G44)</f>
        <v>1182.8298345999999</v>
      </c>
      <c r="H45" s="715">
        <f>G45*10^7/G11</f>
        <v>17654.176635820895</v>
      </c>
      <c r="I45" s="173" t="s">
        <v>740</v>
      </c>
      <c r="J45" s="383"/>
      <c r="L45" s="47"/>
      <c r="N45" s="46"/>
      <c r="P45" s="47"/>
      <c r="Q45" s="47"/>
      <c r="R45" s="47"/>
    </row>
    <row r="46" spans="1:18" ht="22.5" customHeight="1">
      <c r="A46" s="1667" t="s">
        <v>608</v>
      </c>
      <c r="B46" s="1668"/>
      <c r="C46" s="1668"/>
      <c r="D46" s="1668"/>
      <c r="E46" s="1669"/>
      <c r="F46" s="143" t="s">
        <v>226</v>
      </c>
      <c r="G46" s="713">
        <f>G40-G45</f>
        <v>842.00807872299447</v>
      </c>
      <c r="H46" s="477"/>
      <c r="I46" s="383"/>
      <c r="J46" s="419"/>
      <c r="K46" s="419"/>
      <c r="L46" s="47"/>
      <c r="N46" s="46"/>
      <c r="P46" s="47"/>
      <c r="Q46" s="47"/>
      <c r="R46" s="47"/>
    </row>
    <row r="47" spans="1:18">
      <c r="B47" s="112"/>
      <c r="C47" s="112"/>
      <c r="D47" s="112"/>
      <c r="E47" s="112"/>
      <c r="H47" s="45"/>
      <c r="I47" s="49"/>
      <c r="J47" s="47"/>
      <c r="K47" s="419"/>
      <c r="L47" s="47"/>
      <c r="N47" s="46"/>
      <c r="P47" s="47"/>
      <c r="Q47" s="47"/>
      <c r="R47" s="47"/>
    </row>
    <row r="49" spans="1:77" s="150" customFormat="1">
      <c r="B49" s="145" t="s">
        <v>588</v>
      </c>
      <c r="F49" s="150">
        <f>1*10^6</f>
        <v>1000000</v>
      </c>
      <c r="G49" s="184"/>
      <c r="H49" s="145"/>
      <c r="I49" s="161"/>
      <c r="J49" s="161"/>
      <c r="K49" s="210"/>
    </row>
    <row r="50" spans="1:77">
      <c r="B50" s="45" t="s">
        <v>582</v>
      </c>
      <c r="F50" s="42">
        <f>F49*0.76</f>
        <v>760000</v>
      </c>
    </row>
    <row r="51" spans="1:77">
      <c r="B51" s="45" t="s">
        <v>769</v>
      </c>
      <c r="F51" s="390">
        <f>F49*0.67</f>
        <v>670000</v>
      </c>
      <c r="G51" s="670" t="s">
        <v>867</v>
      </c>
      <c r="J51" s="49"/>
    </row>
    <row r="52" spans="1:77">
      <c r="B52" s="45" t="s">
        <v>583</v>
      </c>
      <c r="F52" s="390">
        <f>F50-F51</f>
        <v>90000</v>
      </c>
    </row>
    <row r="53" spans="1:77">
      <c r="B53" s="126" t="s">
        <v>605</v>
      </c>
      <c r="C53" s="383"/>
      <c r="E53" s="411" t="s">
        <v>604</v>
      </c>
      <c r="F53" s="390">
        <f>4300*0+4200</f>
        <v>4200</v>
      </c>
    </row>
    <row r="54" spans="1:77">
      <c r="B54" s="126" t="s">
        <v>610</v>
      </c>
      <c r="E54" s="45" t="s">
        <v>611</v>
      </c>
      <c r="F54" s="390">
        <v>8.6</v>
      </c>
    </row>
    <row r="55" spans="1:77">
      <c r="B55" s="126" t="s">
        <v>739</v>
      </c>
      <c r="F55" s="42">
        <f>F49*0.032</f>
        <v>32000</v>
      </c>
    </row>
    <row r="61" spans="1:77" s="17" customFormat="1">
      <c r="O61" s="114"/>
      <c r="P61" s="114"/>
    </row>
    <row r="62" spans="1:77" s="17" customFormat="1">
      <c r="O62" s="114"/>
      <c r="P62" s="114"/>
    </row>
    <row r="63" spans="1:77" s="17" customFormat="1" ht="20.100000000000001" customHeight="1">
      <c r="A63" s="38"/>
      <c r="B63" s="50" t="s">
        <v>230</v>
      </c>
      <c r="H63" s="38"/>
      <c r="N63" s="129" t="s">
        <v>379</v>
      </c>
      <c r="O63" s="114"/>
      <c r="P63" s="114"/>
      <c r="R63" s="51"/>
      <c r="X63" s="50" t="s">
        <v>306</v>
      </c>
      <c r="AH63" s="18" t="s">
        <v>323</v>
      </c>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row>
    <row r="64" spans="1:77" s="17" customFormat="1" ht="20.100000000000001" customHeight="1">
      <c r="B64" s="52" t="s">
        <v>231</v>
      </c>
      <c r="C64" s="52" t="s">
        <v>93</v>
      </c>
      <c r="D64" s="17" t="s">
        <v>232</v>
      </c>
      <c r="E64" s="32" t="s">
        <v>233</v>
      </c>
      <c r="F64" s="52" t="s">
        <v>95</v>
      </c>
      <c r="G64" s="32" t="s">
        <v>96</v>
      </c>
      <c r="H64" s="1665" t="s">
        <v>234</v>
      </c>
      <c r="I64" s="1665"/>
      <c r="J64" s="52" t="s">
        <v>868</v>
      </c>
      <c r="K64" s="52" t="s">
        <v>235</v>
      </c>
      <c r="L64" s="52"/>
      <c r="N64" s="129">
        <f>'[2]capcost Stamp'!E7</f>
        <v>0</v>
      </c>
      <c r="O64" s="114"/>
      <c r="P64" s="114"/>
      <c r="AH64" s="18">
        <f>'[2]capcost Stamp'!O8</f>
        <v>0</v>
      </c>
      <c r="AO64" s="53"/>
      <c r="AP64" s="54"/>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row>
    <row r="65" spans="1:77" s="17" customFormat="1" ht="20.100000000000001" customHeight="1">
      <c r="A65" s="38"/>
      <c r="B65" s="32"/>
      <c r="C65" s="52" t="s">
        <v>97</v>
      </c>
      <c r="D65" s="17" t="s">
        <v>236</v>
      </c>
      <c r="E65" s="32" t="s">
        <v>237</v>
      </c>
      <c r="F65" s="55" t="s">
        <v>898</v>
      </c>
      <c r="G65" s="32" t="s">
        <v>99</v>
      </c>
      <c r="H65" s="52" t="s">
        <v>94</v>
      </c>
      <c r="I65" s="52" t="s">
        <v>98</v>
      </c>
      <c r="J65" s="52"/>
      <c r="K65" s="52" t="s">
        <v>899</v>
      </c>
      <c r="L65" s="35"/>
      <c r="O65" s="186"/>
      <c r="P65" s="186"/>
      <c r="Q65" s="57"/>
      <c r="R65" s="56"/>
      <c r="S65" s="56"/>
      <c r="T65" s="56"/>
      <c r="U65" s="56"/>
      <c r="V65" s="56"/>
      <c r="W65" s="56"/>
      <c r="X65" s="56"/>
      <c r="Y65" s="56"/>
      <c r="Z65" s="56"/>
      <c r="AA65" s="56"/>
      <c r="AB65" s="56"/>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row>
    <row r="66" spans="1:77" s="17" customFormat="1" ht="20.100000000000001" customHeight="1">
      <c r="A66" s="38"/>
      <c r="B66" s="58" t="s">
        <v>87</v>
      </c>
      <c r="C66" s="58" t="s">
        <v>87</v>
      </c>
      <c r="D66" s="58" t="s">
        <v>87</v>
      </c>
      <c r="E66" s="58" t="s">
        <v>87</v>
      </c>
      <c r="F66" s="58" t="s">
        <v>87</v>
      </c>
      <c r="G66" s="58" t="s">
        <v>87</v>
      </c>
      <c r="H66" s="58" t="s">
        <v>87</v>
      </c>
      <c r="I66" s="58" t="s">
        <v>87</v>
      </c>
      <c r="J66" s="58"/>
      <c r="K66" s="58"/>
      <c r="L66" s="59"/>
      <c r="N66" s="60" t="s">
        <v>238</v>
      </c>
      <c r="O66" s="186"/>
      <c r="P66" s="186"/>
      <c r="Q66" s="61"/>
      <c r="R66" s="56"/>
      <c r="S66" s="56"/>
      <c r="T66" s="56"/>
      <c r="U66" s="56"/>
      <c r="V66" s="56"/>
      <c r="W66" s="56"/>
      <c r="X66" s="56"/>
      <c r="Z66" s="56"/>
      <c r="AA66" s="56"/>
      <c r="AB66" s="56"/>
      <c r="AI66" s="60" t="s">
        <v>239</v>
      </c>
      <c r="AO66" s="38"/>
      <c r="AP66" s="62"/>
      <c r="AQ66" s="62"/>
      <c r="AR66" s="62"/>
      <c r="AS66" s="62"/>
      <c r="AT66" s="62"/>
      <c r="AU66" s="62"/>
      <c r="AV66" s="62"/>
      <c r="AW66" s="62"/>
      <c r="AX66" s="62"/>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row>
    <row r="67" spans="1:77" s="17" customFormat="1" ht="20.100000000000001" customHeight="1">
      <c r="A67" s="63"/>
      <c r="B67" s="32"/>
      <c r="C67" s="32"/>
      <c r="E67" s="32"/>
      <c r="F67" s="32"/>
      <c r="G67" s="32"/>
      <c r="H67" s="32"/>
      <c r="I67" s="32"/>
      <c r="J67" s="32"/>
      <c r="K67" s="32"/>
      <c r="L67" s="38"/>
      <c r="N67" s="64" t="s">
        <v>240</v>
      </c>
      <c r="O67" s="187" t="s">
        <v>241</v>
      </c>
      <c r="P67" s="187" t="s">
        <v>242</v>
      </c>
      <c r="Q67" s="65" t="s">
        <v>243</v>
      </c>
      <c r="R67" s="65" t="s">
        <v>244</v>
      </c>
      <c r="S67" s="65" t="s">
        <v>245</v>
      </c>
      <c r="T67" s="65" t="s">
        <v>246</v>
      </c>
      <c r="U67" s="65" t="s">
        <v>247</v>
      </c>
      <c r="V67" s="65" t="s">
        <v>248</v>
      </c>
      <c r="W67" s="65" t="s">
        <v>249</v>
      </c>
      <c r="X67" s="65" t="s">
        <v>250</v>
      </c>
      <c r="Y67" s="65" t="s">
        <v>251</v>
      </c>
      <c r="Z67" s="65" t="s">
        <v>252</v>
      </c>
      <c r="AA67" s="65" t="s">
        <v>253</v>
      </c>
      <c r="AB67" s="65" t="s">
        <v>254</v>
      </c>
      <c r="AC67" s="65" t="s">
        <v>255</v>
      </c>
      <c r="AD67" s="65" t="s">
        <v>256</v>
      </c>
      <c r="AE67" s="65" t="s">
        <v>257</v>
      </c>
      <c r="AF67" s="65" t="s">
        <v>258</v>
      </c>
      <c r="AG67" s="65" t="s">
        <v>259</v>
      </c>
      <c r="AH67" s="65" t="s">
        <v>260</v>
      </c>
      <c r="AI67" s="65" t="s">
        <v>261</v>
      </c>
      <c r="AJ67" s="65" t="s">
        <v>262</v>
      </c>
      <c r="AK67" s="65" t="s">
        <v>305</v>
      </c>
      <c r="AL67" s="65" t="s">
        <v>581</v>
      </c>
      <c r="AN67" s="221" t="s">
        <v>613</v>
      </c>
      <c r="AO67"/>
      <c r="AP67"/>
      <c r="AQ67"/>
      <c r="AR67"/>
      <c r="AS67"/>
      <c r="AT67"/>
      <c r="AU67"/>
      <c r="AV67"/>
      <c r="AW67"/>
      <c r="AX67"/>
      <c r="AY67"/>
      <c r="AZ67"/>
      <c r="BA67"/>
      <c r="BB67"/>
      <c r="BC67"/>
      <c r="BD67"/>
      <c r="BE67"/>
      <c r="BF67"/>
      <c r="BG67"/>
      <c r="BH67"/>
      <c r="BI67"/>
      <c r="BJ67"/>
      <c r="BK67"/>
      <c r="BL67"/>
      <c r="BM67"/>
      <c r="BN67" s="38"/>
      <c r="BO67" s="38"/>
      <c r="BP67" s="38"/>
      <c r="BQ67" s="38"/>
      <c r="BR67" s="38"/>
      <c r="BS67" s="38"/>
      <c r="BT67" s="38"/>
      <c r="BU67" s="38"/>
      <c r="BV67" s="38"/>
      <c r="BW67" s="38"/>
      <c r="BX67" s="38"/>
      <c r="BY67" s="38"/>
    </row>
    <row r="68" spans="1:77" s="17" customFormat="1" ht="20.100000000000001" customHeight="1">
      <c r="A68" s="38"/>
      <c r="B68" s="606" t="s">
        <v>138</v>
      </c>
      <c r="C68" s="19" t="e">
        <f>#REF!</f>
        <v>#REF!</v>
      </c>
      <c r="E68" s="32" t="e">
        <f>C68</f>
        <v>#REF!</v>
      </c>
      <c r="F68" s="32" t="e">
        <f>#REF!</f>
        <v>#REF!</v>
      </c>
      <c r="G68" s="32" t="e">
        <f>D68+E68+F68</f>
        <v>#REF!</v>
      </c>
      <c r="H68" s="32">
        <f>D68</f>
        <v>0</v>
      </c>
      <c r="I68" s="32" t="e">
        <f>E68+F68</f>
        <v>#REF!</v>
      </c>
      <c r="J68" s="32"/>
      <c r="K68" s="32"/>
      <c r="L68" s="38"/>
      <c r="N68" s="67" t="s">
        <v>263</v>
      </c>
      <c r="O68" s="187"/>
      <c r="P68" s="188"/>
      <c r="Q68" s="68">
        <f>70%/2*0</f>
        <v>0</v>
      </c>
      <c r="R68" s="68">
        <f>80%*6/12</f>
        <v>0.40000000000000008</v>
      </c>
      <c r="S68" s="68">
        <v>0.9</v>
      </c>
      <c r="T68" s="68">
        <v>1</v>
      </c>
      <c r="U68" s="68">
        <v>1</v>
      </c>
      <c r="V68" s="68">
        <v>1</v>
      </c>
      <c r="W68" s="68">
        <v>1</v>
      </c>
      <c r="X68" s="68">
        <v>1</v>
      </c>
      <c r="Y68" s="68">
        <v>1</v>
      </c>
      <c r="Z68" s="68">
        <v>1</v>
      </c>
      <c r="AA68" s="68">
        <v>1</v>
      </c>
      <c r="AB68" s="68">
        <v>1</v>
      </c>
      <c r="AC68" s="68">
        <v>1</v>
      </c>
      <c r="AD68" s="68">
        <v>1</v>
      </c>
      <c r="AE68" s="68">
        <v>1</v>
      </c>
      <c r="AF68" s="68">
        <v>1</v>
      </c>
      <c r="AG68" s="68">
        <v>1</v>
      </c>
      <c r="AH68" s="68">
        <v>1</v>
      </c>
      <c r="AI68" s="68">
        <v>1</v>
      </c>
      <c r="AJ68" s="68">
        <v>1</v>
      </c>
      <c r="AK68" s="68">
        <v>1</v>
      </c>
      <c r="AL68" s="68">
        <v>0.5</v>
      </c>
      <c r="AN68"/>
      <c r="AO68" s="222">
        <v>0.15</v>
      </c>
      <c r="AP68"/>
      <c r="AQ68"/>
      <c r="AR68"/>
      <c r="AS68"/>
      <c r="AT68"/>
      <c r="AU68"/>
      <c r="AV68"/>
      <c r="AW68"/>
      <c r="AX68"/>
      <c r="AY68"/>
      <c r="AZ68"/>
      <c r="BA68"/>
      <c r="BB68"/>
      <c r="BC68"/>
      <c r="BD68"/>
      <c r="BE68"/>
      <c r="BF68"/>
      <c r="BG68"/>
      <c r="BH68"/>
      <c r="BI68"/>
      <c r="BJ68"/>
      <c r="BK68"/>
      <c r="BL68"/>
      <c r="BM68"/>
      <c r="BN68" s="38"/>
      <c r="BO68" s="38"/>
      <c r="BP68" s="38"/>
      <c r="BQ68" s="38"/>
      <c r="BR68" s="38"/>
      <c r="BS68" s="38"/>
      <c r="BT68" s="38"/>
      <c r="BU68" s="38"/>
      <c r="BV68" s="38"/>
      <c r="BW68" s="38"/>
      <c r="BX68" s="38"/>
      <c r="BY68" s="38"/>
    </row>
    <row r="69" spans="1:77" s="17" customFormat="1" ht="20.100000000000001" customHeight="1">
      <c r="A69" s="38"/>
      <c r="B69" s="606" t="s">
        <v>141</v>
      </c>
      <c r="C69" s="19" t="e">
        <f>#REF!</f>
        <v>#REF!</v>
      </c>
      <c r="E69" s="32" t="e">
        <f>C69</f>
        <v>#REF!</v>
      </c>
      <c r="F69" s="32" t="e">
        <f>#REF!</f>
        <v>#REF!</v>
      </c>
      <c r="G69" s="32" t="e">
        <f>D69+E69+F69</f>
        <v>#REF!</v>
      </c>
      <c r="H69" s="32">
        <f>D69</f>
        <v>0</v>
      </c>
      <c r="I69" s="32" t="e">
        <f>E69+F69</f>
        <v>#REF!</v>
      </c>
      <c r="J69" s="32"/>
      <c r="K69" s="32"/>
      <c r="L69" s="38"/>
      <c r="N69" s="56" t="s">
        <v>264</v>
      </c>
      <c r="O69" s="186"/>
      <c r="P69" s="186"/>
      <c r="Q69" s="56"/>
      <c r="R69" s="56">
        <f t="shared" ref="R69:AL69" si="1">+$D$75*R68</f>
        <v>336.80323148919786</v>
      </c>
      <c r="S69" s="56">
        <f t="shared" si="1"/>
        <v>757.80727085069509</v>
      </c>
      <c r="T69" s="56">
        <f t="shared" si="1"/>
        <v>842.00807872299447</v>
      </c>
      <c r="U69" s="56">
        <f t="shared" si="1"/>
        <v>842.00807872299447</v>
      </c>
      <c r="V69" s="56">
        <f t="shared" si="1"/>
        <v>842.00807872299447</v>
      </c>
      <c r="W69" s="56">
        <f t="shared" si="1"/>
        <v>842.00807872299447</v>
      </c>
      <c r="X69" s="56">
        <f t="shared" si="1"/>
        <v>842.00807872299447</v>
      </c>
      <c r="Y69" s="56">
        <f t="shared" si="1"/>
        <v>842.00807872299447</v>
      </c>
      <c r="Z69" s="56">
        <f t="shared" si="1"/>
        <v>842.00807872299447</v>
      </c>
      <c r="AA69" s="56">
        <f t="shared" si="1"/>
        <v>842.00807872299447</v>
      </c>
      <c r="AB69" s="56">
        <f t="shared" si="1"/>
        <v>842.00807872299447</v>
      </c>
      <c r="AC69" s="56">
        <f t="shared" si="1"/>
        <v>842.00807872299447</v>
      </c>
      <c r="AD69" s="56">
        <f t="shared" si="1"/>
        <v>842.00807872299447</v>
      </c>
      <c r="AE69" s="56">
        <f t="shared" si="1"/>
        <v>842.00807872299447</v>
      </c>
      <c r="AF69" s="56">
        <f t="shared" si="1"/>
        <v>842.00807872299447</v>
      </c>
      <c r="AG69" s="56">
        <f t="shared" si="1"/>
        <v>842.00807872299447</v>
      </c>
      <c r="AH69" s="56">
        <f t="shared" si="1"/>
        <v>842.00807872299447</v>
      </c>
      <c r="AI69" s="56">
        <f t="shared" si="1"/>
        <v>842.00807872299447</v>
      </c>
      <c r="AJ69" s="56">
        <f t="shared" si="1"/>
        <v>842.00807872299447</v>
      </c>
      <c r="AK69" s="56">
        <f t="shared" si="1"/>
        <v>842.00807872299447</v>
      </c>
      <c r="AL69" s="56">
        <f t="shared" si="1"/>
        <v>421.00403936149723</v>
      </c>
      <c r="AN69" t="s">
        <v>265</v>
      </c>
      <c r="AO69" s="16">
        <v>1</v>
      </c>
      <c r="AP69" s="70">
        <v>2</v>
      </c>
      <c r="AQ69" s="70">
        <v>3</v>
      </c>
      <c r="AR69" s="70">
        <v>4</v>
      </c>
      <c r="AS69" s="70">
        <v>5</v>
      </c>
      <c r="AT69" s="70">
        <v>6</v>
      </c>
      <c r="AU69" s="70">
        <v>7</v>
      </c>
      <c r="AV69" s="70">
        <v>8</v>
      </c>
      <c r="AW69" s="70">
        <v>9</v>
      </c>
      <c r="AX69" s="70">
        <v>10</v>
      </c>
      <c r="AY69" s="70">
        <v>11</v>
      </c>
      <c r="AZ69" s="70">
        <v>12</v>
      </c>
      <c r="BA69" s="70">
        <v>13</v>
      </c>
      <c r="BB69" s="70">
        <v>14</v>
      </c>
      <c r="BC69" s="70">
        <v>15</v>
      </c>
      <c r="BD69" s="70">
        <v>16</v>
      </c>
      <c r="BE69" s="70">
        <v>17</v>
      </c>
      <c r="BF69" s="70">
        <v>18</v>
      </c>
      <c r="BG69" s="70">
        <v>19</v>
      </c>
      <c r="BH69" s="70">
        <v>20</v>
      </c>
      <c r="BI69" s="70">
        <v>21</v>
      </c>
      <c r="BJ69" s="71">
        <v>22</v>
      </c>
      <c r="BK69" s="71">
        <v>23</v>
      </c>
      <c r="BL69"/>
      <c r="BM69"/>
      <c r="BN69" s="38"/>
      <c r="BO69" s="38"/>
      <c r="BP69" s="38"/>
      <c r="BQ69" s="38"/>
      <c r="BR69" s="38"/>
      <c r="BS69" s="38"/>
      <c r="BT69" s="38"/>
      <c r="BU69" s="38"/>
      <c r="BV69" s="38"/>
      <c r="BW69" s="38"/>
      <c r="BX69" s="38"/>
      <c r="BY69" s="38"/>
    </row>
    <row r="70" spans="1:77" s="17" customFormat="1" ht="20.100000000000001" customHeight="1">
      <c r="A70" s="38"/>
      <c r="B70" s="30" t="s">
        <v>579</v>
      </c>
      <c r="C70" s="19" t="e">
        <f>#REF!</f>
        <v>#REF!</v>
      </c>
      <c r="E70" s="32" t="e">
        <f>C70</f>
        <v>#REF!</v>
      </c>
      <c r="F70" s="32" t="e">
        <f>#REF!</f>
        <v>#REF!</v>
      </c>
      <c r="G70" s="32" t="e">
        <f>D70+E70+F70</f>
        <v>#REF!</v>
      </c>
      <c r="H70" s="32">
        <f>D70</f>
        <v>0</v>
      </c>
      <c r="I70" s="32" t="e">
        <f>E70+F70</f>
        <v>#REF!</v>
      </c>
      <c r="L70" s="38"/>
      <c r="N70" s="56" t="s">
        <v>266</v>
      </c>
      <c r="O70" s="186">
        <f t="shared" ref="O70:AL70" si="2">+O90</f>
        <v>0</v>
      </c>
      <c r="P70" s="186">
        <f t="shared" si="2"/>
        <v>0</v>
      </c>
      <c r="Q70" s="186" t="e">
        <f t="shared" si="2"/>
        <v>#REF!</v>
      </c>
      <c r="R70" s="56" t="e">
        <f t="shared" si="2"/>
        <v>#REF!</v>
      </c>
      <c r="S70" s="56" t="e">
        <f t="shared" si="2"/>
        <v>#REF!</v>
      </c>
      <c r="T70" s="56" t="e">
        <f t="shared" si="2"/>
        <v>#REF!</v>
      </c>
      <c r="U70" s="56" t="e">
        <f t="shared" si="2"/>
        <v>#REF!</v>
      </c>
      <c r="V70" s="56" t="e">
        <f t="shared" si="2"/>
        <v>#REF!</v>
      </c>
      <c r="W70" s="56" t="e">
        <f t="shared" si="2"/>
        <v>#REF!</v>
      </c>
      <c r="X70" s="56" t="e">
        <f t="shared" si="2"/>
        <v>#REF!</v>
      </c>
      <c r="Y70" s="56" t="e">
        <f t="shared" si="2"/>
        <v>#REF!</v>
      </c>
      <c r="Z70" s="56" t="e">
        <f t="shared" si="2"/>
        <v>#REF!</v>
      </c>
      <c r="AA70" s="56" t="e">
        <f t="shared" si="2"/>
        <v>#REF!</v>
      </c>
      <c r="AB70" s="56" t="e">
        <f t="shared" si="2"/>
        <v>#REF!</v>
      </c>
      <c r="AC70" s="56" t="e">
        <f t="shared" si="2"/>
        <v>#REF!</v>
      </c>
      <c r="AD70" s="56" t="e">
        <f t="shared" si="2"/>
        <v>#REF!</v>
      </c>
      <c r="AE70" s="56" t="e">
        <f t="shared" si="2"/>
        <v>#REF!</v>
      </c>
      <c r="AF70" s="56" t="e">
        <f t="shared" si="2"/>
        <v>#REF!</v>
      </c>
      <c r="AG70" s="56" t="e">
        <f t="shared" si="2"/>
        <v>#REF!</v>
      </c>
      <c r="AH70" s="56" t="e">
        <f t="shared" si="2"/>
        <v>#REF!</v>
      </c>
      <c r="AI70" s="56" t="e">
        <f t="shared" si="2"/>
        <v>#REF!</v>
      </c>
      <c r="AJ70" s="56" t="e">
        <f t="shared" si="2"/>
        <v>#REF!</v>
      </c>
      <c r="AK70" s="56">
        <f t="shared" si="2"/>
        <v>0</v>
      </c>
      <c r="AL70" s="56">
        <f t="shared" si="2"/>
        <v>0</v>
      </c>
      <c r="AN70" t="s">
        <v>267</v>
      </c>
      <c r="AO70" t="e">
        <f>+K73</f>
        <v>#REF!</v>
      </c>
      <c r="AP70" t="e">
        <f t="shared" ref="AP70:BK70" si="3">+AO72</f>
        <v>#REF!</v>
      </c>
      <c r="AQ70" t="e">
        <f t="shared" si="3"/>
        <v>#REF!</v>
      </c>
      <c r="AR70" t="e">
        <f t="shared" si="3"/>
        <v>#REF!</v>
      </c>
      <c r="AS70" t="e">
        <f t="shared" si="3"/>
        <v>#REF!</v>
      </c>
      <c r="AT70" t="e">
        <f t="shared" si="3"/>
        <v>#REF!</v>
      </c>
      <c r="AU70" t="e">
        <f t="shared" si="3"/>
        <v>#REF!</v>
      </c>
      <c r="AV70" t="e">
        <f t="shared" si="3"/>
        <v>#REF!</v>
      </c>
      <c r="AW70" t="e">
        <f t="shared" si="3"/>
        <v>#REF!</v>
      </c>
      <c r="AX70" t="e">
        <f t="shared" si="3"/>
        <v>#REF!</v>
      </c>
      <c r="AY70" t="e">
        <f t="shared" si="3"/>
        <v>#REF!</v>
      </c>
      <c r="AZ70" t="e">
        <f t="shared" si="3"/>
        <v>#REF!</v>
      </c>
      <c r="BA70" t="e">
        <f t="shared" si="3"/>
        <v>#REF!</v>
      </c>
      <c r="BB70" t="e">
        <f t="shared" si="3"/>
        <v>#REF!</v>
      </c>
      <c r="BC70" t="e">
        <f t="shared" si="3"/>
        <v>#REF!</v>
      </c>
      <c r="BD70" t="e">
        <f t="shared" si="3"/>
        <v>#REF!</v>
      </c>
      <c r="BE70" t="e">
        <f t="shared" si="3"/>
        <v>#REF!</v>
      </c>
      <c r="BF70" t="e">
        <f t="shared" si="3"/>
        <v>#REF!</v>
      </c>
      <c r="BG70" t="e">
        <f t="shared" si="3"/>
        <v>#REF!</v>
      </c>
      <c r="BH70" s="73" t="e">
        <f t="shared" si="3"/>
        <v>#REF!</v>
      </c>
      <c r="BI70" t="e">
        <f t="shared" si="3"/>
        <v>#REF!</v>
      </c>
      <c r="BJ70" t="e">
        <f t="shared" si="3"/>
        <v>#REF!</v>
      </c>
      <c r="BK70" t="e">
        <f t="shared" si="3"/>
        <v>#REF!</v>
      </c>
      <c r="BL70"/>
      <c r="BM70" t="s">
        <v>268</v>
      </c>
      <c r="BN70" s="38"/>
      <c r="BO70" s="38"/>
      <c r="BP70" s="38"/>
      <c r="BQ70" s="38"/>
      <c r="BR70" s="38"/>
      <c r="BS70" s="38"/>
      <c r="BT70" s="38"/>
      <c r="BU70" s="38"/>
      <c r="BV70" s="38"/>
      <c r="BW70" s="38"/>
      <c r="BX70" s="38"/>
      <c r="BY70" s="38"/>
    </row>
    <row r="71" spans="1:77" s="17" customFormat="1" ht="20.100000000000001" customHeight="1">
      <c r="A71" s="38"/>
      <c r="B71" s="138" t="s">
        <v>580</v>
      </c>
      <c r="C71" s="19" t="e">
        <f>#REF!</f>
        <v>#REF!</v>
      </c>
      <c r="E71" s="32" t="e">
        <f>C71</f>
        <v>#REF!</v>
      </c>
      <c r="F71" s="32" t="e">
        <f>#REF!</f>
        <v>#REF!</v>
      </c>
      <c r="G71" s="32" t="e">
        <f>D71+E71+F71</f>
        <v>#REF!</v>
      </c>
      <c r="H71" s="32">
        <f>D71</f>
        <v>0</v>
      </c>
      <c r="I71" s="32" t="e">
        <f>E71+F71</f>
        <v>#REF!</v>
      </c>
      <c r="L71" s="38"/>
      <c r="N71" s="56" t="s">
        <v>228</v>
      </c>
      <c r="O71" s="186">
        <v>0</v>
      </c>
      <c r="P71" s="189">
        <v>0</v>
      </c>
      <c r="Q71" s="189"/>
      <c r="R71" s="69" t="e">
        <f t="shared" ref="R71:AL71" si="4">AO71</f>
        <v>#REF!</v>
      </c>
      <c r="S71" s="69" t="e">
        <f t="shared" si="4"/>
        <v>#REF!</v>
      </c>
      <c r="T71" s="69" t="e">
        <f t="shared" si="4"/>
        <v>#REF!</v>
      </c>
      <c r="U71" s="69" t="e">
        <f t="shared" si="4"/>
        <v>#REF!</v>
      </c>
      <c r="V71" s="69" t="e">
        <f t="shared" si="4"/>
        <v>#REF!</v>
      </c>
      <c r="W71" s="69" t="e">
        <f t="shared" si="4"/>
        <v>#REF!</v>
      </c>
      <c r="X71" s="69" t="e">
        <f t="shared" si="4"/>
        <v>#REF!</v>
      </c>
      <c r="Y71" s="69" t="e">
        <f t="shared" si="4"/>
        <v>#REF!</v>
      </c>
      <c r="Z71" s="69" t="e">
        <f t="shared" si="4"/>
        <v>#REF!</v>
      </c>
      <c r="AA71" s="69" t="e">
        <f t="shared" si="4"/>
        <v>#REF!</v>
      </c>
      <c r="AB71" s="69" t="e">
        <f t="shared" si="4"/>
        <v>#REF!</v>
      </c>
      <c r="AC71" s="69" t="e">
        <f t="shared" si="4"/>
        <v>#REF!</v>
      </c>
      <c r="AD71" s="69" t="e">
        <f t="shared" si="4"/>
        <v>#REF!</v>
      </c>
      <c r="AE71" s="69" t="e">
        <f t="shared" si="4"/>
        <v>#REF!</v>
      </c>
      <c r="AF71" s="69" t="e">
        <f t="shared" si="4"/>
        <v>#REF!</v>
      </c>
      <c r="AG71" s="69" t="e">
        <f t="shared" si="4"/>
        <v>#REF!</v>
      </c>
      <c r="AH71" s="69" t="e">
        <f t="shared" si="4"/>
        <v>#REF!</v>
      </c>
      <c r="AI71" s="69" t="e">
        <f t="shared" si="4"/>
        <v>#REF!</v>
      </c>
      <c r="AJ71" s="69" t="e">
        <f t="shared" si="4"/>
        <v>#REF!</v>
      </c>
      <c r="AK71" s="69" t="e">
        <f t="shared" si="4"/>
        <v>#REF!</v>
      </c>
      <c r="AL71" s="69">
        <f t="shared" si="4"/>
        <v>0</v>
      </c>
      <c r="AM71" s="69" t="e">
        <f>SUM(O71:AL71)</f>
        <v>#REF!</v>
      </c>
      <c r="AN71" s="33" t="s">
        <v>612</v>
      </c>
      <c r="AO71" s="73" t="e">
        <f>+AO70*$AO$68/2</f>
        <v>#REF!</v>
      </c>
      <c r="AP71" s="73" t="e">
        <f t="shared" ref="AP71:AU71" si="5">+AP70*$AO$68</f>
        <v>#REF!</v>
      </c>
      <c r="AQ71" s="73" t="e">
        <f t="shared" si="5"/>
        <v>#REF!</v>
      </c>
      <c r="AR71" s="73" t="e">
        <f t="shared" si="5"/>
        <v>#REF!</v>
      </c>
      <c r="AS71" s="73" t="e">
        <f t="shared" si="5"/>
        <v>#REF!</v>
      </c>
      <c r="AT71" s="73" t="e">
        <f t="shared" si="5"/>
        <v>#REF!</v>
      </c>
      <c r="AU71" s="73" t="e">
        <f t="shared" si="5"/>
        <v>#REF!</v>
      </c>
      <c r="AV71" s="73" t="e">
        <f t="shared" ref="AV71:BF71" si="6">+AV70*$AO$68</f>
        <v>#REF!</v>
      </c>
      <c r="AW71" s="73" t="e">
        <f t="shared" si="6"/>
        <v>#REF!</v>
      </c>
      <c r="AX71" s="73" t="e">
        <f t="shared" si="6"/>
        <v>#REF!</v>
      </c>
      <c r="AY71" s="73" t="e">
        <f t="shared" si="6"/>
        <v>#REF!</v>
      </c>
      <c r="AZ71" s="73" t="e">
        <f t="shared" si="6"/>
        <v>#REF!</v>
      </c>
      <c r="BA71" s="73" t="e">
        <f t="shared" si="6"/>
        <v>#REF!</v>
      </c>
      <c r="BB71" s="73" t="e">
        <f t="shared" si="6"/>
        <v>#REF!</v>
      </c>
      <c r="BC71" s="73" t="e">
        <f t="shared" si="6"/>
        <v>#REF!</v>
      </c>
      <c r="BD71" s="73" t="e">
        <f t="shared" si="6"/>
        <v>#REF!</v>
      </c>
      <c r="BE71" s="73" t="e">
        <f t="shared" si="6"/>
        <v>#REF!</v>
      </c>
      <c r="BF71" s="73" t="e">
        <f t="shared" si="6"/>
        <v>#REF!</v>
      </c>
      <c r="BG71" s="73" t="e">
        <f>+BG70*$AO$64*0+AO70*0.95-SUM(AO71:BF71)</f>
        <v>#REF!</v>
      </c>
      <c r="BH71" s="73" t="e">
        <f>AO70*0.95-SUM(AO71:BG71)</f>
        <v>#REF!</v>
      </c>
      <c r="BI71" s="73"/>
      <c r="BJ71" s="73"/>
      <c r="BK71"/>
      <c r="BL71" t="e">
        <f>SUM(AO71:BK71)</f>
        <v>#REF!</v>
      </c>
      <c r="BM71" t="e">
        <f>+K73*0.95</f>
        <v>#REF!</v>
      </c>
      <c r="BN71" s="38"/>
      <c r="BO71" s="38"/>
      <c r="BP71" s="38"/>
      <c r="BQ71" s="38"/>
      <c r="BR71" s="38"/>
      <c r="BS71" s="38"/>
      <c r="BT71" s="38"/>
      <c r="BU71" s="38"/>
      <c r="BV71" s="38"/>
      <c r="BW71" s="38"/>
      <c r="BX71" s="38"/>
      <c r="BY71" s="38"/>
    </row>
    <row r="72" spans="1:77" s="19" customFormat="1" ht="33.75" customHeight="1">
      <c r="A72" s="137"/>
      <c r="B72" s="607" t="s">
        <v>180</v>
      </c>
      <c r="C72" s="19" t="e">
        <f>#REF!</f>
        <v>#REF!</v>
      </c>
      <c r="E72" s="32" t="e">
        <f>C72</f>
        <v>#REF!</v>
      </c>
      <c r="F72" s="32"/>
      <c r="G72" s="761" t="e">
        <f>D72+E72+F72</f>
        <v>#REF!</v>
      </c>
      <c r="H72" s="761">
        <f>D72</f>
        <v>0</v>
      </c>
      <c r="I72" s="761" t="e">
        <f>E72+F72</f>
        <v>#REF!</v>
      </c>
      <c r="J72" s="762"/>
      <c r="K72" s="762"/>
      <c r="L72" s="137"/>
      <c r="N72" s="1213" t="s">
        <v>269</v>
      </c>
      <c r="O72" s="764">
        <v>0</v>
      </c>
      <c r="P72" s="765">
        <f t="shared" ref="P72:AL72" si="7">+P69-P70-P71</f>
        <v>0</v>
      </c>
      <c r="Q72" s="765" t="e">
        <f t="shared" si="7"/>
        <v>#REF!</v>
      </c>
      <c r="R72" s="766" t="e">
        <f t="shared" si="7"/>
        <v>#REF!</v>
      </c>
      <c r="S72" s="766" t="e">
        <f t="shared" si="7"/>
        <v>#REF!</v>
      </c>
      <c r="T72" s="766" t="e">
        <f t="shared" si="7"/>
        <v>#REF!</v>
      </c>
      <c r="U72" s="766" t="e">
        <f t="shared" si="7"/>
        <v>#REF!</v>
      </c>
      <c r="V72" s="766" t="e">
        <f t="shared" si="7"/>
        <v>#REF!</v>
      </c>
      <c r="W72" s="766" t="e">
        <f t="shared" si="7"/>
        <v>#REF!</v>
      </c>
      <c r="X72" s="766" t="e">
        <f t="shared" si="7"/>
        <v>#REF!</v>
      </c>
      <c r="Y72" s="766" t="e">
        <f t="shared" si="7"/>
        <v>#REF!</v>
      </c>
      <c r="Z72" s="766" t="e">
        <f t="shared" si="7"/>
        <v>#REF!</v>
      </c>
      <c r="AA72" s="766" t="e">
        <f t="shared" si="7"/>
        <v>#REF!</v>
      </c>
      <c r="AB72" s="766" t="e">
        <f t="shared" si="7"/>
        <v>#REF!</v>
      </c>
      <c r="AC72" s="766" t="e">
        <f t="shared" si="7"/>
        <v>#REF!</v>
      </c>
      <c r="AD72" s="766" t="e">
        <f t="shared" si="7"/>
        <v>#REF!</v>
      </c>
      <c r="AE72" s="766" t="e">
        <f t="shared" si="7"/>
        <v>#REF!</v>
      </c>
      <c r="AF72" s="766" t="e">
        <f t="shared" si="7"/>
        <v>#REF!</v>
      </c>
      <c r="AG72" s="766" t="e">
        <f t="shared" si="7"/>
        <v>#REF!</v>
      </c>
      <c r="AH72" s="766" t="e">
        <f t="shared" si="7"/>
        <v>#REF!</v>
      </c>
      <c r="AI72" s="766" t="e">
        <f t="shared" si="7"/>
        <v>#REF!</v>
      </c>
      <c r="AJ72" s="766" t="e">
        <f t="shared" si="7"/>
        <v>#REF!</v>
      </c>
      <c r="AK72" s="766" t="e">
        <f t="shared" si="7"/>
        <v>#REF!</v>
      </c>
      <c r="AL72" s="766">
        <f t="shared" si="7"/>
        <v>421.00403936149723</v>
      </c>
      <c r="AN72" s="21" t="s">
        <v>270</v>
      </c>
      <c r="AO72" s="767" t="e">
        <f t="shared" ref="AO72:BK72" si="8">+AO70-AO71</f>
        <v>#REF!</v>
      </c>
      <c r="AP72" s="767" t="e">
        <f t="shared" si="8"/>
        <v>#REF!</v>
      </c>
      <c r="AQ72" s="767" t="e">
        <f t="shared" si="8"/>
        <v>#REF!</v>
      </c>
      <c r="AR72" s="767" t="e">
        <f t="shared" si="8"/>
        <v>#REF!</v>
      </c>
      <c r="AS72" s="767" t="e">
        <f t="shared" si="8"/>
        <v>#REF!</v>
      </c>
      <c r="AT72" s="767" t="e">
        <f t="shared" si="8"/>
        <v>#REF!</v>
      </c>
      <c r="AU72" s="767" t="e">
        <f t="shared" si="8"/>
        <v>#REF!</v>
      </c>
      <c r="AV72" s="767" t="e">
        <f t="shared" si="8"/>
        <v>#REF!</v>
      </c>
      <c r="AW72" s="767" t="e">
        <f t="shared" si="8"/>
        <v>#REF!</v>
      </c>
      <c r="AX72" s="767" t="e">
        <f t="shared" si="8"/>
        <v>#REF!</v>
      </c>
      <c r="AY72" s="767" t="e">
        <f t="shared" si="8"/>
        <v>#REF!</v>
      </c>
      <c r="AZ72" s="767" t="e">
        <f t="shared" si="8"/>
        <v>#REF!</v>
      </c>
      <c r="BA72" s="767" t="e">
        <f t="shared" si="8"/>
        <v>#REF!</v>
      </c>
      <c r="BB72" s="767" t="e">
        <f t="shared" si="8"/>
        <v>#REF!</v>
      </c>
      <c r="BC72" s="767" t="e">
        <f t="shared" si="8"/>
        <v>#REF!</v>
      </c>
      <c r="BD72" s="767" t="e">
        <f t="shared" si="8"/>
        <v>#REF!</v>
      </c>
      <c r="BE72" s="767" t="e">
        <f t="shared" si="8"/>
        <v>#REF!</v>
      </c>
      <c r="BF72" s="767" t="e">
        <f t="shared" si="8"/>
        <v>#REF!</v>
      </c>
      <c r="BG72" s="767" t="e">
        <f t="shared" si="8"/>
        <v>#REF!</v>
      </c>
      <c r="BH72" s="767" t="e">
        <f t="shared" si="8"/>
        <v>#REF!</v>
      </c>
      <c r="BI72" s="767" t="e">
        <f t="shared" si="8"/>
        <v>#REF!</v>
      </c>
      <c r="BJ72" s="767" t="e">
        <f t="shared" si="8"/>
        <v>#REF!</v>
      </c>
      <c r="BK72" s="767" t="e">
        <f t="shared" si="8"/>
        <v>#REF!</v>
      </c>
      <c r="BL72" s="21"/>
      <c r="BM72" s="21"/>
      <c r="BN72" s="137"/>
      <c r="BO72" s="137"/>
      <c r="BP72" s="137"/>
      <c r="BQ72" s="137"/>
      <c r="BR72" s="137"/>
      <c r="BS72" s="137"/>
      <c r="BT72" s="137"/>
      <c r="BU72" s="137"/>
      <c r="BV72" s="137"/>
      <c r="BW72" s="137"/>
      <c r="BX72" s="137"/>
      <c r="BY72" s="137"/>
    </row>
    <row r="73" spans="1:77" s="19" customFormat="1" ht="28.5" customHeight="1">
      <c r="A73" s="137"/>
      <c r="B73" s="768" t="s">
        <v>72</v>
      </c>
      <c r="C73" s="769" t="e">
        <f t="shared" ref="C73:I73" si="9">SUM(C68:C72)</f>
        <v>#REF!</v>
      </c>
      <c r="D73" s="769">
        <f t="shared" si="9"/>
        <v>0</v>
      </c>
      <c r="E73" s="769" t="e">
        <f t="shared" si="9"/>
        <v>#REF!</v>
      </c>
      <c r="F73" s="769" t="e">
        <f t="shared" si="9"/>
        <v>#REF!</v>
      </c>
      <c r="G73" s="769" t="e">
        <f t="shared" si="9"/>
        <v>#REF!</v>
      </c>
      <c r="H73" s="769">
        <f t="shared" si="9"/>
        <v>0</v>
      </c>
      <c r="I73" s="769" t="e">
        <f t="shared" si="9"/>
        <v>#REF!</v>
      </c>
      <c r="J73" s="769" t="e">
        <f>#REF!</f>
        <v>#REF!</v>
      </c>
      <c r="K73" s="769" t="e">
        <f>+G73-J73</f>
        <v>#REF!</v>
      </c>
      <c r="L73" s="137"/>
      <c r="M73" s="770">
        <f>0.3*1.12*1.04</f>
        <v>0.34944000000000003</v>
      </c>
      <c r="N73" s="1213" t="s">
        <v>271</v>
      </c>
      <c r="O73" s="766">
        <f>IF(+O72*$M$73*$M$74&gt;0,O72*$M$73*$M$74,0)</f>
        <v>0</v>
      </c>
      <c r="P73" s="766">
        <f t="shared" ref="P73:AD73" si="10">IF(+P72*$M$73*$M$74&gt;0,P72*$M$73*$M$74,0)</f>
        <v>0</v>
      </c>
      <c r="Q73" s="766" t="e">
        <f t="shared" si="10"/>
        <v>#REF!</v>
      </c>
      <c r="R73" s="766" t="e">
        <f t="shared" si="10"/>
        <v>#REF!</v>
      </c>
      <c r="S73" s="766" t="e">
        <f t="shared" si="10"/>
        <v>#REF!</v>
      </c>
      <c r="T73" s="766" t="e">
        <f t="shared" si="10"/>
        <v>#REF!</v>
      </c>
      <c r="U73" s="766" t="e">
        <f t="shared" si="10"/>
        <v>#REF!</v>
      </c>
      <c r="V73" s="766" t="e">
        <f t="shared" si="10"/>
        <v>#REF!</v>
      </c>
      <c r="W73" s="766" t="e">
        <f t="shared" si="10"/>
        <v>#REF!</v>
      </c>
      <c r="X73" s="766" t="e">
        <f t="shared" si="10"/>
        <v>#REF!</v>
      </c>
      <c r="Y73" s="766" t="e">
        <f t="shared" si="10"/>
        <v>#REF!</v>
      </c>
      <c r="Z73" s="766" t="e">
        <f t="shared" si="10"/>
        <v>#REF!</v>
      </c>
      <c r="AA73" s="766" t="e">
        <f t="shared" si="10"/>
        <v>#REF!</v>
      </c>
      <c r="AB73" s="766" t="e">
        <f t="shared" si="10"/>
        <v>#REF!</v>
      </c>
      <c r="AC73" s="766" t="e">
        <f t="shared" si="10"/>
        <v>#REF!</v>
      </c>
      <c r="AD73" s="766" t="e">
        <f t="shared" si="10"/>
        <v>#REF!</v>
      </c>
      <c r="AE73" s="766" t="e">
        <f>IF(+AE72*$M$73*$M$74&gt;0,AE72*$M$73*$M$74,0)</f>
        <v>#REF!</v>
      </c>
      <c r="AF73" s="766" t="e">
        <f t="shared" ref="AF73:AL73" si="11">IF(+AF72*$M$73*$M$74&gt;0,AF72*$M$73*$M$74,0)</f>
        <v>#REF!</v>
      </c>
      <c r="AG73" s="766" t="e">
        <f t="shared" si="11"/>
        <v>#REF!</v>
      </c>
      <c r="AH73" s="766" t="e">
        <f t="shared" si="11"/>
        <v>#REF!</v>
      </c>
      <c r="AI73" s="766" t="e">
        <f t="shared" si="11"/>
        <v>#REF!</v>
      </c>
      <c r="AJ73" s="766" t="e">
        <f t="shared" si="11"/>
        <v>#REF!</v>
      </c>
      <c r="AK73" s="766" t="e">
        <f t="shared" si="11"/>
        <v>#REF!</v>
      </c>
      <c r="AL73" s="766">
        <f t="shared" si="11"/>
        <v>147.11565151448161</v>
      </c>
      <c r="AO73" s="137"/>
      <c r="AP73" s="624"/>
      <c r="AQ73" s="624"/>
      <c r="AR73" s="624"/>
      <c r="AS73" s="624"/>
      <c r="AT73" s="624"/>
      <c r="AU73" s="624"/>
      <c r="AV73" s="624"/>
      <c r="AW73" s="624"/>
      <c r="AX73" s="624"/>
      <c r="AY73" s="137"/>
      <c r="AZ73" s="137"/>
      <c r="BA73" s="137"/>
      <c r="BB73" s="137"/>
      <c r="BC73" s="137"/>
      <c r="BD73" s="137"/>
      <c r="BE73" s="137"/>
      <c r="BF73" s="137"/>
      <c r="BG73" s="137"/>
      <c r="BH73" s="137"/>
      <c r="BI73" s="137"/>
      <c r="BJ73" s="137"/>
      <c r="BK73" s="137"/>
      <c r="BL73" s="137"/>
      <c r="BM73" s="137"/>
      <c r="BN73" s="137"/>
      <c r="BO73" s="137"/>
      <c r="BP73" s="137"/>
      <c r="BQ73" s="137"/>
      <c r="BR73" s="137"/>
      <c r="BS73" s="137"/>
      <c r="BT73" s="137"/>
      <c r="BU73" s="137"/>
      <c r="BV73" s="137"/>
      <c r="BW73" s="137"/>
      <c r="BX73" s="137"/>
      <c r="BY73" s="137"/>
    </row>
    <row r="74" spans="1:77" s="17" customFormat="1" ht="20.100000000000001" customHeight="1">
      <c r="A74" s="41"/>
      <c r="B74" s="38"/>
      <c r="C74" s="38"/>
      <c r="D74" s="38"/>
      <c r="E74" s="38"/>
      <c r="F74" s="38"/>
      <c r="G74" s="38"/>
      <c r="H74" s="59"/>
      <c r="I74" s="59"/>
      <c r="J74" s="58"/>
      <c r="K74" s="58"/>
      <c r="L74" s="38"/>
      <c r="M74" s="17">
        <v>1</v>
      </c>
      <c r="O74" s="186"/>
      <c r="P74" s="189"/>
      <c r="Q74" s="189"/>
      <c r="R74" s="69"/>
      <c r="S74" s="69"/>
      <c r="T74" s="69"/>
      <c r="U74" s="69"/>
      <c r="V74" s="69"/>
      <c r="W74" s="69"/>
      <c r="X74" s="69"/>
      <c r="Y74" s="69"/>
      <c r="Z74" s="69"/>
      <c r="AA74" s="69"/>
      <c r="AB74" s="69"/>
      <c r="AC74" s="69"/>
      <c r="AD74" s="69"/>
      <c r="AE74" s="69"/>
      <c r="AF74" s="69"/>
      <c r="AG74" s="69"/>
      <c r="AH74" s="69"/>
      <c r="AI74" s="69"/>
      <c r="AJ74" s="69"/>
      <c r="AK74" s="69"/>
      <c r="AL74" s="69"/>
      <c r="AN74" s="17" t="e">
        <f>AO70*0.95</f>
        <v>#REF!</v>
      </c>
      <c r="AO74" s="38"/>
      <c r="AP74" s="62"/>
      <c r="AQ74" s="62"/>
      <c r="AR74" s="62"/>
      <c r="AS74" s="62"/>
      <c r="AT74" s="62"/>
      <c r="AU74" s="62"/>
      <c r="AV74" s="62"/>
      <c r="AW74" s="62"/>
      <c r="AX74" s="62"/>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row>
    <row r="75" spans="1:77" s="17" customFormat="1" ht="20.100000000000001" customHeight="1">
      <c r="A75" s="41"/>
      <c r="B75" s="78" t="s">
        <v>225</v>
      </c>
      <c r="C75" s="79" t="s">
        <v>272</v>
      </c>
      <c r="D75" s="421">
        <f>G46</f>
        <v>842.00807872299447</v>
      </c>
      <c r="E75" s="38"/>
      <c r="F75" s="38"/>
      <c r="G75" s="38"/>
      <c r="H75" s="38"/>
      <c r="I75" s="38"/>
      <c r="N75" s="56" t="s">
        <v>273</v>
      </c>
      <c r="O75" s="186">
        <v>0</v>
      </c>
      <c r="P75" s="189">
        <f t="shared" ref="P75:AL75" si="12">+P72-P73</f>
        <v>0</v>
      </c>
      <c r="Q75" s="189" t="e">
        <f t="shared" si="12"/>
        <v>#REF!</v>
      </c>
      <c r="R75" s="69" t="e">
        <f t="shared" si="12"/>
        <v>#REF!</v>
      </c>
      <c r="S75" s="69" t="e">
        <f t="shared" si="12"/>
        <v>#REF!</v>
      </c>
      <c r="T75" s="69" t="e">
        <f t="shared" si="12"/>
        <v>#REF!</v>
      </c>
      <c r="U75" s="69" t="e">
        <f t="shared" si="12"/>
        <v>#REF!</v>
      </c>
      <c r="V75" s="69" t="e">
        <f t="shared" si="12"/>
        <v>#REF!</v>
      </c>
      <c r="W75" s="69" t="e">
        <f t="shared" si="12"/>
        <v>#REF!</v>
      </c>
      <c r="X75" s="69" t="e">
        <f t="shared" si="12"/>
        <v>#REF!</v>
      </c>
      <c r="Y75" s="69" t="e">
        <f t="shared" si="12"/>
        <v>#REF!</v>
      </c>
      <c r="Z75" s="69" t="e">
        <f t="shared" si="12"/>
        <v>#REF!</v>
      </c>
      <c r="AA75" s="69" t="e">
        <f t="shared" si="12"/>
        <v>#REF!</v>
      </c>
      <c r="AB75" s="69" t="e">
        <f t="shared" si="12"/>
        <v>#REF!</v>
      </c>
      <c r="AC75" s="69" t="e">
        <f t="shared" si="12"/>
        <v>#REF!</v>
      </c>
      <c r="AD75" s="69" t="e">
        <f t="shared" si="12"/>
        <v>#REF!</v>
      </c>
      <c r="AE75" s="69" t="e">
        <f t="shared" si="12"/>
        <v>#REF!</v>
      </c>
      <c r="AF75" s="69" t="e">
        <f t="shared" si="12"/>
        <v>#REF!</v>
      </c>
      <c r="AG75" s="69" t="e">
        <f t="shared" si="12"/>
        <v>#REF!</v>
      </c>
      <c r="AH75" s="69" t="e">
        <f t="shared" si="12"/>
        <v>#REF!</v>
      </c>
      <c r="AI75" s="69" t="e">
        <f t="shared" si="12"/>
        <v>#REF!</v>
      </c>
      <c r="AJ75" s="69" t="e">
        <f t="shared" si="12"/>
        <v>#REF!</v>
      </c>
      <c r="AK75" s="69" t="e">
        <f t="shared" si="12"/>
        <v>#REF!</v>
      </c>
      <c r="AL75" s="69">
        <f t="shared" si="12"/>
        <v>273.88838784701562</v>
      </c>
      <c r="AO75" s="38"/>
      <c r="AP75" s="62"/>
      <c r="AQ75" s="62"/>
      <c r="AR75" s="62"/>
      <c r="AS75" s="62"/>
      <c r="AT75" s="62"/>
      <c r="AU75" s="62"/>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row>
    <row r="76" spans="1:77" s="17" customFormat="1" ht="20.100000000000001" customHeight="1">
      <c r="A76" s="41"/>
      <c r="B76" s="80"/>
      <c r="C76" s="35"/>
      <c r="D76" s="38"/>
      <c r="E76" s="40"/>
      <c r="F76" s="35"/>
      <c r="G76" s="40"/>
      <c r="H76" s="38"/>
      <c r="I76" s="38"/>
      <c r="N76" s="81" t="s">
        <v>274</v>
      </c>
      <c r="O76" s="190">
        <v>0</v>
      </c>
      <c r="P76" s="191">
        <f>+P75</f>
        <v>0</v>
      </c>
      <c r="Q76" s="191" t="e">
        <f>+Q75</f>
        <v>#REF!</v>
      </c>
      <c r="R76" s="82" t="e">
        <f t="shared" ref="R76:AG76" si="13">+R75+Q76</f>
        <v>#REF!</v>
      </c>
      <c r="S76" s="82" t="e">
        <f t="shared" si="13"/>
        <v>#REF!</v>
      </c>
      <c r="T76" s="82" t="e">
        <f t="shared" si="13"/>
        <v>#REF!</v>
      </c>
      <c r="U76" s="82" t="e">
        <f t="shared" si="13"/>
        <v>#REF!</v>
      </c>
      <c r="V76" s="82" t="e">
        <f t="shared" si="13"/>
        <v>#REF!</v>
      </c>
      <c r="W76" s="82" t="e">
        <f t="shared" si="13"/>
        <v>#REF!</v>
      </c>
      <c r="X76" s="82" t="e">
        <f t="shared" si="13"/>
        <v>#REF!</v>
      </c>
      <c r="Y76" s="82" t="e">
        <f t="shared" si="13"/>
        <v>#REF!</v>
      </c>
      <c r="Z76" s="82" t="e">
        <f t="shared" si="13"/>
        <v>#REF!</v>
      </c>
      <c r="AA76" s="82" t="e">
        <f t="shared" si="13"/>
        <v>#REF!</v>
      </c>
      <c r="AB76" s="82" t="e">
        <f t="shared" si="13"/>
        <v>#REF!</v>
      </c>
      <c r="AC76" s="82" t="e">
        <f t="shared" si="13"/>
        <v>#REF!</v>
      </c>
      <c r="AD76" s="82" t="e">
        <f t="shared" si="13"/>
        <v>#REF!</v>
      </c>
      <c r="AE76" s="82" t="e">
        <f t="shared" si="13"/>
        <v>#REF!</v>
      </c>
      <c r="AF76" s="82" t="e">
        <f t="shared" si="13"/>
        <v>#REF!</v>
      </c>
      <c r="AG76" s="82" t="e">
        <f t="shared" si="13"/>
        <v>#REF!</v>
      </c>
      <c r="AH76" s="82" t="e">
        <f>+AH75+AF76</f>
        <v>#REF!</v>
      </c>
      <c r="AI76" s="82" t="e">
        <f>+AI75+AH76</f>
        <v>#REF!</v>
      </c>
      <c r="AJ76" s="82" t="e">
        <f>+AJ75+AI76</f>
        <v>#REF!</v>
      </c>
      <c r="AK76" s="82" t="e">
        <f>+AK75+AJ76</f>
        <v>#REF!</v>
      </c>
      <c r="AL76" s="82" t="e">
        <f>+AL75+AK76</f>
        <v>#REF!</v>
      </c>
      <c r="AO76" s="38"/>
      <c r="AP76" s="62"/>
      <c r="AQ76" s="62"/>
      <c r="AR76" s="62"/>
      <c r="AS76" s="62"/>
      <c r="AT76" s="62"/>
      <c r="AU76" s="62"/>
      <c r="AV76" s="62"/>
      <c r="AW76" s="62"/>
      <c r="AX76" s="62"/>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row>
    <row r="77" spans="1:77" s="17" customFormat="1" ht="20.100000000000001" customHeight="1">
      <c r="A77" s="38"/>
      <c r="B77" s="20"/>
      <c r="C77" s="38"/>
      <c r="D77" s="38"/>
      <c r="E77" s="38"/>
      <c r="F77" s="38"/>
      <c r="G77" s="38"/>
      <c r="H77" s="38"/>
      <c r="I77" s="38"/>
      <c r="J77" s="38"/>
      <c r="K77" s="38"/>
      <c r="O77" s="114"/>
      <c r="P77" s="114"/>
      <c r="AJ77" s="69"/>
      <c r="AK77" s="69"/>
      <c r="AL77" s="69"/>
      <c r="AO77" s="38"/>
      <c r="AP77" s="62"/>
      <c r="AQ77" s="62"/>
      <c r="AR77" s="62"/>
      <c r="AS77" s="62"/>
      <c r="AT77" s="62"/>
      <c r="AU77" s="62"/>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row>
    <row r="78" spans="1:77" s="17" customFormat="1" ht="20.100000000000001" customHeight="1">
      <c r="A78" s="38"/>
      <c r="B78" s="20"/>
      <c r="C78" s="38"/>
      <c r="D78" s="38"/>
      <c r="E78" s="38"/>
      <c r="F78" s="38"/>
      <c r="G78" s="38"/>
      <c r="H78" s="1666"/>
      <c r="I78" s="1666"/>
      <c r="J78" s="35"/>
      <c r="K78" s="35"/>
      <c r="N78" s="83" t="s">
        <v>275</v>
      </c>
      <c r="O78" s="186"/>
      <c r="P78" s="186"/>
      <c r="Q78" s="56"/>
      <c r="R78" s="69"/>
      <c r="S78" s="69"/>
      <c r="T78" s="69"/>
      <c r="U78" s="69"/>
      <c r="V78" s="69"/>
      <c r="W78" s="69"/>
      <c r="X78" s="69"/>
      <c r="Y78" s="69"/>
      <c r="Z78" s="69"/>
      <c r="AA78" s="69"/>
      <c r="AB78" s="69"/>
      <c r="AC78" s="39"/>
      <c r="AD78" s="39"/>
      <c r="AE78" s="39"/>
      <c r="AF78" s="39"/>
      <c r="AG78" s="39"/>
      <c r="AH78" s="39"/>
      <c r="AJ78" s="69"/>
      <c r="AK78" s="69"/>
      <c r="AL78" s="69"/>
      <c r="AO78" s="38"/>
      <c r="AP78" s="62"/>
      <c r="AQ78" s="62"/>
      <c r="AR78" s="62"/>
      <c r="AS78" s="62"/>
      <c r="AT78" s="62"/>
      <c r="AU78" s="62"/>
      <c r="AV78" s="62"/>
      <c r="AW78" s="62"/>
      <c r="AX78" s="62"/>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row>
    <row r="79" spans="1:77" s="17" customFormat="1" ht="20.100000000000001" customHeight="1">
      <c r="A79" s="38"/>
      <c r="B79" s="38"/>
      <c r="C79" s="38"/>
      <c r="D79" s="38"/>
      <c r="E79" s="38"/>
      <c r="F79" s="38"/>
      <c r="G79" s="38"/>
      <c r="H79" s="35"/>
      <c r="I79" s="35"/>
      <c r="J79" s="35"/>
      <c r="K79" s="35"/>
      <c r="N79" s="83"/>
      <c r="O79" s="186"/>
      <c r="P79" s="186"/>
      <c r="Q79" s="56"/>
      <c r="R79" s="69"/>
      <c r="S79" s="69"/>
      <c r="T79" s="69"/>
      <c r="U79" s="69">
        <f>+U66</f>
        <v>0</v>
      </c>
      <c r="W79" s="69"/>
      <c r="X79" s="69"/>
      <c r="Y79" s="69"/>
      <c r="Z79" s="69"/>
      <c r="AA79" s="69"/>
      <c r="AB79" s="69"/>
      <c r="AC79" s="39"/>
      <c r="AD79" s="39"/>
      <c r="AE79" s="39"/>
      <c r="AF79" s="39"/>
      <c r="AG79" s="39"/>
      <c r="AH79" s="39">
        <f>+U79</f>
        <v>0</v>
      </c>
      <c r="AJ79" s="69"/>
      <c r="AK79" s="69"/>
      <c r="AL79" s="69"/>
      <c r="AO79" s="38"/>
      <c r="AP79" s="62"/>
      <c r="AQ79" s="62"/>
      <c r="AR79" s="62"/>
      <c r="AS79" s="62"/>
      <c r="AT79" s="62"/>
      <c r="AU79" s="62"/>
      <c r="AV79" s="62"/>
      <c r="AW79" s="62"/>
      <c r="AX79" s="62"/>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row>
    <row r="80" spans="1:77" s="17" customFormat="1" ht="20.100000000000001" customHeight="1">
      <c r="H80" s="35"/>
      <c r="I80" s="35"/>
      <c r="J80" s="35"/>
      <c r="K80" s="35"/>
      <c r="N80" s="84" t="s">
        <v>276</v>
      </c>
      <c r="O80" s="192" t="str">
        <f t="shared" ref="O80:T80" si="14">+O67</f>
        <v>Yr 1</v>
      </c>
      <c r="P80" s="192" t="str">
        <f t="shared" si="14"/>
        <v>Yr 2</v>
      </c>
      <c r="Q80" s="85" t="str">
        <f t="shared" si="14"/>
        <v>Yr 3</v>
      </c>
      <c r="R80" s="85" t="str">
        <f t="shared" si="14"/>
        <v>Yr 4</v>
      </c>
      <c r="S80" s="85" t="str">
        <f t="shared" si="14"/>
        <v>Yr 5</v>
      </c>
      <c r="T80" s="85" t="str">
        <f t="shared" si="14"/>
        <v>Yr 6</v>
      </c>
      <c r="U80" s="85" t="str">
        <f>+U67</f>
        <v>Yr 7</v>
      </c>
      <c r="V80" s="85" t="str">
        <f t="shared" ref="V80:AI80" si="15">+V67</f>
        <v>Yr 8</v>
      </c>
      <c r="W80" s="85" t="str">
        <f t="shared" si="15"/>
        <v>Yr 9</v>
      </c>
      <c r="X80" s="85" t="str">
        <f t="shared" si="15"/>
        <v>Yr 10</v>
      </c>
      <c r="Y80" s="85" t="str">
        <f t="shared" si="15"/>
        <v>Yr 11</v>
      </c>
      <c r="Z80" s="85" t="str">
        <f t="shared" si="15"/>
        <v>Yr 12</v>
      </c>
      <c r="AA80" s="85" t="str">
        <f t="shared" si="15"/>
        <v>Yr 13</v>
      </c>
      <c r="AB80" s="85" t="str">
        <f t="shared" si="15"/>
        <v>Yr 14</v>
      </c>
      <c r="AC80" s="85" t="str">
        <f t="shared" si="15"/>
        <v>Yr 15</v>
      </c>
      <c r="AD80" s="85" t="str">
        <f t="shared" si="15"/>
        <v>Yr 16</v>
      </c>
      <c r="AE80" s="85" t="str">
        <f t="shared" si="15"/>
        <v>Yr 17</v>
      </c>
      <c r="AF80" s="85" t="str">
        <f t="shared" si="15"/>
        <v>Yr 18</v>
      </c>
      <c r="AG80" s="85" t="str">
        <f t="shared" si="15"/>
        <v>Yr 19</v>
      </c>
      <c r="AH80" s="85" t="str">
        <f t="shared" si="15"/>
        <v>Yr 20</v>
      </c>
      <c r="AI80" s="86" t="str">
        <f t="shared" si="15"/>
        <v>Yr 21</v>
      </c>
      <c r="AJ80" s="65" t="s">
        <v>305</v>
      </c>
      <c r="AK80" s="65" t="str">
        <f>AK67</f>
        <v>Yr 23</v>
      </c>
      <c r="AL80" s="65" t="str">
        <f>AL67</f>
        <v>Yr 24</v>
      </c>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row>
    <row r="81" spans="1:39" s="17" customFormat="1" ht="20.100000000000001" customHeight="1">
      <c r="H81" s="59"/>
      <c r="I81" s="59"/>
      <c r="J81" s="59"/>
      <c r="K81" s="59"/>
      <c r="N81" s="56" t="s">
        <v>277</v>
      </c>
      <c r="O81" s="186">
        <v>0</v>
      </c>
      <c r="P81" s="186">
        <f t="shared" ref="P81:AL81" si="16">+P69</f>
        <v>0</v>
      </c>
      <c r="Q81" s="56">
        <f t="shared" si="16"/>
        <v>0</v>
      </c>
      <c r="R81" s="56">
        <f t="shared" si="16"/>
        <v>336.80323148919786</v>
      </c>
      <c r="S81" s="56">
        <f t="shared" si="16"/>
        <v>757.80727085069509</v>
      </c>
      <c r="T81" s="56">
        <f t="shared" si="16"/>
        <v>842.00807872299447</v>
      </c>
      <c r="U81" s="56">
        <f t="shared" si="16"/>
        <v>842.00807872299447</v>
      </c>
      <c r="V81" s="56">
        <f t="shared" si="16"/>
        <v>842.00807872299447</v>
      </c>
      <c r="W81" s="56">
        <f t="shared" si="16"/>
        <v>842.00807872299447</v>
      </c>
      <c r="X81" s="56">
        <f t="shared" si="16"/>
        <v>842.00807872299447</v>
      </c>
      <c r="Y81" s="56">
        <f t="shared" si="16"/>
        <v>842.00807872299447</v>
      </c>
      <c r="Z81" s="56">
        <f t="shared" si="16"/>
        <v>842.00807872299447</v>
      </c>
      <c r="AA81" s="56">
        <f t="shared" si="16"/>
        <v>842.00807872299447</v>
      </c>
      <c r="AB81" s="56">
        <f t="shared" si="16"/>
        <v>842.00807872299447</v>
      </c>
      <c r="AC81" s="56">
        <f t="shared" si="16"/>
        <v>842.00807872299447</v>
      </c>
      <c r="AD81" s="56">
        <f t="shared" si="16"/>
        <v>842.00807872299447</v>
      </c>
      <c r="AE81" s="56">
        <f t="shared" si="16"/>
        <v>842.00807872299447</v>
      </c>
      <c r="AF81" s="56">
        <f t="shared" si="16"/>
        <v>842.00807872299447</v>
      </c>
      <c r="AG81" s="56">
        <f t="shared" si="16"/>
        <v>842.00807872299447</v>
      </c>
      <c r="AH81" s="56">
        <f t="shared" si="16"/>
        <v>842.00807872299447</v>
      </c>
      <c r="AI81" s="56">
        <f t="shared" si="16"/>
        <v>842.00807872299447</v>
      </c>
      <c r="AJ81" s="56">
        <f t="shared" si="16"/>
        <v>842.00807872299447</v>
      </c>
      <c r="AK81" s="56">
        <f t="shared" si="16"/>
        <v>842.00807872299447</v>
      </c>
      <c r="AL81" s="56">
        <f t="shared" si="16"/>
        <v>421.00403936149723</v>
      </c>
      <c r="AM81" s="69">
        <f>SUM(O81:AI81)</f>
        <v>14566.739761907806</v>
      </c>
    </row>
    <row r="82" spans="1:39" s="17" customFormat="1" ht="20.100000000000001" customHeight="1">
      <c r="H82" s="40"/>
      <c r="I82" s="40"/>
      <c r="J82" s="40"/>
      <c r="K82" s="40"/>
      <c r="M82" s="17">
        <f>SUM(O82:R82)</f>
        <v>0</v>
      </c>
      <c r="N82" s="56" t="s">
        <v>278</v>
      </c>
      <c r="O82" s="189">
        <f>+H68</f>
        <v>0</v>
      </c>
      <c r="P82" s="189">
        <f>+H69</f>
        <v>0</v>
      </c>
      <c r="Q82" s="69">
        <f>H70</f>
        <v>0</v>
      </c>
      <c r="R82" s="69">
        <f>H71+H72</f>
        <v>0</v>
      </c>
      <c r="S82" s="69">
        <v>0</v>
      </c>
      <c r="T82" s="69">
        <v>0</v>
      </c>
      <c r="U82" s="69">
        <v>0</v>
      </c>
      <c r="V82" s="69">
        <v>0</v>
      </c>
      <c r="W82" s="69">
        <v>0</v>
      </c>
      <c r="X82" s="69">
        <v>0</v>
      </c>
      <c r="Y82" s="69">
        <v>0</v>
      </c>
      <c r="Z82" s="69">
        <v>0</v>
      </c>
      <c r="AA82" s="69">
        <v>0</v>
      </c>
      <c r="AB82" s="69">
        <v>0</v>
      </c>
      <c r="AC82" s="69">
        <v>0</v>
      </c>
      <c r="AD82" s="69">
        <v>0</v>
      </c>
      <c r="AE82" s="69">
        <v>0</v>
      </c>
      <c r="AF82" s="69">
        <v>0</v>
      </c>
      <c r="AG82" s="69">
        <v>0</v>
      </c>
      <c r="AH82" s="69">
        <v>0</v>
      </c>
      <c r="AI82" s="69">
        <v>0</v>
      </c>
      <c r="AM82" s="69">
        <f>SUM(O82:AI82)</f>
        <v>0</v>
      </c>
    </row>
    <row r="83" spans="1:39" s="17" customFormat="1" ht="20.100000000000001" customHeight="1">
      <c r="A83" s="41"/>
      <c r="B83" s="40"/>
      <c r="C83" s="35"/>
      <c r="D83" s="38"/>
      <c r="E83" s="40"/>
      <c r="F83" s="87"/>
      <c r="G83" s="40"/>
      <c r="H83" s="40"/>
      <c r="I83" s="40"/>
      <c r="J83" s="40"/>
      <c r="K83" s="40"/>
      <c r="M83" s="17" t="e">
        <f>SUM(O83:R83)</f>
        <v>#REF!</v>
      </c>
      <c r="N83" s="56" t="s">
        <v>279</v>
      </c>
      <c r="O83" s="189" t="e">
        <f>+I68</f>
        <v>#REF!</v>
      </c>
      <c r="P83" s="189" t="e">
        <f>+I69</f>
        <v>#REF!</v>
      </c>
      <c r="Q83" s="69" t="e">
        <f>I70</f>
        <v>#REF!</v>
      </c>
      <c r="R83" s="69" t="e">
        <f>I71+I72</f>
        <v>#REF!</v>
      </c>
      <c r="S83" s="69">
        <v>0</v>
      </c>
      <c r="T83" s="69">
        <v>0</v>
      </c>
      <c r="U83" s="69">
        <v>0</v>
      </c>
      <c r="V83" s="69">
        <v>0</v>
      </c>
      <c r="W83" s="69">
        <v>0</v>
      </c>
      <c r="X83" s="69">
        <v>0</v>
      </c>
      <c r="Y83" s="69">
        <v>0</v>
      </c>
      <c r="Z83" s="69">
        <v>0</v>
      </c>
      <c r="AA83" s="69">
        <v>0</v>
      </c>
      <c r="AB83" s="69">
        <v>0</v>
      </c>
      <c r="AC83" s="69">
        <v>0</v>
      </c>
      <c r="AD83" s="69">
        <v>0</v>
      </c>
      <c r="AE83" s="69">
        <v>0</v>
      </c>
      <c r="AF83" s="69">
        <v>0</v>
      </c>
      <c r="AG83" s="69">
        <v>0</v>
      </c>
      <c r="AH83" s="69">
        <v>0</v>
      </c>
      <c r="AI83" s="69">
        <v>0</v>
      </c>
      <c r="AM83" s="69" t="e">
        <f>SUM(O83:AI83)</f>
        <v>#REF!</v>
      </c>
    </row>
    <row r="84" spans="1:39" s="17" customFormat="1" ht="20.100000000000001" customHeight="1">
      <c r="A84" s="41"/>
      <c r="E84" s="38"/>
      <c r="F84" s="38"/>
      <c r="G84" s="59"/>
      <c r="H84" s="40"/>
      <c r="I84" s="40"/>
      <c r="J84" s="40"/>
      <c r="K84" s="40"/>
      <c r="M84" s="88" t="e">
        <f>+M83+M82</f>
        <v>#REF!</v>
      </c>
      <c r="N84" s="67" t="s">
        <v>72</v>
      </c>
      <c r="O84" s="193" t="e">
        <f t="shared" ref="O84:AL84" si="17">SUM(O81:O83)</f>
        <v>#REF!</v>
      </c>
      <c r="P84" s="193" t="e">
        <f t="shared" si="17"/>
        <v>#REF!</v>
      </c>
      <c r="Q84" s="89" t="e">
        <f t="shared" si="17"/>
        <v>#REF!</v>
      </c>
      <c r="R84" s="89" t="e">
        <f t="shared" si="17"/>
        <v>#REF!</v>
      </c>
      <c r="S84" s="89">
        <f t="shared" si="17"/>
        <v>757.80727085069509</v>
      </c>
      <c r="T84" s="89">
        <f t="shared" si="17"/>
        <v>842.00807872299447</v>
      </c>
      <c r="U84" s="89">
        <f t="shared" si="17"/>
        <v>842.00807872299447</v>
      </c>
      <c r="V84" s="89">
        <f t="shared" si="17"/>
        <v>842.00807872299447</v>
      </c>
      <c r="W84" s="89">
        <f t="shared" si="17"/>
        <v>842.00807872299447</v>
      </c>
      <c r="X84" s="89">
        <f t="shared" si="17"/>
        <v>842.00807872299447</v>
      </c>
      <c r="Y84" s="89">
        <f t="shared" si="17"/>
        <v>842.00807872299447</v>
      </c>
      <c r="Z84" s="89">
        <f t="shared" si="17"/>
        <v>842.00807872299447</v>
      </c>
      <c r="AA84" s="89">
        <f t="shared" si="17"/>
        <v>842.00807872299447</v>
      </c>
      <c r="AB84" s="89">
        <f t="shared" si="17"/>
        <v>842.00807872299447</v>
      </c>
      <c r="AC84" s="89">
        <f t="shared" si="17"/>
        <v>842.00807872299447</v>
      </c>
      <c r="AD84" s="89">
        <f t="shared" si="17"/>
        <v>842.00807872299447</v>
      </c>
      <c r="AE84" s="89">
        <f t="shared" si="17"/>
        <v>842.00807872299447</v>
      </c>
      <c r="AF84" s="89">
        <f t="shared" si="17"/>
        <v>842.00807872299447</v>
      </c>
      <c r="AG84" s="89">
        <f t="shared" si="17"/>
        <v>842.00807872299447</v>
      </c>
      <c r="AH84" s="89">
        <f t="shared" si="17"/>
        <v>842.00807872299447</v>
      </c>
      <c r="AI84" s="89">
        <f t="shared" si="17"/>
        <v>842.00807872299447</v>
      </c>
      <c r="AJ84" s="89">
        <f t="shared" si="17"/>
        <v>842.00807872299447</v>
      </c>
      <c r="AK84" s="89">
        <f t="shared" si="17"/>
        <v>842.00807872299447</v>
      </c>
      <c r="AL84" s="89">
        <f t="shared" si="17"/>
        <v>421.00403936149723</v>
      </c>
      <c r="AM84" s="69" t="e">
        <f>SUM(O84:AI84)</f>
        <v>#REF!</v>
      </c>
    </row>
    <row r="85" spans="1:39" s="17" customFormat="1" ht="20.100000000000001" customHeight="1">
      <c r="A85" s="41"/>
      <c r="B85" s="59"/>
      <c r="C85" s="35"/>
      <c r="D85" s="35"/>
      <c r="E85" s="35"/>
      <c r="F85" s="35"/>
      <c r="G85" s="40"/>
      <c r="H85" s="40"/>
      <c r="I85" s="40"/>
      <c r="J85" s="40"/>
      <c r="K85" s="40"/>
      <c r="O85" s="114"/>
      <c r="P85" s="114"/>
      <c r="AM85" s="69"/>
    </row>
    <row r="86" spans="1:39" s="17" customFormat="1" ht="20.100000000000001" customHeight="1">
      <c r="A86" s="41"/>
      <c r="B86" s="40"/>
      <c r="C86" s="90"/>
      <c r="D86" s="38"/>
      <c r="E86" s="40"/>
      <c r="F86" s="40"/>
      <c r="G86" s="40"/>
      <c r="H86" s="59"/>
      <c r="I86" s="59"/>
      <c r="J86" s="59"/>
      <c r="K86" s="59"/>
      <c r="N86" s="56" t="s">
        <v>280</v>
      </c>
      <c r="O86" s="189"/>
      <c r="P86" s="189"/>
      <c r="Q86" s="69"/>
      <c r="R86" s="69"/>
      <c r="S86" s="69"/>
      <c r="T86" s="91"/>
      <c r="U86" s="69"/>
      <c r="V86" s="69"/>
      <c r="W86" s="69"/>
      <c r="X86" s="69"/>
      <c r="Y86" s="69"/>
      <c r="Z86" s="69"/>
      <c r="AA86" s="69"/>
      <c r="AB86" s="69"/>
      <c r="AC86" s="69"/>
      <c r="AD86" s="69"/>
      <c r="AE86" s="69"/>
      <c r="AF86" s="69"/>
      <c r="AG86" s="69"/>
      <c r="AH86" s="69"/>
      <c r="AI86" s="69"/>
      <c r="AM86" s="69">
        <f>SUM(O86:AI86)</f>
        <v>0</v>
      </c>
    </row>
    <row r="87" spans="1:39" s="17" customFormat="1" ht="20.100000000000001" customHeight="1">
      <c r="A87" s="41"/>
      <c r="B87" s="35"/>
      <c r="C87" s="38"/>
      <c r="D87" s="40"/>
      <c r="E87" s="40"/>
      <c r="F87" s="40"/>
      <c r="G87" s="40"/>
      <c r="H87" s="40"/>
      <c r="I87" s="40"/>
      <c r="J87" s="40"/>
      <c r="K87" s="40"/>
      <c r="N87" s="56" t="s">
        <v>281</v>
      </c>
      <c r="O87" s="189"/>
      <c r="P87" s="189"/>
      <c r="Q87" s="69"/>
      <c r="R87" s="69"/>
      <c r="S87" s="69"/>
      <c r="T87" s="69"/>
      <c r="U87" s="69"/>
      <c r="V87" s="69"/>
      <c r="W87" s="69"/>
      <c r="X87" s="69"/>
      <c r="Y87" s="69"/>
      <c r="Z87" s="69"/>
      <c r="AA87" s="69"/>
      <c r="AB87" s="69"/>
      <c r="AC87" s="69"/>
      <c r="AD87" s="69"/>
      <c r="AE87" s="69"/>
      <c r="AF87" s="69"/>
      <c r="AG87" s="69"/>
      <c r="AH87" s="69"/>
      <c r="AI87" s="69"/>
      <c r="AM87" s="69"/>
    </row>
    <row r="88" spans="1:39" s="17" customFormat="1" ht="20.100000000000001" customHeight="1">
      <c r="A88" s="41"/>
      <c r="B88" s="80"/>
      <c r="C88" s="38"/>
      <c r="D88" s="40"/>
      <c r="E88" s="40"/>
      <c r="F88" s="40"/>
      <c r="G88" s="40"/>
      <c r="H88" s="59"/>
      <c r="I88" s="59"/>
      <c r="J88" s="59"/>
      <c r="K88" s="59"/>
      <c r="M88" s="17">
        <f>SUM(O88:R88)</f>
        <v>0</v>
      </c>
      <c r="N88" s="56" t="s">
        <v>282</v>
      </c>
      <c r="O88" s="189">
        <f t="shared" ref="O88:R89" si="18">+O82</f>
        <v>0</v>
      </c>
      <c r="P88" s="189">
        <f t="shared" si="18"/>
        <v>0</v>
      </c>
      <c r="Q88" s="69">
        <f t="shared" si="18"/>
        <v>0</v>
      </c>
      <c r="R88" s="69">
        <f t="shared" si="18"/>
        <v>0</v>
      </c>
      <c r="S88" s="69">
        <v>0</v>
      </c>
      <c r="T88" s="69">
        <v>0</v>
      </c>
      <c r="U88" s="69">
        <v>0</v>
      </c>
      <c r="V88" s="69">
        <v>0</v>
      </c>
      <c r="W88" s="69">
        <v>0</v>
      </c>
      <c r="X88" s="69">
        <v>0</v>
      </c>
      <c r="Y88" s="69">
        <v>0</v>
      </c>
      <c r="Z88" s="69">
        <v>0</v>
      </c>
      <c r="AA88" s="69">
        <v>0</v>
      </c>
      <c r="AB88" s="69">
        <v>0</v>
      </c>
      <c r="AC88" s="69">
        <v>0</v>
      </c>
      <c r="AD88" s="69">
        <v>0</v>
      </c>
      <c r="AE88" s="69">
        <v>0</v>
      </c>
      <c r="AF88" s="69">
        <v>0</v>
      </c>
      <c r="AG88" s="69">
        <v>0</v>
      </c>
      <c r="AH88" s="69">
        <v>0</v>
      </c>
      <c r="AI88" s="69">
        <v>0</v>
      </c>
      <c r="AM88" s="69">
        <f t="shared" ref="AM88:AM94" si="19">SUM(O88:AI88)</f>
        <v>0</v>
      </c>
    </row>
    <row r="89" spans="1:39" s="17" customFormat="1" ht="20.100000000000001" customHeight="1">
      <c r="A89" s="41"/>
      <c r="B89" s="35"/>
      <c r="C89" s="38"/>
      <c r="D89" s="40"/>
      <c r="E89" s="40"/>
      <c r="F89" s="40"/>
      <c r="G89" s="59"/>
      <c r="H89" s="38"/>
      <c r="I89" s="38"/>
      <c r="J89" s="38"/>
      <c r="K89" s="38"/>
      <c r="M89" s="17" t="e">
        <f>SUM(O89:R89)</f>
        <v>#REF!</v>
      </c>
      <c r="N89" s="56" t="s">
        <v>283</v>
      </c>
      <c r="O89" s="189" t="e">
        <f t="shared" si="18"/>
        <v>#REF!</v>
      </c>
      <c r="P89" s="189" t="e">
        <f t="shared" si="18"/>
        <v>#REF!</v>
      </c>
      <c r="Q89" s="69" t="e">
        <f t="shared" si="18"/>
        <v>#REF!</v>
      </c>
      <c r="R89" s="69" t="e">
        <f t="shared" si="18"/>
        <v>#REF!</v>
      </c>
      <c r="S89" s="69">
        <v>0</v>
      </c>
      <c r="T89" s="69">
        <v>0</v>
      </c>
      <c r="U89" s="69">
        <v>0</v>
      </c>
      <c r="V89" s="69">
        <v>0</v>
      </c>
      <c r="W89" s="69">
        <v>0</v>
      </c>
      <c r="X89" s="69">
        <v>0</v>
      </c>
      <c r="Y89" s="69">
        <v>0</v>
      </c>
      <c r="Z89" s="69">
        <v>0</v>
      </c>
      <c r="AA89" s="69">
        <v>0</v>
      </c>
      <c r="AB89" s="69">
        <v>0</v>
      </c>
      <c r="AC89" s="69">
        <v>0</v>
      </c>
      <c r="AD89" s="69">
        <v>0</v>
      </c>
      <c r="AE89" s="69">
        <v>0</v>
      </c>
      <c r="AF89" s="69">
        <v>0</v>
      </c>
      <c r="AG89" s="69">
        <v>0</v>
      </c>
      <c r="AH89" s="69">
        <v>0</v>
      </c>
      <c r="AI89" s="69">
        <v>0</v>
      </c>
      <c r="AM89" s="69" t="e">
        <f t="shared" si="19"/>
        <v>#REF!</v>
      </c>
    </row>
    <row r="90" spans="1:39" s="17" customFormat="1" ht="20.100000000000001" customHeight="1">
      <c r="A90" s="41"/>
      <c r="B90" s="40"/>
      <c r="C90" s="40"/>
      <c r="D90" s="40"/>
      <c r="E90" s="40"/>
      <c r="F90" s="40"/>
      <c r="G90" s="40"/>
      <c r="M90" s="92">
        <v>0.1</v>
      </c>
      <c r="N90" s="763" t="s">
        <v>284</v>
      </c>
      <c r="O90" s="189">
        <f>+AP73</f>
        <v>0</v>
      </c>
      <c r="P90" s="189">
        <v>0</v>
      </c>
      <c r="Q90" s="114" t="e">
        <f>M83*M90*6/12*0</f>
        <v>#REF!</v>
      </c>
      <c r="R90" s="189" t="e">
        <f>($M$83-SUM($Q$91:Q91))*$M$90*6/12</f>
        <v>#REF!</v>
      </c>
      <c r="S90" s="189" t="e">
        <f>($M$83-SUM($Q$91:R91))*$M$90</f>
        <v>#REF!</v>
      </c>
      <c r="T90" s="189" t="e">
        <f>($M$83-SUM($Q$91:S91))*$M$90</f>
        <v>#REF!</v>
      </c>
      <c r="U90" s="189" t="e">
        <f>($M$83-SUM($Q$91:T91))*$M$90</f>
        <v>#REF!</v>
      </c>
      <c r="V90" s="189" t="e">
        <f>($M$83-SUM($Q$91:U91))*$M$90</f>
        <v>#REF!</v>
      </c>
      <c r="W90" s="189" t="e">
        <f>($M$83-SUM($Q$91:V91))*$M$90</f>
        <v>#REF!</v>
      </c>
      <c r="X90" s="189" t="e">
        <f>($M$83-SUM($Q$91:W91))*$M$90</f>
        <v>#REF!</v>
      </c>
      <c r="Y90" s="189" t="e">
        <f>($M$83-SUM($Q$91:X91))*$M$90</f>
        <v>#REF!</v>
      </c>
      <c r="Z90" s="189" t="e">
        <f>($M$83-SUM($Q$91:Y91))*$M$90</f>
        <v>#REF!</v>
      </c>
      <c r="AA90" s="189" t="e">
        <f>($M$83-SUM($Q$91:Z91))*$M$90</f>
        <v>#REF!</v>
      </c>
      <c r="AB90" s="189" t="e">
        <f>($M$83-SUM($Q$91:AA91))*$M$90</f>
        <v>#REF!</v>
      </c>
      <c r="AC90" s="189" t="e">
        <f>($M$83-SUM($Q$91:AB91))*$M$90</f>
        <v>#REF!</v>
      </c>
      <c r="AD90" s="189" t="e">
        <f>($M$83-SUM($Q$91:AC91))*$M$90</f>
        <v>#REF!</v>
      </c>
      <c r="AE90" s="189" t="e">
        <f>($M$83-SUM($Q$91:AD91))*$M$90</f>
        <v>#REF!</v>
      </c>
      <c r="AF90" s="189" t="e">
        <f>($M$83-SUM($Q$91:AE91))*$M$90</f>
        <v>#REF!</v>
      </c>
      <c r="AG90" s="189" t="e">
        <f>($M$83-SUM($Q$91:AF91))*$M$90</f>
        <v>#REF!</v>
      </c>
      <c r="AH90" s="189" t="e">
        <f>($M$83-SUM($Q$91:AG91))*$M$90</f>
        <v>#REF!</v>
      </c>
      <c r="AI90" s="189" t="e">
        <f>($M$83-SUM($Q$91:AH91))*$M$90</f>
        <v>#REF!</v>
      </c>
      <c r="AJ90" s="189" t="e">
        <f>($M$83-SUM($Q$91:AI91))*$M$90</f>
        <v>#REF!</v>
      </c>
      <c r="AM90" s="69" t="e">
        <f t="shared" si="19"/>
        <v>#REF!</v>
      </c>
    </row>
    <row r="91" spans="1:39" s="17" customFormat="1" ht="26.25" customHeight="1">
      <c r="A91" s="41"/>
      <c r="B91" s="59"/>
      <c r="C91" s="59"/>
      <c r="D91" s="59"/>
      <c r="E91" s="59"/>
      <c r="F91" s="40"/>
      <c r="G91" s="59"/>
      <c r="M91" s="17" t="e">
        <f>SUM(P91:AL91)</f>
        <v>#REF!</v>
      </c>
      <c r="N91" s="1214" t="s">
        <v>285</v>
      </c>
      <c r="O91" s="189">
        <f>+AP76</f>
        <v>0</v>
      </c>
      <c r="P91" s="189">
        <v>0</v>
      </c>
      <c r="Q91" s="69">
        <f>+$M$85/10*0</f>
        <v>0</v>
      </c>
      <c r="R91" s="69">
        <f>+$M$85/10*0</f>
        <v>0</v>
      </c>
      <c r="S91" s="69"/>
      <c r="T91" s="766" t="e">
        <f>+$M$89/16</f>
        <v>#REF!</v>
      </c>
      <c r="U91" s="766" t="e">
        <f t="shared" ref="U91:AI91" si="20">+$M$89/16</f>
        <v>#REF!</v>
      </c>
      <c r="V91" s="766" t="e">
        <f t="shared" si="20"/>
        <v>#REF!</v>
      </c>
      <c r="W91" s="766" t="e">
        <f t="shared" si="20"/>
        <v>#REF!</v>
      </c>
      <c r="X91" s="766" t="e">
        <f t="shared" si="20"/>
        <v>#REF!</v>
      </c>
      <c r="Y91" s="766" t="e">
        <f t="shared" si="20"/>
        <v>#REF!</v>
      </c>
      <c r="Z91" s="766" t="e">
        <f t="shared" si="20"/>
        <v>#REF!</v>
      </c>
      <c r="AA91" s="766" t="e">
        <f t="shared" si="20"/>
        <v>#REF!</v>
      </c>
      <c r="AB91" s="766" t="e">
        <f t="shared" si="20"/>
        <v>#REF!</v>
      </c>
      <c r="AC91" s="766" t="e">
        <f t="shared" si="20"/>
        <v>#REF!</v>
      </c>
      <c r="AD91" s="766" t="e">
        <f t="shared" si="20"/>
        <v>#REF!</v>
      </c>
      <c r="AE91" s="766" t="e">
        <f t="shared" si="20"/>
        <v>#REF!</v>
      </c>
      <c r="AF91" s="766" t="e">
        <f t="shared" si="20"/>
        <v>#REF!</v>
      </c>
      <c r="AG91" s="766" t="e">
        <f t="shared" si="20"/>
        <v>#REF!</v>
      </c>
      <c r="AH91" s="766" t="e">
        <f t="shared" si="20"/>
        <v>#REF!</v>
      </c>
      <c r="AI91" s="766" t="e">
        <f t="shared" si="20"/>
        <v>#REF!</v>
      </c>
      <c r="AM91" s="69" t="e">
        <f t="shared" si="19"/>
        <v>#REF!</v>
      </c>
    </row>
    <row r="92" spans="1:39" s="17" customFormat="1" ht="34.5" customHeight="1">
      <c r="A92" s="41"/>
      <c r="B92" s="38"/>
      <c r="C92" s="38"/>
      <c r="D92" s="38"/>
      <c r="E92" s="38"/>
      <c r="F92" s="38"/>
      <c r="G92" s="38"/>
      <c r="N92" s="1215" t="s">
        <v>286</v>
      </c>
      <c r="O92" s="191">
        <f t="shared" ref="O92:AL92" si="21">+O73</f>
        <v>0</v>
      </c>
      <c r="P92" s="191">
        <f t="shared" si="21"/>
        <v>0</v>
      </c>
      <c r="Q92" s="82" t="e">
        <f t="shared" si="21"/>
        <v>#REF!</v>
      </c>
      <c r="R92" s="82" t="e">
        <f t="shared" si="21"/>
        <v>#REF!</v>
      </c>
      <c r="S92" s="82" t="e">
        <f t="shared" si="21"/>
        <v>#REF!</v>
      </c>
      <c r="T92" s="82" t="e">
        <f t="shared" si="21"/>
        <v>#REF!</v>
      </c>
      <c r="U92" s="82" t="e">
        <f t="shared" si="21"/>
        <v>#REF!</v>
      </c>
      <c r="V92" s="82" t="e">
        <f t="shared" si="21"/>
        <v>#REF!</v>
      </c>
      <c r="W92" s="82" t="e">
        <f t="shared" si="21"/>
        <v>#REF!</v>
      </c>
      <c r="X92" s="82" t="e">
        <f t="shared" si="21"/>
        <v>#REF!</v>
      </c>
      <c r="Y92" s="82" t="e">
        <f t="shared" si="21"/>
        <v>#REF!</v>
      </c>
      <c r="Z92" s="82" t="e">
        <f t="shared" si="21"/>
        <v>#REF!</v>
      </c>
      <c r="AA92" s="82" t="e">
        <f t="shared" si="21"/>
        <v>#REF!</v>
      </c>
      <c r="AB92" s="82" t="e">
        <f t="shared" si="21"/>
        <v>#REF!</v>
      </c>
      <c r="AC92" s="82" t="e">
        <f t="shared" si="21"/>
        <v>#REF!</v>
      </c>
      <c r="AD92" s="82" t="e">
        <f t="shared" si="21"/>
        <v>#REF!</v>
      </c>
      <c r="AE92" s="82" t="e">
        <f t="shared" si="21"/>
        <v>#REF!</v>
      </c>
      <c r="AF92" s="82" t="e">
        <f t="shared" si="21"/>
        <v>#REF!</v>
      </c>
      <c r="AG92" s="82" t="e">
        <f t="shared" si="21"/>
        <v>#REF!</v>
      </c>
      <c r="AH92" s="82" t="e">
        <f t="shared" si="21"/>
        <v>#REF!</v>
      </c>
      <c r="AI92" s="82" t="e">
        <f t="shared" si="21"/>
        <v>#REF!</v>
      </c>
      <c r="AJ92" s="82" t="e">
        <f t="shared" si="21"/>
        <v>#REF!</v>
      </c>
      <c r="AK92" s="82" t="e">
        <f t="shared" si="21"/>
        <v>#REF!</v>
      </c>
      <c r="AL92" s="82">
        <f t="shared" si="21"/>
        <v>147.11565151448161</v>
      </c>
      <c r="AM92" s="69" t="e">
        <f t="shared" si="19"/>
        <v>#REF!</v>
      </c>
    </row>
    <row r="93" spans="1:39" s="17" customFormat="1" ht="20.100000000000001" customHeight="1">
      <c r="A93" s="93"/>
      <c r="B93" s="80"/>
      <c r="C93" s="35"/>
      <c r="D93" s="38"/>
      <c r="E93" s="40"/>
      <c r="F93" s="94"/>
      <c r="G93" s="40"/>
      <c r="N93" s="56" t="s">
        <v>72</v>
      </c>
      <c r="O93" s="189" t="e">
        <f t="shared" ref="O93:AL93" si="22">SUM(O87:O92)</f>
        <v>#REF!</v>
      </c>
      <c r="P93" s="189" t="e">
        <f t="shared" si="22"/>
        <v>#REF!</v>
      </c>
      <c r="Q93" s="69" t="e">
        <f t="shared" si="22"/>
        <v>#REF!</v>
      </c>
      <c r="R93" s="69" t="e">
        <f t="shared" si="22"/>
        <v>#REF!</v>
      </c>
      <c r="S93" s="69" t="e">
        <f t="shared" si="22"/>
        <v>#REF!</v>
      </c>
      <c r="T93" s="69" t="e">
        <f t="shared" si="22"/>
        <v>#REF!</v>
      </c>
      <c r="U93" s="69" t="e">
        <f t="shared" si="22"/>
        <v>#REF!</v>
      </c>
      <c r="V93" s="69" t="e">
        <f t="shared" si="22"/>
        <v>#REF!</v>
      </c>
      <c r="W93" s="69" t="e">
        <f t="shared" si="22"/>
        <v>#REF!</v>
      </c>
      <c r="X93" s="69" t="e">
        <f t="shared" si="22"/>
        <v>#REF!</v>
      </c>
      <c r="Y93" s="69" t="e">
        <f t="shared" si="22"/>
        <v>#REF!</v>
      </c>
      <c r="Z93" s="69" t="e">
        <f t="shared" si="22"/>
        <v>#REF!</v>
      </c>
      <c r="AA93" s="69" t="e">
        <f t="shared" si="22"/>
        <v>#REF!</v>
      </c>
      <c r="AB93" s="69" t="e">
        <f t="shared" si="22"/>
        <v>#REF!</v>
      </c>
      <c r="AC93" s="69" t="e">
        <f t="shared" si="22"/>
        <v>#REF!</v>
      </c>
      <c r="AD93" s="69" t="e">
        <f t="shared" si="22"/>
        <v>#REF!</v>
      </c>
      <c r="AE93" s="69" t="e">
        <f t="shared" si="22"/>
        <v>#REF!</v>
      </c>
      <c r="AF93" s="69" t="e">
        <f t="shared" si="22"/>
        <v>#REF!</v>
      </c>
      <c r="AG93" s="69" t="e">
        <f t="shared" si="22"/>
        <v>#REF!</v>
      </c>
      <c r="AH93" s="69" t="e">
        <f t="shared" si="22"/>
        <v>#REF!</v>
      </c>
      <c r="AI93" s="69" t="e">
        <f t="shared" si="22"/>
        <v>#REF!</v>
      </c>
      <c r="AJ93" s="69" t="e">
        <f t="shared" si="22"/>
        <v>#REF!</v>
      </c>
      <c r="AK93" s="69" t="e">
        <f t="shared" si="22"/>
        <v>#REF!</v>
      </c>
      <c r="AL93" s="69">
        <f t="shared" si="22"/>
        <v>147.11565151448161</v>
      </c>
      <c r="AM93" s="69" t="e">
        <f t="shared" si="19"/>
        <v>#REF!</v>
      </c>
    </row>
    <row r="94" spans="1:39" s="17" customFormat="1" ht="20.100000000000001" customHeight="1" thickBot="1">
      <c r="A94" s="38"/>
      <c r="B94" s="38"/>
      <c r="C94" s="38"/>
      <c r="D94" s="38"/>
      <c r="E94" s="38"/>
      <c r="F94" s="38"/>
      <c r="G94" s="38"/>
      <c r="N94" s="95" t="s">
        <v>287</v>
      </c>
      <c r="O94" s="194" t="e">
        <f t="shared" ref="O94:AL94" si="23">+O84-O93</f>
        <v>#REF!</v>
      </c>
      <c r="P94" s="194" t="e">
        <f t="shared" si="23"/>
        <v>#REF!</v>
      </c>
      <c r="Q94" s="96" t="e">
        <f t="shared" si="23"/>
        <v>#REF!</v>
      </c>
      <c r="R94" s="96" t="e">
        <f t="shared" si="23"/>
        <v>#REF!</v>
      </c>
      <c r="S94" s="96" t="e">
        <f t="shared" si="23"/>
        <v>#REF!</v>
      </c>
      <c r="T94" s="96" t="e">
        <f t="shared" si="23"/>
        <v>#REF!</v>
      </c>
      <c r="U94" s="96" t="e">
        <f t="shared" si="23"/>
        <v>#REF!</v>
      </c>
      <c r="V94" s="96" t="e">
        <f t="shared" si="23"/>
        <v>#REF!</v>
      </c>
      <c r="W94" s="96" t="e">
        <f t="shared" si="23"/>
        <v>#REF!</v>
      </c>
      <c r="X94" s="96" t="e">
        <f t="shared" si="23"/>
        <v>#REF!</v>
      </c>
      <c r="Y94" s="96" t="e">
        <f t="shared" si="23"/>
        <v>#REF!</v>
      </c>
      <c r="Z94" s="96" t="e">
        <f t="shared" si="23"/>
        <v>#REF!</v>
      </c>
      <c r="AA94" s="96" t="e">
        <f t="shared" si="23"/>
        <v>#REF!</v>
      </c>
      <c r="AB94" s="96" t="e">
        <f t="shared" si="23"/>
        <v>#REF!</v>
      </c>
      <c r="AC94" s="96" t="e">
        <f t="shared" si="23"/>
        <v>#REF!</v>
      </c>
      <c r="AD94" s="96" t="e">
        <f t="shared" si="23"/>
        <v>#REF!</v>
      </c>
      <c r="AE94" s="96" t="e">
        <f t="shared" si="23"/>
        <v>#REF!</v>
      </c>
      <c r="AF94" s="96" t="e">
        <f t="shared" si="23"/>
        <v>#REF!</v>
      </c>
      <c r="AG94" s="96" t="e">
        <f t="shared" si="23"/>
        <v>#REF!</v>
      </c>
      <c r="AH94" s="96" t="e">
        <f t="shared" si="23"/>
        <v>#REF!</v>
      </c>
      <c r="AI94" s="96" t="e">
        <f t="shared" si="23"/>
        <v>#REF!</v>
      </c>
      <c r="AJ94" s="96" t="e">
        <f t="shared" si="23"/>
        <v>#REF!</v>
      </c>
      <c r="AK94" s="96" t="e">
        <f t="shared" si="23"/>
        <v>#REF!</v>
      </c>
      <c r="AL94" s="96">
        <f t="shared" si="23"/>
        <v>273.88838784701562</v>
      </c>
      <c r="AM94" s="69" t="e">
        <f t="shared" si="19"/>
        <v>#REF!</v>
      </c>
    </row>
    <row r="95" spans="1:39" s="17" customFormat="1" ht="20.100000000000001" customHeight="1" thickBot="1">
      <c r="A95" s="38"/>
      <c r="B95" s="38"/>
      <c r="C95" s="38"/>
      <c r="D95" s="38"/>
      <c r="E95" s="38"/>
      <c r="F95" s="38"/>
      <c r="G95" s="38"/>
      <c r="N95" s="97" t="s">
        <v>288</v>
      </c>
      <c r="O95" s="195" t="e">
        <f>SUM($O$94:O94)</f>
        <v>#REF!</v>
      </c>
      <c r="P95" s="195" t="e">
        <f>SUM($O$94:P94)</f>
        <v>#REF!</v>
      </c>
      <c r="Q95" s="195" t="e">
        <f>SUM($O$94:Q94)</f>
        <v>#REF!</v>
      </c>
      <c r="R95" s="195" t="e">
        <f>SUM($O$94:R94)</f>
        <v>#REF!</v>
      </c>
      <c r="S95" s="195" t="e">
        <f>SUM($O$94:S94)</f>
        <v>#REF!</v>
      </c>
      <c r="T95" s="195" t="e">
        <f>SUM($O$94:T94)</f>
        <v>#REF!</v>
      </c>
      <c r="U95" s="195" t="e">
        <f>SUM($O$94:U94)</f>
        <v>#REF!</v>
      </c>
      <c r="V95" s="195" t="e">
        <f>SUM($O$94:V94)</f>
        <v>#REF!</v>
      </c>
      <c r="W95" s="195" t="e">
        <f>SUM($O$94:W94)</f>
        <v>#REF!</v>
      </c>
      <c r="X95" s="195" t="e">
        <f>SUM($O$94:X94)</f>
        <v>#REF!</v>
      </c>
      <c r="Y95" s="195" t="e">
        <f>SUM($O$94:Y94)</f>
        <v>#REF!</v>
      </c>
      <c r="Z95" s="195" t="e">
        <f>SUM($O$94:Z94)</f>
        <v>#REF!</v>
      </c>
      <c r="AA95" s="195" t="e">
        <f>SUM($O$94:AA94)</f>
        <v>#REF!</v>
      </c>
      <c r="AB95" s="195" t="e">
        <f>SUM($O$94:AB94)</f>
        <v>#REF!</v>
      </c>
      <c r="AC95" s="195" t="e">
        <f>SUM($O$94:AC94)</f>
        <v>#REF!</v>
      </c>
      <c r="AD95" s="195" t="e">
        <f>SUM($O$94:AD94)</f>
        <v>#REF!</v>
      </c>
      <c r="AE95" s="195" t="e">
        <f>SUM($O$94:AE94)</f>
        <v>#REF!</v>
      </c>
      <c r="AF95" s="195" t="e">
        <f>SUM($O$94:AF94)</f>
        <v>#REF!</v>
      </c>
      <c r="AG95" s="195" t="e">
        <f>SUM($O$94:AG94)</f>
        <v>#REF!</v>
      </c>
      <c r="AH95" s="195" t="e">
        <f>SUM($O$94:AH94)</f>
        <v>#REF!</v>
      </c>
      <c r="AI95" s="195" t="e">
        <f>SUM($O$94:AI94)</f>
        <v>#REF!</v>
      </c>
      <c r="AJ95" s="195" t="e">
        <f>SUM($O$94:AJ94)</f>
        <v>#REF!</v>
      </c>
      <c r="AK95" s="195" t="e">
        <f>SUM($O$94:AK94)</f>
        <v>#REF!</v>
      </c>
      <c r="AL95" s="195" t="e">
        <f>SUM($O$94:AL94)</f>
        <v>#REF!</v>
      </c>
      <c r="AM95" s="69"/>
    </row>
    <row r="96" spans="1:39" s="17" customFormat="1" ht="20.100000000000001" customHeight="1">
      <c r="A96" s="38"/>
      <c r="B96" s="38"/>
      <c r="C96" s="38"/>
      <c r="D96" s="38"/>
      <c r="E96" s="38"/>
      <c r="F96" s="38"/>
      <c r="G96" s="38"/>
      <c r="O96" s="114"/>
      <c r="P96" s="114"/>
      <c r="V96" s="17">
        <f>+V77</f>
        <v>0</v>
      </c>
      <c r="AH96" s="17">
        <f>+V96</f>
        <v>0</v>
      </c>
    </row>
    <row r="97" spans="1:42" s="17" customFormat="1" ht="20.100000000000001" customHeight="1">
      <c r="N97" s="18" t="s">
        <v>289</v>
      </c>
      <c r="O97" s="114"/>
      <c r="P97" s="114"/>
      <c r="Q97" s="32"/>
      <c r="T97" s="38"/>
      <c r="U97" s="39"/>
      <c r="V97" s="39"/>
      <c r="W97" s="39"/>
      <c r="X97" s="39"/>
      <c r="Y97" s="39"/>
      <c r="Z97" s="39"/>
      <c r="AA97" s="39"/>
      <c r="AB97" s="39"/>
      <c r="AC97" s="39"/>
      <c r="AD97" s="39"/>
      <c r="AM97" s="69"/>
    </row>
    <row r="98" spans="1:42" s="17" customFormat="1" ht="20.100000000000001" customHeight="1">
      <c r="A98" s="38"/>
      <c r="B98" s="35"/>
      <c r="C98" s="38"/>
      <c r="D98" s="38"/>
      <c r="E98" s="40"/>
      <c r="F98" s="40"/>
      <c r="G98" s="40"/>
      <c r="N98" s="18"/>
      <c r="O98" s="114"/>
      <c r="P98" s="114"/>
      <c r="Q98" s="32"/>
      <c r="T98" s="38"/>
      <c r="U98" s="39">
        <f>+U79</f>
        <v>0</v>
      </c>
      <c r="V98" s="39"/>
      <c r="W98" s="39"/>
      <c r="X98" s="39"/>
      <c r="Y98" s="39"/>
      <c r="Z98" s="39"/>
      <c r="AA98" s="39"/>
      <c r="AB98" s="39"/>
      <c r="AC98" s="39"/>
      <c r="AD98" s="39"/>
      <c r="AH98" s="17">
        <f>+U98</f>
        <v>0</v>
      </c>
      <c r="AM98" s="69"/>
    </row>
    <row r="99" spans="1:42" s="17" customFormat="1" ht="20.100000000000001" customHeight="1">
      <c r="A99" s="38"/>
      <c r="B99" s="59"/>
      <c r="C99" s="59"/>
      <c r="D99" s="59"/>
      <c r="E99" s="59"/>
      <c r="F99" s="59"/>
      <c r="G99" s="59"/>
      <c r="N99" s="25" t="s">
        <v>1</v>
      </c>
      <c r="O99" s="187" t="str">
        <f t="shared" ref="O99:AL99" si="24">+O67</f>
        <v>Yr 1</v>
      </c>
      <c r="P99" s="187" t="str">
        <f t="shared" si="24"/>
        <v>Yr 2</v>
      </c>
      <c r="Q99" s="65" t="str">
        <f t="shared" si="24"/>
        <v>Yr 3</v>
      </c>
      <c r="R99" s="65" t="str">
        <f t="shared" si="24"/>
        <v>Yr 4</v>
      </c>
      <c r="S99" s="65" t="str">
        <f t="shared" si="24"/>
        <v>Yr 5</v>
      </c>
      <c r="T99" s="65" t="str">
        <f t="shared" si="24"/>
        <v>Yr 6</v>
      </c>
      <c r="U99" s="65" t="str">
        <f t="shared" si="24"/>
        <v>Yr 7</v>
      </c>
      <c r="V99" s="65" t="str">
        <f t="shared" si="24"/>
        <v>Yr 8</v>
      </c>
      <c r="W99" s="65" t="str">
        <f t="shared" si="24"/>
        <v>Yr 9</v>
      </c>
      <c r="X99" s="65" t="str">
        <f t="shared" si="24"/>
        <v>Yr 10</v>
      </c>
      <c r="Y99" s="65" t="str">
        <f t="shared" si="24"/>
        <v>Yr 11</v>
      </c>
      <c r="Z99" s="65" t="str">
        <f t="shared" si="24"/>
        <v>Yr 12</v>
      </c>
      <c r="AA99" s="65" t="str">
        <f t="shared" si="24"/>
        <v>Yr 13</v>
      </c>
      <c r="AB99" s="65" t="str">
        <f t="shared" si="24"/>
        <v>Yr 14</v>
      </c>
      <c r="AC99" s="65" t="str">
        <f t="shared" si="24"/>
        <v>Yr 15</v>
      </c>
      <c r="AD99" s="65" t="str">
        <f t="shared" si="24"/>
        <v>Yr 16</v>
      </c>
      <c r="AE99" s="65" t="str">
        <f t="shared" si="24"/>
        <v>Yr 17</v>
      </c>
      <c r="AF99" s="65" t="str">
        <f t="shared" si="24"/>
        <v>Yr 18</v>
      </c>
      <c r="AG99" s="65" t="str">
        <f t="shared" si="24"/>
        <v>Yr 19</v>
      </c>
      <c r="AH99" s="65" t="str">
        <f t="shared" si="24"/>
        <v>Yr 20</v>
      </c>
      <c r="AI99" s="65" t="str">
        <f t="shared" si="24"/>
        <v>Yr 21</v>
      </c>
      <c r="AJ99" s="65" t="str">
        <f t="shared" si="24"/>
        <v>Yr 22</v>
      </c>
      <c r="AK99" s="65" t="str">
        <f t="shared" si="24"/>
        <v>Yr 23</v>
      </c>
      <c r="AL99" s="65" t="str">
        <f t="shared" si="24"/>
        <v>Yr 24</v>
      </c>
      <c r="AM99" s="99" t="s">
        <v>951</v>
      </c>
      <c r="AN99" s="26" t="s">
        <v>952</v>
      </c>
      <c r="AO99" s="26" t="s">
        <v>952</v>
      </c>
      <c r="AP99" s="26" t="s">
        <v>953</v>
      </c>
    </row>
    <row r="100" spans="1:42" s="17" customFormat="1" ht="20.100000000000001" customHeight="1">
      <c r="A100" s="38"/>
      <c r="B100" s="40"/>
      <c r="C100" s="40"/>
      <c r="D100" s="40"/>
      <c r="E100" s="40"/>
      <c r="F100" s="40"/>
      <c r="G100" s="40"/>
      <c r="M100" s="27" t="s">
        <v>9</v>
      </c>
      <c r="N100" s="18" t="s">
        <v>290</v>
      </c>
      <c r="O100" s="196"/>
      <c r="P100" s="196"/>
      <c r="Q100" s="100"/>
      <c r="R100" s="100"/>
      <c r="S100" s="100"/>
      <c r="T100" s="100"/>
      <c r="U100" s="100"/>
      <c r="V100" s="100"/>
      <c r="W100" s="100"/>
      <c r="X100" s="100"/>
      <c r="Y100" s="100"/>
      <c r="Z100" s="100"/>
      <c r="AA100" s="100"/>
      <c r="AB100" s="100"/>
      <c r="AC100" s="100"/>
      <c r="AD100" s="100"/>
      <c r="AE100" s="100"/>
      <c r="AF100" s="100"/>
      <c r="AG100" s="100"/>
      <c r="AH100" s="100"/>
      <c r="AI100" s="100"/>
      <c r="AM100" s="99"/>
      <c r="AN100" s="26"/>
      <c r="AO100" s="26"/>
      <c r="AP100" s="26"/>
    </row>
    <row r="101" spans="1:42" s="17" customFormat="1" ht="20.100000000000001" customHeight="1">
      <c r="A101" s="38"/>
      <c r="B101" s="59"/>
      <c r="C101" s="59"/>
      <c r="D101" s="59"/>
      <c r="E101" s="59"/>
      <c r="F101" s="59"/>
      <c r="G101" s="59"/>
      <c r="K101" s="17" t="e">
        <f>+C73</f>
        <v>#REF!</v>
      </c>
      <c r="L101" s="17" t="e">
        <f>SUM(O101:R101)</f>
        <v>#REF!</v>
      </c>
      <c r="M101" s="101">
        <v>1</v>
      </c>
      <c r="N101" s="17" t="s">
        <v>291</v>
      </c>
      <c r="O101" s="197" t="e">
        <f>+C68</f>
        <v>#REF!</v>
      </c>
      <c r="P101" s="197" t="e">
        <f>+C69</f>
        <v>#REF!</v>
      </c>
      <c r="Q101" s="102" t="e">
        <f>C70</f>
        <v>#REF!</v>
      </c>
      <c r="R101" s="102" t="e">
        <f>C71+C72</f>
        <v>#REF!</v>
      </c>
      <c r="S101" s="102">
        <f t="shared" ref="S101:AI101" si="25">+S88+S89</f>
        <v>0</v>
      </c>
      <c r="T101" s="102">
        <f t="shared" si="25"/>
        <v>0</v>
      </c>
      <c r="U101" s="102">
        <f t="shared" si="25"/>
        <v>0</v>
      </c>
      <c r="V101" s="102">
        <f t="shared" si="25"/>
        <v>0</v>
      </c>
      <c r="W101" s="102">
        <f t="shared" si="25"/>
        <v>0</v>
      </c>
      <c r="X101" s="102">
        <f t="shared" si="25"/>
        <v>0</v>
      </c>
      <c r="Y101" s="102">
        <f t="shared" si="25"/>
        <v>0</v>
      </c>
      <c r="Z101" s="102">
        <f t="shared" si="25"/>
        <v>0</v>
      </c>
      <c r="AA101" s="102">
        <f t="shared" si="25"/>
        <v>0</v>
      </c>
      <c r="AB101" s="102">
        <f t="shared" si="25"/>
        <v>0</v>
      </c>
      <c r="AC101" s="102">
        <f t="shared" si="25"/>
        <v>0</v>
      </c>
      <c r="AD101" s="102">
        <f t="shared" si="25"/>
        <v>0</v>
      </c>
      <c r="AE101" s="102">
        <f t="shared" si="25"/>
        <v>0</v>
      </c>
      <c r="AF101" s="102">
        <f t="shared" si="25"/>
        <v>0</v>
      </c>
      <c r="AG101" s="102">
        <f t="shared" si="25"/>
        <v>0</v>
      </c>
      <c r="AH101" s="102">
        <f t="shared" si="25"/>
        <v>0</v>
      </c>
      <c r="AI101" s="102">
        <f t="shared" si="25"/>
        <v>0</v>
      </c>
      <c r="AM101" s="69" t="e">
        <f>NPV(0.1,O101:AJ101)</f>
        <v>#REF!</v>
      </c>
      <c r="AP101" s="17" t="e">
        <f>+AM105/AM101</f>
        <v>#REF!</v>
      </c>
    </row>
    <row r="102" spans="1:42" s="17" customFormat="1" ht="20.100000000000001" customHeight="1">
      <c r="B102" s="38"/>
      <c r="C102" s="38"/>
      <c r="D102" s="38"/>
      <c r="E102" s="38"/>
      <c r="F102" s="38"/>
      <c r="G102" s="38"/>
      <c r="M102" s="101">
        <v>2</v>
      </c>
      <c r="N102" s="17" t="s">
        <v>286</v>
      </c>
      <c r="O102" s="197">
        <f t="shared" ref="O102:AL102" si="26">+O73</f>
        <v>0</v>
      </c>
      <c r="P102" s="197">
        <f t="shared" si="26"/>
        <v>0</v>
      </c>
      <c r="Q102" s="102" t="e">
        <f t="shared" si="26"/>
        <v>#REF!</v>
      </c>
      <c r="R102" s="102" t="e">
        <f t="shared" si="26"/>
        <v>#REF!</v>
      </c>
      <c r="S102" s="102" t="e">
        <f t="shared" si="26"/>
        <v>#REF!</v>
      </c>
      <c r="T102" s="102" t="e">
        <f t="shared" si="26"/>
        <v>#REF!</v>
      </c>
      <c r="U102" s="102" t="e">
        <f t="shared" si="26"/>
        <v>#REF!</v>
      </c>
      <c r="V102" s="102" t="e">
        <f t="shared" si="26"/>
        <v>#REF!</v>
      </c>
      <c r="W102" s="102" t="e">
        <f t="shared" si="26"/>
        <v>#REF!</v>
      </c>
      <c r="X102" s="102" t="e">
        <f t="shared" si="26"/>
        <v>#REF!</v>
      </c>
      <c r="Y102" s="102" t="e">
        <f t="shared" si="26"/>
        <v>#REF!</v>
      </c>
      <c r="Z102" s="102" t="e">
        <f t="shared" si="26"/>
        <v>#REF!</v>
      </c>
      <c r="AA102" s="102" t="e">
        <f t="shared" si="26"/>
        <v>#REF!</v>
      </c>
      <c r="AB102" s="102" t="e">
        <f t="shared" si="26"/>
        <v>#REF!</v>
      </c>
      <c r="AC102" s="102" t="e">
        <f t="shared" si="26"/>
        <v>#REF!</v>
      </c>
      <c r="AD102" s="102" t="e">
        <f t="shared" si="26"/>
        <v>#REF!</v>
      </c>
      <c r="AE102" s="102" t="e">
        <f t="shared" si="26"/>
        <v>#REF!</v>
      </c>
      <c r="AF102" s="102" t="e">
        <f t="shared" si="26"/>
        <v>#REF!</v>
      </c>
      <c r="AG102" s="102" t="e">
        <f t="shared" si="26"/>
        <v>#REF!</v>
      </c>
      <c r="AH102" s="102" t="e">
        <f t="shared" si="26"/>
        <v>#REF!</v>
      </c>
      <c r="AI102" s="102" t="e">
        <f t="shared" si="26"/>
        <v>#REF!</v>
      </c>
      <c r="AJ102" s="102" t="e">
        <f t="shared" si="26"/>
        <v>#REF!</v>
      </c>
      <c r="AK102" s="102" t="e">
        <f t="shared" si="26"/>
        <v>#REF!</v>
      </c>
      <c r="AL102" s="102">
        <f t="shared" si="26"/>
        <v>147.11565151448161</v>
      </c>
      <c r="AM102" s="69" t="e">
        <f>NPV(0.1,O102:AJ102)</f>
        <v>#REF!</v>
      </c>
    </row>
    <row r="103" spans="1:42" s="17" customFormat="1" ht="20.100000000000001" customHeight="1">
      <c r="A103" s="38"/>
      <c r="B103" s="76"/>
      <c r="C103" s="38"/>
      <c r="D103" s="38"/>
      <c r="M103" s="101"/>
      <c r="N103" s="103" t="s">
        <v>292</v>
      </c>
      <c r="O103" s="197" t="e">
        <f t="shared" ref="O103:AL103" si="27">SUM(O101:O102)</f>
        <v>#REF!</v>
      </c>
      <c r="P103" s="197" t="e">
        <f t="shared" si="27"/>
        <v>#REF!</v>
      </c>
      <c r="Q103" s="102" t="e">
        <f t="shared" si="27"/>
        <v>#REF!</v>
      </c>
      <c r="R103" s="102" t="e">
        <f t="shared" si="27"/>
        <v>#REF!</v>
      </c>
      <c r="S103" s="102" t="e">
        <f t="shared" si="27"/>
        <v>#REF!</v>
      </c>
      <c r="T103" s="102" t="e">
        <f t="shared" si="27"/>
        <v>#REF!</v>
      </c>
      <c r="U103" s="102" t="e">
        <f t="shared" si="27"/>
        <v>#REF!</v>
      </c>
      <c r="V103" s="102" t="e">
        <f t="shared" si="27"/>
        <v>#REF!</v>
      </c>
      <c r="W103" s="102" t="e">
        <f t="shared" si="27"/>
        <v>#REF!</v>
      </c>
      <c r="X103" s="102" t="e">
        <f t="shared" si="27"/>
        <v>#REF!</v>
      </c>
      <c r="Y103" s="102" t="e">
        <f t="shared" si="27"/>
        <v>#REF!</v>
      </c>
      <c r="Z103" s="102" t="e">
        <f t="shared" si="27"/>
        <v>#REF!</v>
      </c>
      <c r="AA103" s="102" t="e">
        <f t="shared" si="27"/>
        <v>#REF!</v>
      </c>
      <c r="AB103" s="102" t="e">
        <f t="shared" si="27"/>
        <v>#REF!</v>
      </c>
      <c r="AC103" s="102" t="e">
        <f t="shared" si="27"/>
        <v>#REF!</v>
      </c>
      <c r="AD103" s="102" t="e">
        <f t="shared" si="27"/>
        <v>#REF!</v>
      </c>
      <c r="AE103" s="102" t="e">
        <f t="shared" si="27"/>
        <v>#REF!</v>
      </c>
      <c r="AF103" s="102" t="e">
        <f t="shared" si="27"/>
        <v>#REF!</v>
      </c>
      <c r="AG103" s="102" t="e">
        <f t="shared" si="27"/>
        <v>#REF!</v>
      </c>
      <c r="AH103" s="102" t="e">
        <f t="shared" si="27"/>
        <v>#REF!</v>
      </c>
      <c r="AI103" s="102" t="e">
        <f t="shared" si="27"/>
        <v>#REF!</v>
      </c>
      <c r="AJ103" s="102" t="e">
        <f t="shared" si="27"/>
        <v>#REF!</v>
      </c>
      <c r="AK103" s="102" t="e">
        <f t="shared" si="27"/>
        <v>#REF!</v>
      </c>
      <c r="AL103" s="102">
        <f t="shared" si="27"/>
        <v>147.11565151448161</v>
      </c>
      <c r="AM103" s="69"/>
    </row>
    <row r="104" spans="1:42" s="17" customFormat="1" ht="20.100000000000001" customHeight="1">
      <c r="B104" s="35"/>
      <c r="C104" s="35"/>
      <c r="D104" s="38"/>
      <c r="E104" s="32"/>
      <c r="F104" s="52"/>
      <c r="G104" s="32"/>
      <c r="M104" s="27" t="s">
        <v>10</v>
      </c>
      <c r="N104" s="18" t="s">
        <v>293</v>
      </c>
      <c r="O104" s="197"/>
      <c r="P104" s="197"/>
      <c r="Q104" s="102"/>
      <c r="R104" s="102"/>
      <c r="S104" s="102"/>
      <c r="T104" s="102"/>
      <c r="U104" s="102"/>
      <c r="V104" s="102"/>
      <c r="W104" s="102"/>
      <c r="X104" s="102"/>
      <c r="Y104" s="102"/>
      <c r="Z104" s="102"/>
      <c r="AA104" s="102"/>
      <c r="AB104" s="102"/>
      <c r="AC104" s="102"/>
      <c r="AD104" s="102"/>
      <c r="AE104" s="102"/>
      <c r="AF104" s="102"/>
      <c r="AG104" s="102"/>
      <c r="AH104" s="102"/>
      <c r="AI104" s="102"/>
      <c r="AJ104" s="102"/>
      <c r="AK104" s="102"/>
      <c r="AL104" s="102"/>
      <c r="AM104" s="69"/>
    </row>
    <row r="105" spans="1:42" s="17" customFormat="1" ht="20.100000000000001" customHeight="1">
      <c r="A105" s="38"/>
      <c r="B105" s="40"/>
      <c r="C105" s="35"/>
      <c r="D105" s="38"/>
      <c r="E105" s="32"/>
      <c r="F105" s="55"/>
      <c r="G105" s="32"/>
      <c r="M105" s="101">
        <v>1</v>
      </c>
      <c r="N105" s="17" t="s">
        <v>294</v>
      </c>
      <c r="O105" s="185">
        <f t="shared" ref="O105:AK105" si="28">+O81</f>
        <v>0</v>
      </c>
      <c r="P105" s="185">
        <f t="shared" si="28"/>
        <v>0</v>
      </c>
      <c r="Q105" s="104">
        <f t="shared" si="28"/>
        <v>0</v>
      </c>
      <c r="R105" s="104">
        <f t="shared" si="28"/>
        <v>336.80323148919786</v>
      </c>
      <c r="S105" s="104">
        <f t="shared" si="28"/>
        <v>757.80727085069509</v>
      </c>
      <c r="T105" s="104">
        <f t="shared" si="28"/>
        <v>842.00807872299447</v>
      </c>
      <c r="U105" s="104">
        <f t="shared" si="28"/>
        <v>842.00807872299447</v>
      </c>
      <c r="V105" s="104">
        <f t="shared" si="28"/>
        <v>842.00807872299447</v>
      </c>
      <c r="W105" s="104">
        <f t="shared" si="28"/>
        <v>842.00807872299447</v>
      </c>
      <c r="X105" s="104">
        <f t="shared" si="28"/>
        <v>842.00807872299447</v>
      </c>
      <c r="Y105" s="104">
        <f t="shared" si="28"/>
        <v>842.00807872299447</v>
      </c>
      <c r="Z105" s="104">
        <f t="shared" si="28"/>
        <v>842.00807872299447</v>
      </c>
      <c r="AA105" s="104">
        <f t="shared" si="28"/>
        <v>842.00807872299447</v>
      </c>
      <c r="AB105" s="104">
        <f t="shared" si="28"/>
        <v>842.00807872299447</v>
      </c>
      <c r="AC105" s="104">
        <f t="shared" si="28"/>
        <v>842.00807872299447</v>
      </c>
      <c r="AD105" s="104">
        <f t="shared" si="28"/>
        <v>842.00807872299447</v>
      </c>
      <c r="AE105" s="104">
        <f t="shared" si="28"/>
        <v>842.00807872299447</v>
      </c>
      <c r="AF105" s="104">
        <f t="shared" si="28"/>
        <v>842.00807872299447</v>
      </c>
      <c r="AG105" s="104">
        <f t="shared" si="28"/>
        <v>842.00807872299447</v>
      </c>
      <c r="AH105" s="104">
        <f t="shared" si="28"/>
        <v>842.00807872299447</v>
      </c>
      <c r="AI105" s="104">
        <f t="shared" si="28"/>
        <v>842.00807872299447</v>
      </c>
      <c r="AJ105" s="104">
        <f t="shared" si="28"/>
        <v>842.00807872299447</v>
      </c>
      <c r="AK105" s="104">
        <f t="shared" si="28"/>
        <v>842.00807872299447</v>
      </c>
      <c r="AL105" s="104" t="e">
        <f>+AL81+AO70*0.05</f>
        <v>#REF!</v>
      </c>
      <c r="AM105" s="69">
        <f>NPV(0.1,O105:AJ105)</f>
        <v>4894.4145129535673</v>
      </c>
    </row>
    <row r="106" spans="1:42" s="17" customFormat="1" ht="20.100000000000001" customHeight="1">
      <c r="A106" s="38"/>
      <c r="B106" s="40"/>
      <c r="C106" s="35"/>
      <c r="D106" s="38"/>
      <c r="E106" s="32"/>
      <c r="F106" s="55"/>
      <c r="G106" s="32"/>
      <c r="L106" s="17" t="e">
        <f>SUM(O106:S106)</f>
        <v>#REF!</v>
      </c>
      <c r="M106" s="101">
        <v>2</v>
      </c>
      <c r="N106" s="17" t="s">
        <v>954</v>
      </c>
      <c r="O106" s="185"/>
      <c r="P106" s="185"/>
      <c r="Q106" s="185"/>
      <c r="R106" s="185" t="e">
        <f>+$J$73/2</f>
        <v>#REF!</v>
      </c>
      <c r="S106" s="185" t="e">
        <f>+$J$73/2</f>
        <v>#REF!</v>
      </c>
      <c r="T106" s="104"/>
      <c r="U106" s="104"/>
      <c r="V106" s="104"/>
      <c r="W106" s="104"/>
      <c r="X106" s="104"/>
      <c r="Y106" s="104"/>
      <c r="Z106" s="104"/>
      <c r="AA106" s="104"/>
      <c r="AB106" s="104"/>
      <c r="AC106" s="104"/>
      <c r="AD106" s="104"/>
      <c r="AE106" s="104"/>
      <c r="AF106" s="104"/>
      <c r="AG106" s="104"/>
      <c r="AH106" s="104"/>
      <c r="AI106" s="104"/>
      <c r="AJ106" s="104"/>
      <c r="AK106" s="104"/>
      <c r="AL106" s="104" t="e">
        <f>AO70*0.05</f>
        <v>#REF!</v>
      </c>
      <c r="AM106" s="69"/>
    </row>
    <row r="107" spans="1:42" s="17" customFormat="1" ht="20.100000000000001" customHeight="1">
      <c r="A107" s="38"/>
      <c r="B107" s="40"/>
      <c r="C107" s="35"/>
      <c r="D107" s="38"/>
      <c r="E107" s="32"/>
      <c r="F107" s="55"/>
      <c r="G107" s="32"/>
      <c r="M107" s="101"/>
      <c r="N107" s="31" t="s">
        <v>295</v>
      </c>
      <c r="O107" s="185">
        <f t="shared" ref="O107:AL107" si="29">SUM(O105:O106)</f>
        <v>0</v>
      </c>
      <c r="P107" s="185">
        <f t="shared" si="29"/>
        <v>0</v>
      </c>
      <c r="Q107" s="104">
        <f t="shared" si="29"/>
        <v>0</v>
      </c>
      <c r="R107" s="104" t="e">
        <f t="shared" si="29"/>
        <v>#REF!</v>
      </c>
      <c r="S107" s="104" t="e">
        <f t="shared" si="29"/>
        <v>#REF!</v>
      </c>
      <c r="T107" s="104">
        <f t="shared" si="29"/>
        <v>842.00807872299447</v>
      </c>
      <c r="U107" s="104">
        <f t="shared" si="29"/>
        <v>842.00807872299447</v>
      </c>
      <c r="V107" s="104">
        <f t="shared" si="29"/>
        <v>842.00807872299447</v>
      </c>
      <c r="W107" s="104">
        <f t="shared" si="29"/>
        <v>842.00807872299447</v>
      </c>
      <c r="X107" s="104">
        <f t="shared" si="29"/>
        <v>842.00807872299447</v>
      </c>
      <c r="Y107" s="104">
        <f t="shared" si="29"/>
        <v>842.00807872299447</v>
      </c>
      <c r="Z107" s="104">
        <f t="shared" si="29"/>
        <v>842.00807872299447</v>
      </c>
      <c r="AA107" s="104">
        <f t="shared" si="29"/>
        <v>842.00807872299447</v>
      </c>
      <c r="AB107" s="104">
        <f t="shared" si="29"/>
        <v>842.00807872299447</v>
      </c>
      <c r="AC107" s="104">
        <f t="shared" si="29"/>
        <v>842.00807872299447</v>
      </c>
      <c r="AD107" s="104">
        <f t="shared" si="29"/>
        <v>842.00807872299447</v>
      </c>
      <c r="AE107" s="104">
        <f t="shared" si="29"/>
        <v>842.00807872299447</v>
      </c>
      <c r="AF107" s="104">
        <f t="shared" si="29"/>
        <v>842.00807872299447</v>
      </c>
      <c r="AG107" s="104">
        <f t="shared" si="29"/>
        <v>842.00807872299447</v>
      </c>
      <c r="AH107" s="104">
        <f t="shared" si="29"/>
        <v>842.00807872299447</v>
      </c>
      <c r="AI107" s="104">
        <f t="shared" si="29"/>
        <v>842.00807872299447</v>
      </c>
      <c r="AJ107" s="104">
        <f t="shared" si="29"/>
        <v>842.00807872299447</v>
      </c>
      <c r="AK107" s="104">
        <f t="shared" si="29"/>
        <v>842.00807872299447</v>
      </c>
      <c r="AL107" s="104" t="e">
        <f t="shared" si="29"/>
        <v>#REF!</v>
      </c>
      <c r="AM107" s="69"/>
    </row>
    <row r="108" spans="1:42" s="17" customFormat="1" ht="20.100000000000001" customHeight="1">
      <c r="A108" s="38"/>
      <c r="B108" s="40"/>
      <c r="C108" s="40"/>
      <c r="D108" s="59"/>
      <c r="E108" s="58"/>
      <c r="F108" s="58"/>
      <c r="G108" s="58"/>
      <c r="M108" s="27" t="s">
        <v>11</v>
      </c>
      <c r="N108" s="18" t="s">
        <v>296</v>
      </c>
      <c r="O108" s="185"/>
      <c r="P108" s="185"/>
      <c r="Q108" s="104"/>
      <c r="R108" s="104"/>
      <c r="S108" s="104"/>
      <c r="T108" s="104"/>
      <c r="U108" s="104"/>
      <c r="V108" s="104"/>
      <c r="W108" s="104"/>
      <c r="X108" s="104"/>
      <c r="Y108" s="104"/>
      <c r="Z108" s="104"/>
      <c r="AA108" s="104"/>
      <c r="AB108" s="104"/>
      <c r="AC108" s="104"/>
      <c r="AD108" s="104"/>
      <c r="AE108" s="104"/>
      <c r="AF108" s="104"/>
      <c r="AG108" s="104"/>
      <c r="AH108" s="104"/>
      <c r="AI108" s="104"/>
      <c r="AJ108" s="104"/>
      <c r="AK108" s="104"/>
      <c r="AL108" s="104"/>
      <c r="AM108" s="69"/>
    </row>
    <row r="109" spans="1:42" s="17" customFormat="1" ht="20.100000000000001" customHeight="1">
      <c r="A109" s="38"/>
      <c r="B109" s="35"/>
      <c r="C109" s="38"/>
      <c r="D109" s="38"/>
      <c r="E109" s="32"/>
      <c r="F109" s="32"/>
      <c r="G109" s="32"/>
      <c r="M109" s="101">
        <v>1</v>
      </c>
      <c r="N109" s="17" t="s">
        <v>297</v>
      </c>
      <c r="O109" s="197" t="e">
        <f t="shared" ref="O109:AL109" si="30">+O107-O103+O102</f>
        <v>#REF!</v>
      </c>
      <c r="P109" s="197" t="e">
        <f t="shared" si="30"/>
        <v>#REF!</v>
      </c>
      <c r="Q109" s="102" t="e">
        <f t="shared" si="30"/>
        <v>#REF!</v>
      </c>
      <c r="R109" s="102" t="e">
        <f t="shared" si="30"/>
        <v>#REF!</v>
      </c>
      <c r="S109" s="102" t="e">
        <f t="shared" si="30"/>
        <v>#REF!</v>
      </c>
      <c r="T109" s="102" t="e">
        <f t="shared" si="30"/>
        <v>#REF!</v>
      </c>
      <c r="U109" s="102" t="e">
        <f t="shared" si="30"/>
        <v>#REF!</v>
      </c>
      <c r="V109" s="102" t="e">
        <f t="shared" si="30"/>
        <v>#REF!</v>
      </c>
      <c r="W109" s="102" t="e">
        <f t="shared" si="30"/>
        <v>#REF!</v>
      </c>
      <c r="X109" s="102" t="e">
        <f t="shared" si="30"/>
        <v>#REF!</v>
      </c>
      <c r="Y109" s="102" t="e">
        <f t="shared" si="30"/>
        <v>#REF!</v>
      </c>
      <c r="Z109" s="102" t="e">
        <f t="shared" si="30"/>
        <v>#REF!</v>
      </c>
      <c r="AA109" s="102" t="e">
        <f t="shared" si="30"/>
        <v>#REF!</v>
      </c>
      <c r="AB109" s="102" t="e">
        <f t="shared" si="30"/>
        <v>#REF!</v>
      </c>
      <c r="AC109" s="102" t="e">
        <f t="shared" si="30"/>
        <v>#REF!</v>
      </c>
      <c r="AD109" s="102" t="e">
        <f t="shared" si="30"/>
        <v>#REF!</v>
      </c>
      <c r="AE109" s="102" t="e">
        <f t="shared" si="30"/>
        <v>#REF!</v>
      </c>
      <c r="AF109" s="102" t="e">
        <f t="shared" si="30"/>
        <v>#REF!</v>
      </c>
      <c r="AG109" s="102" t="e">
        <f t="shared" si="30"/>
        <v>#REF!</v>
      </c>
      <c r="AH109" s="102" t="e">
        <f t="shared" si="30"/>
        <v>#REF!</v>
      </c>
      <c r="AI109" s="102" t="e">
        <f t="shared" si="30"/>
        <v>#REF!</v>
      </c>
      <c r="AJ109" s="102" t="e">
        <f t="shared" si="30"/>
        <v>#REF!</v>
      </c>
      <c r="AK109" s="102" t="e">
        <f t="shared" si="30"/>
        <v>#REF!</v>
      </c>
      <c r="AL109" s="102" t="e">
        <f t="shared" si="30"/>
        <v>#REF!</v>
      </c>
      <c r="AM109" s="69"/>
      <c r="AN109" s="105"/>
      <c r="AO109" s="105"/>
    </row>
    <row r="110" spans="1:42" s="17" customFormat="1" ht="20.100000000000001" customHeight="1">
      <c r="A110" s="38"/>
      <c r="B110" s="35"/>
      <c r="C110" s="38"/>
      <c r="D110" s="38"/>
      <c r="E110" s="32"/>
      <c r="F110" s="32"/>
      <c r="G110" s="32"/>
      <c r="M110" s="101">
        <v>2</v>
      </c>
      <c r="N110" s="17" t="s">
        <v>298</v>
      </c>
      <c r="O110" s="114" t="e">
        <f t="shared" ref="O110:AL110" si="31">+O107-O103</f>
        <v>#REF!</v>
      </c>
      <c r="P110" s="114" t="e">
        <f t="shared" si="31"/>
        <v>#REF!</v>
      </c>
      <c r="Q110" s="17" t="e">
        <f t="shared" si="31"/>
        <v>#REF!</v>
      </c>
      <c r="R110" s="17" t="e">
        <f t="shared" si="31"/>
        <v>#REF!</v>
      </c>
      <c r="S110" s="17" t="e">
        <f t="shared" si="31"/>
        <v>#REF!</v>
      </c>
      <c r="T110" s="17" t="e">
        <f t="shared" si="31"/>
        <v>#REF!</v>
      </c>
      <c r="U110" s="17" t="e">
        <f t="shared" si="31"/>
        <v>#REF!</v>
      </c>
      <c r="V110" s="17" t="e">
        <f t="shared" si="31"/>
        <v>#REF!</v>
      </c>
      <c r="W110" s="17" t="e">
        <f t="shared" si="31"/>
        <v>#REF!</v>
      </c>
      <c r="X110" s="17" t="e">
        <f t="shared" si="31"/>
        <v>#REF!</v>
      </c>
      <c r="Y110" s="17" t="e">
        <f t="shared" si="31"/>
        <v>#REF!</v>
      </c>
      <c r="Z110" s="17" t="e">
        <f t="shared" si="31"/>
        <v>#REF!</v>
      </c>
      <c r="AA110" s="17" t="e">
        <f t="shared" si="31"/>
        <v>#REF!</v>
      </c>
      <c r="AB110" s="17" t="e">
        <f t="shared" si="31"/>
        <v>#REF!</v>
      </c>
      <c r="AC110" s="17" t="e">
        <f t="shared" si="31"/>
        <v>#REF!</v>
      </c>
      <c r="AD110" s="17" t="e">
        <f t="shared" si="31"/>
        <v>#REF!</v>
      </c>
      <c r="AE110" s="17" t="e">
        <f t="shared" si="31"/>
        <v>#REF!</v>
      </c>
      <c r="AF110" s="17" t="e">
        <f t="shared" si="31"/>
        <v>#REF!</v>
      </c>
      <c r="AG110" s="17" t="e">
        <f t="shared" si="31"/>
        <v>#REF!</v>
      </c>
      <c r="AH110" s="17" t="e">
        <f t="shared" si="31"/>
        <v>#REF!</v>
      </c>
      <c r="AI110" s="17" t="e">
        <f t="shared" si="31"/>
        <v>#REF!</v>
      </c>
      <c r="AJ110" s="17" t="e">
        <f t="shared" si="31"/>
        <v>#REF!</v>
      </c>
      <c r="AK110" s="17" t="e">
        <f t="shared" si="31"/>
        <v>#REF!</v>
      </c>
      <c r="AL110" s="17" t="e">
        <f t="shared" si="31"/>
        <v>#REF!</v>
      </c>
      <c r="AM110" s="69"/>
      <c r="AN110" s="105"/>
    </row>
    <row r="111" spans="1:42" s="17" customFormat="1" ht="20.100000000000001" customHeight="1">
      <c r="A111" s="38"/>
      <c r="B111" s="35"/>
      <c r="C111" s="38"/>
      <c r="D111" s="38"/>
      <c r="E111" s="32"/>
      <c r="F111" s="32"/>
      <c r="G111" s="32"/>
      <c r="M111" s="27" t="s">
        <v>12</v>
      </c>
      <c r="N111" s="18" t="s">
        <v>738</v>
      </c>
      <c r="O111" s="114"/>
      <c r="P111" s="114"/>
      <c r="AJ111" s="69"/>
      <c r="AK111" s="69"/>
      <c r="AL111" s="69"/>
      <c r="AN111" s="105"/>
    </row>
    <row r="112" spans="1:42" s="17" customFormat="1" ht="20.100000000000001" customHeight="1">
      <c r="A112" s="38"/>
      <c r="B112" s="40"/>
      <c r="C112" s="40"/>
      <c r="D112" s="38"/>
      <c r="E112" s="32"/>
      <c r="F112" s="32"/>
      <c r="G112" s="32"/>
      <c r="M112" s="106">
        <v>1</v>
      </c>
      <c r="N112" s="17" t="s">
        <v>297</v>
      </c>
      <c r="O112" s="114" t="e">
        <f>NPV(M90,O109:AL109)</f>
        <v>#REF!</v>
      </c>
      <c r="P112" s="114"/>
      <c r="AJ112" s="69"/>
      <c r="AK112" s="69"/>
      <c r="AL112" s="69"/>
      <c r="AN112" s="105"/>
    </row>
    <row r="113" spans="1:40" s="17" customFormat="1" ht="20.100000000000001" customHeight="1">
      <c r="A113" s="38"/>
      <c r="B113" s="38"/>
      <c r="C113" s="38"/>
      <c r="D113" s="59"/>
      <c r="E113" s="58"/>
      <c r="F113" s="58"/>
      <c r="G113" s="58"/>
      <c r="M113" s="101">
        <v>2</v>
      </c>
      <c r="N113" s="17" t="s">
        <v>299</v>
      </c>
      <c r="O113" s="114" t="e">
        <f>NPV(M90,O110:AL110)</f>
        <v>#REF!</v>
      </c>
      <c r="P113" s="114"/>
      <c r="AJ113" s="69"/>
      <c r="AK113" s="69"/>
      <c r="AL113" s="69"/>
      <c r="AN113" s="105"/>
    </row>
    <row r="114" spans="1:40" s="17" customFormat="1" ht="20.100000000000001" customHeight="1">
      <c r="A114" s="38"/>
      <c r="B114" s="76"/>
      <c r="C114" s="38"/>
      <c r="D114" s="38"/>
      <c r="E114" s="32"/>
      <c r="F114" s="32"/>
      <c r="G114" s="32"/>
      <c r="M114" s="27" t="s">
        <v>13</v>
      </c>
      <c r="N114" s="18" t="s">
        <v>300</v>
      </c>
      <c r="O114" s="114"/>
      <c r="P114" s="114"/>
      <c r="AJ114" s="69"/>
      <c r="AK114" s="69"/>
      <c r="AL114" s="69"/>
      <c r="AN114" s="105"/>
    </row>
    <row r="115" spans="1:40" s="17" customFormat="1" ht="20.100000000000001" customHeight="1">
      <c r="A115" s="38"/>
      <c r="B115" s="52"/>
      <c r="C115" s="52"/>
      <c r="D115" s="38"/>
      <c r="E115" s="58"/>
      <c r="F115" s="58"/>
      <c r="G115" s="58"/>
      <c r="M115" s="101">
        <v>1</v>
      </c>
      <c r="N115" s="17" t="s">
        <v>297</v>
      </c>
      <c r="O115" s="198" t="e">
        <f>IRR(O109:AL109)</f>
        <v>#VALUE!</v>
      </c>
      <c r="P115" s="114"/>
      <c r="AJ115" s="69"/>
      <c r="AK115" s="69"/>
      <c r="AL115" s="69"/>
      <c r="AN115" s="105"/>
    </row>
    <row r="116" spans="1:40" s="17" customFormat="1" ht="20.100000000000001" customHeight="1">
      <c r="B116" s="32"/>
      <c r="C116" s="52"/>
      <c r="D116" s="38"/>
      <c r="M116" s="41">
        <v>2</v>
      </c>
      <c r="N116" s="17" t="s">
        <v>299</v>
      </c>
      <c r="O116" s="198" t="e">
        <f>IRR(O110:AL110)</f>
        <v>#VALUE!</v>
      </c>
      <c r="P116" s="144"/>
      <c r="AJ116" s="69"/>
      <c r="AK116" s="69"/>
      <c r="AL116" s="69"/>
    </row>
    <row r="117" spans="1:40" s="17" customFormat="1">
      <c r="A117" s="38"/>
      <c r="B117" s="32"/>
      <c r="C117" s="32"/>
      <c r="D117" s="59"/>
      <c r="M117" s="41"/>
      <c r="O117" s="198"/>
      <c r="P117" s="144"/>
    </row>
    <row r="118" spans="1:40" s="17" customFormat="1">
      <c r="B118" s="52"/>
      <c r="C118" s="38"/>
      <c r="D118" s="38"/>
      <c r="N118" s="66"/>
      <c r="O118" s="199"/>
      <c r="P118" s="199"/>
      <c r="Q118" s="107"/>
      <c r="R118" s="107"/>
      <c r="S118" s="107"/>
      <c r="T118" s="107"/>
      <c r="U118" s="107"/>
      <c r="V118" s="107"/>
      <c r="W118" s="107"/>
      <c r="X118" s="107"/>
      <c r="Y118" s="107"/>
      <c r="Z118" s="107"/>
      <c r="AA118" s="107"/>
      <c r="AB118" s="107"/>
      <c r="AC118" s="107"/>
      <c r="AD118" s="107"/>
      <c r="AE118" s="107"/>
      <c r="AF118" s="107"/>
      <c r="AG118" s="107"/>
      <c r="AH118" s="107"/>
      <c r="AI118" s="107"/>
      <c r="AJ118" s="107"/>
      <c r="AK118" s="107"/>
      <c r="AL118" s="107"/>
    </row>
  </sheetData>
  <mergeCells count="63">
    <mergeCell ref="A5:G5"/>
    <mergeCell ref="A6:G6"/>
    <mergeCell ref="A7:G7"/>
    <mergeCell ref="A8:G8"/>
    <mergeCell ref="B10:E10"/>
    <mergeCell ref="H10:J10"/>
    <mergeCell ref="B11:E11"/>
    <mergeCell ref="H11:J11"/>
    <mergeCell ref="B12:E12"/>
    <mergeCell ref="H12:J12"/>
    <mergeCell ref="B13:E13"/>
    <mergeCell ref="H13:J13"/>
    <mergeCell ref="B14:E14"/>
    <mergeCell ref="H14:J14"/>
    <mergeCell ref="B15:E15"/>
    <mergeCell ref="H15:J15"/>
    <mergeCell ref="B16:E16"/>
    <mergeCell ref="H16:J16"/>
    <mergeCell ref="B17:E17"/>
    <mergeCell ref="H17:J17"/>
    <mergeCell ref="B18:E18"/>
    <mergeCell ref="H18:J18"/>
    <mergeCell ref="B19:E19"/>
    <mergeCell ref="H19:J19"/>
    <mergeCell ref="B20:E20"/>
    <mergeCell ref="H20:J20"/>
    <mergeCell ref="B21:E21"/>
    <mergeCell ref="H21:J21"/>
    <mergeCell ref="B22:E22"/>
    <mergeCell ref="H22:J22"/>
    <mergeCell ref="B23:E23"/>
    <mergeCell ref="H23:J23"/>
    <mergeCell ref="B24:E24"/>
    <mergeCell ref="H24:J24"/>
    <mergeCell ref="B25:E25"/>
    <mergeCell ref="H25:J25"/>
    <mergeCell ref="B26:E26"/>
    <mergeCell ref="H26:J26"/>
    <mergeCell ref="B27:E27"/>
    <mergeCell ref="B28:E28"/>
    <mergeCell ref="H28:J28"/>
    <mergeCell ref="B29:E29"/>
    <mergeCell ref="B30:E30"/>
    <mergeCell ref="H30:J30"/>
    <mergeCell ref="B31:E31"/>
    <mergeCell ref="B32:E32"/>
    <mergeCell ref="B33:E33"/>
    <mergeCell ref="B34:E34"/>
    <mergeCell ref="B35:E35"/>
    <mergeCell ref="B36:E36"/>
    <mergeCell ref="B37:E37"/>
    <mergeCell ref="B38:E38"/>
    <mergeCell ref="H38:J38"/>
    <mergeCell ref="B39:E39"/>
    <mergeCell ref="A46:E46"/>
    <mergeCell ref="H64:I64"/>
    <mergeCell ref="H78:I78"/>
    <mergeCell ref="B40:E40"/>
    <mergeCell ref="B41:E41"/>
    <mergeCell ref="B42:E42"/>
    <mergeCell ref="B43:E43"/>
    <mergeCell ref="B44:E44"/>
    <mergeCell ref="B45:E45"/>
  </mergeCells>
  <printOptions horizontalCentered="1" verticalCentered="1"/>
  <pageMargins left="0.11811023622047245" right="0.11811023622047245" top="0.35433070866141736" bottom="0.19685039370078741" header="0.31496062992125984" footer="0.31496062992125984"/>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4:AC29"/>
  <sheetViews>
    <sheetView workbookViewId="0">
      <selection activeCell="F13" sqref="F13"/>
    </sheetView>
  </sheetViews>
  <sheetFormatPr defaultColWidth="10.1796875" defaultRowHeight="15"/>
  <cols>
    <col min="1" max="1" width="5.90625" style="42" customWidth="1"/>
    <col min="2" max="2" width="26" style="42" customWidth="1"/>
    <col min="3" max="3" width="15.08984375" style="42" customWidth="1"/>
    <col min="4" max="4" width="12.36328125" style="42" customWidth="1"/>
    <col min="5" max="5" width="9.6328125" style="42" customWidth="1"/>
    <col min="6" max="6" width="12.1796875" style="42" customWidth="1"/>
    <col min="7" max="7" width="11.1796875" style="42" customWidth="1"/>
    <col min="8" max="8" width="13.6328125" style="42" customWidth="1"/>
    <col min="9" max="9" width="14.90625" style="42" customWidth="1"/>
    <col min="10" max="10" width="11.36328125" style="42" customWidth="1"/>
    <col min="11" max="11" width="14.1796875" style="383" customWidth="1"/>
    <col min="12" max="12" width="11.08984375" style="42" customWidth="1"/>
    <col min="13" max="13" width="9.1796875" style="42" customWidth="1"/>
    <col min="14" max="16" width="10.1796875" style="42" customWidth="1"/>
    <col min="17" max="17" width="8.36328125" style="42" customWidth="1"/>
    <col min="18" max="20" width="10.1796875" style="42" customWidth="1"/>
    <col min="21" max="21" width="2.36328125" style="42" customWidth="1"/>
    <col min="22" max="22" width="16.90625" style="42" customWidth="1"/>
    <col min="23" max="23" width="15.08984375" style="42" customWidth="1"/>
    <col min="24" max="24" width="9.08984375" style="42" customWidth="1"/>
    <col min="25" max="25" width="9.1796875" style="42" customWidth="1"/>
    <col min="26" max="26" width="9" style="42" customWidth="1"/>
    <col min="27" max="27" width="7.453125" style="42" customWidth="1"/>
    <col min="28" max="28" width="7.6328125" style="42" customWidth="1"/>
    <col min="29" max="29" width="7.08984375" style="42" customWidth="1"/>
    <col min="30" max="30" width="7.54296875" style="42" customWidth="1"/>
    <col min="31" max="31" width="7.1796875" style="42" customWidth="1"/>
    <col min="32" max="32" width="6.81640625" style="42" customWidth="1"/>
    <col min="33" max="33" width="7.1796875" style="42" customWidth="1"/>
    <col min="34" max="34" width="7.6328125" style="42" customWidth="1"/>
    <col min="35" max="16384" width="10.1796875" style="42"/>
  </cols>
  <sheetData>
    <row r="4" spans="1:29" ht="15.6">
      <c r="G4" s="43" t="s">
        <v>322</v>
      </c>
      <c r="H4" s="43"/>
      <c r="J4" s="44"/>
      <c r="K4" s="413"/>
    </row>
    <row r="5" spans="1:29" s="219" customFormat="1" ht="21" customHeight="1">
      <c r="A5" s="1692" t="s">
        <v>81</v>
      </c>
      <c r="B5" s="1692"/>
      <c r="C5" s="1692"/>
      <c r="D5" s="1692"/>
      <c r="E5" s="1692"/>
      <c r="F5" s="1692"/>
      <c r="G5" s="1692"/>
      <c r="H5" s="1692"/>
      <c r="I5" s="1692"/>
      <c r="J5" s="1692"/>
      <c r="K5" s="414"/>
    </row>
    <row r="6" spans="1:29" s="219" customFormat="1" ht="21.75" customHeight="1">
      <c r="A6" s="1692" t="s">
        <v>509</v>
      </c>
      <c r="B6" s="1692"/>
      <c r="C6" s="1692"/>
      <c r="D6" s="1692"/>
      <c r="E6" s="1692"/>
      <c r="F6" s="1692"/>
      <c r="G6" s="1692"/>
      <c r="H6" s="1692"/>
      <c r="I6" s="1692"/>
      <c r="J6" s="1692"/>
      <c r="K6" s="415"/>
    </row>
    <row r="7" spans="1:29" s="219" customFormat="1" ht="22.5" customHeight="1">
      <c r="A7" s="1692" t="s">
        <v>1471</v>
      </c>
      <c r="B7" s="1692"/>
      <c r="C7" s="1692"/>
      <c r="D7" s="1692"/>
      <c r="E7" s="1692"/>
      <c r="F7" s="1692"/>
      <c r="G7" s="1692"/>
      <c r="H7" s="1692"/>
      <c r="I7" s="1692"/>
      <c r="J7" s="1692"/>
      <c r="K7" s="414"/>
    </row>
    <row r="8" spans="1:29" ht="18" customHeight="1">
      <c r="A8" s="1692" t="s">
        <v>1472</v>
      </c>
      <c r="B8" s="1692"/>
      <c r="C8" s="1692"/>
      <c r="D8" s="1692"/>
      <c r="E8" s="1692"/>
      <c r="F8" s="1692"/>
      <c r="G8" s="1692"/>
      <c r="H8" s="1692"/>
      <c r="I8" s="1692"/>
      <c r="J8" s="1692"/>
      <c r="V8" s="150"/>
      <c r="AA8" s="150"/>
      <c r="AB8" s="150"/>
      <c r="AC8" s="150"/>
    </row>
    <row r="9" spans="1:29" ht="18" customHeight="1">
      <c r="A9" s="722"/>
      <c r="B9" s="722"/>
      <c r="C9" s="722"/>
      <c r="D9" s="722"/>
      <c r="E9" s="722"/>
      <c r="F9" s="722"/>
      <c r="G9" s="722"/>
      <c r="H9" s="722"/>
      <c r="I9" s="722"/>
      <c r="J9" s="722"/>
      <c r="V9" s="150"/>
      <c r="AA9" s="150"/>
      <c r="AB9" s="150"/>
      <c r="AC9" s="150"/>
    </row>
    <row r="10" spans="1:29" s="726" customFormat="1" ht="39.75" customHeight="1">
      <c r="A10" s="723" t="s">
        <v>930</v>
      </c>
      <c r="B10" s="724" t="s">
        <v>926</v>
      </c>
      <c r="C10" s="1217" t="s">
        <v>931</v>
      </c>
    </row>
    <row r="11" spans="1:29" s="726" customFormat="1" ht="39" hidden="1" customHeight="1">
      <c r="A11" s="727">
        <v>1</v>
      </c>
      <c r="B11" s="1218" t="s">
        <v>932</v>
      </c>
      <c r="C11" s="1219" t="e">
        <f>#REF!*0</f>
        <v>#REF!</v>
      </c>
    </row>
    <row r="12" spans="1:29" s="726" customFormat="1" ht="71.25" customHeight="1">
      <c r="A12" s="727">
        <v>1</v>
      </c>
      <c r="B12" s="725" t="s">
        <v>933</v>
      </c>
      <c r="C12" s="728">
        <f>I24</f>
        <v>21.879854999999999</v>
      </c>
    </row>
    <row r="13" spans="1:29" s="726" customFormat="1" ht="72" customHeight="1">
      <c r="A13" s="727">
        <v>2</v>
      </c>
      <c r="B13" s="725" t="s">
        <v>934</v>
      </c>
      <c r="C13" s="728">
        <f>E28</f>
        <v>31.464852141176468</v>
      </c>
    </row>
    <row r="14" spans="1:29" s="726" customFormat="1" ht="54" hidden="1" customHeight="1">
      <c r="A14" s="727">
        <v>4</v>
      </c>
      <c r="B14" s="1220" t="s">
        <v>935</v>
      </c>
      <c r="C14" s="1219" t="e">
        <f>#REF!*0</f>
        <v>#REF!</v>
      </c>
    </row>
    <row r="15" spans="1:29" s="726" customFormat="1" ht="25.5" customHeight="1">
      <c r="A15" s="727"/>
      <c r="B15" s="729" t="s">
        <v>936</v>
      </c>
      <c r="C15" s="730">
        <f>SUM(C12:C13)</f>
        <v>53.344707141176471</v>
      </c>
    </row>
    <row r="16" spans="1:29" ht="18" customHeight="1">
      <c r="A16" s="722"/>
      <c r="B16" s="722"/>
      <c r="C16" s="722"/>
      <c r="D16" s="722"/>
      <c r="E16" s="722"/>
      <c r="F16" s="722"/>
      <c r="G16" s="722"/>
      <c r="H16" s="722"/>
      <c r="I16" s="722"/>
      <c r="J16" s="722"/>
      <c r="V16" s="150"/>
      <c r="AA16" s="150"/>
      <c r="AB16" s="150"/>
      <c r="AC16" s="150"/>
    </row>
    <row r="17" spans="1:29" ht="18" customHeight="1">
      <c r="A17" s="722"/>
      <c r="B17"/>
      <c r="C17"/>
      <c r="D17"/>
      <c r="E17"/>
      <c r="F17"/>
      <c r="G17"/>
      <c r="H17"/>
      <c r="I17"/>
      <c r="J17"/>
      <c r="K17"/>
      <c r="L17"/>
      <c r="M17"/>
      <c r="N17"/>
      <c r="O17"/>
      <c r="P17"/>
      <c r="Q17"/>
      <c r="R17"/>
      <c r="S17"/>
      <c r="T17"/>
      <c r="U17"/>
      <c r="V17"/>
      <c r="W17"/>
      <c r="X17"/>
      <c r="AA17" s="150"/>
      <c r="AB17" s="150"/>
      <c r="AC17" s="150"/>
    </row>
    <row r="18" spans="1:29" s="150" customFormat="1" ht="22.5" customHeight="1" thickBot="1">
      <c r="A18" s="731"/>
      <c r="B18" s="131" t="s">
        <v>956</v>
      </c>
      <c r="C18" s="21"/>
      <c r="D18" s="21"/>
      <c r="E18" s="21"/>
      <c r="F18" s="21"/>
      <c r="G18" s="21"/>
      <c r="H18" s="21"/>
      <c r="I18" s="21"/>
      <c r="J18" s="21"/>
      <c r="K18" s="21"/>
      <c r="L18" s="21"/>
      <c r="M18" s="21"/>
      <c r="N18" s="21"/>
      <c r="O18" s="21"/>
      <c r="P18" s="21"/>
      <c r="Q18" s="21"/>
      <c r="R18" s="21"/>
      <c r="S18" s="21"/>
      <c r="T18" s="21"/>
      <c r="U18" s="21"/>
      <c r="V18" s="21"/>
      <c r="W18" s="21"/>
      <c r="X18" s="21"/>
    </row>
    <row r="19" spans="1:29" s="150" customFormat="1" ht="20.25" customHeight="1">
      <c r="B19" s="1700" t="s">
        <v>937</v>
      </c>
      <c r="C19" s="1701"/>
      <c r="D19" s="1701"/>
      <c r="E19" s="1701"/>
      <c r="F19" s="733"/>
      <c r="G19" s="734"/>
      <c r="H19" s="734"/>
      <c r="I19" s="735"/>
      <c r="J19" s="736"/>
      <c r="K19" s="736"/>
      <c r="L19" s="21"/>
    </row>
    <row r="20" spans="1:29" s="150" customFormat="1" ht="66.75" customHeight="1">
      <c r="B20" s="737"/>
      <c r="C20" s="506" t="s">
        <v>753</v>
      </c>
      <c r="D20" s="506" t="s">
        <v>938</v>
      </c>
      <c r="E20" s="175" t="s">
        <v>939</v>
      </c>
      <c r="F20" s="175" t="s">
        <v>940</v>
      </c>
      <c r="G20" s="175" t="s">
        <v>941</v>
      </c>
      <c r="H20" s="175" t="s">
        <v>1474</v>
      </c>
      <c r="I20" s="738" t="s">
        <v>942</v>
      </c>
      <c r="J20" s="136"/>
      <c r="K20" s="136"/>
      <c r="L20" s="21"/>
    </row>
    <row r="21" spans="1:29" s="150" customFormat="1" ht="96" customHeight="1">
      <c r="B21" s="737" t="s">
        <v>943</v>
      </c>
      <c r="C21" s="1221">
        <v>-1.4999999999999999E-2</v>
      </c>
      <c r="D21" s="506" t="s">
        <v>944</v>
      </c>
      <c r="E21" s="506">
        <f>'Stamp TE 1'!G11*0.9</f>
        <v>603000</v>
      </c>
      <c r="F21" s="506">
        <v>1.5</v>
      </c>
      <c r="G21" s="511">
        <f>E21*F21/100</f>
        <v>9045</v>
      </c>
      <c r="H21" s="519">
        <v>20910</v>
      </c>
      <c r="I21" s="740">
        <f>G21*H21/10^7</f>
        <v>18.913094999999998</v>
      </c>
      <c r="L21" s="21"/>
    </row>
    <row r="22" spans="1:29" s="150" customFormat="1" ht="129.75" customHeight="1">
      <c r="B22" s="737" t="s">
        <v>945</v>
      </c>
      <c r="C22" s="739">
        <v>0.01</v>
      </c>
      <c r="D22" s="506" t="s">
        <v>946</v>
      </c>
      <c r="E22" s="506">
        <f>E21</f>
        <v>603000</v>
      </c>
      <c r="F22" s="175" t="s">
        <v>1475</v>
      </c>
      <c r="G22" s="506"/>
      <c r="H22" s="741"/>
      <c r="I22" s="740"/>
      <c r="L22" s="21"/>
    </row>
    <row r="23" spans="1:29" s="150" customFormat="1" ht="24" customHeight="1">
      <c r="B23" s="737"/>
      <c r="C23" s="739"/>
      <c r="D23" s="506"/>
      <c r="E23" s="506"/>
      <c r="F23" s="742">
        <f>E22/0.425</f>
        <v>1418823.5294117648</v>
      </c>
      <c r="G23" s="742">
        <f>F23/1000</f>
        <v>1418.8235294117649</v>
      </c>
      <c r="H23" s="743">
        <f>H21</f>
        <v>20910</v>
      </c>
      <c r="I23" s="740">
        <f>G23*H23/10^7</f>
        <v>2.9667600000000003</v>
      </c>
      <c r="L23" s="21"/>
    </row>
    <row r="24" spans="1:29" ht="16.2" thickBot="1">
      <c r="B24" s="744"/>
      <c r="C24" s="745"/>
      <c r="D24" s="745"/>
      <c r="E24" s="745"/>
      <c r="F24" s="745"/>
      <c r="G24" s="746">
        <f>SUM(G21:G23)</f>
        <v>10463.823529411766</v>
      </c>
      <c r="H24" s="745"/>
      <c r="I24" s="747">
        <f>SUM(I21:I23)</f>
        <v>21.879854999999999</v>
      </c>
      <c r="L24"/>
    </row>
    <row r="25" spans="1:29">
      <c r="B25" s="748"/>
      <c r="C25" s="748"/>
      <c r="D25" s="748"/>
      <c r="E25" s="748"/>
      <c r="F25" s="748"/>
      <c r="G25" s="748"/>
      <c r="H25" s="748"/>
      <c r="I25" s="748"/>
      <c r="J25" s="748"/>
      <c r="K25" s="748"/>
      <c r="L25"/>
    </row>
    <row r="26" spans="1:29" s="150" customFormat="1" ht="23.25" customHeight="1" thickBot="1">
      <c r="B26" s="749" t="s">
        <v>955</v>
      </c>
      <c r="K26" s="210"/>
    </row>
    <row r="27" spans="1:29" s="150" customFormat="1" ht="140.25" customHeight="1">
      <c r="B27" s="750" t="s">
        <v>1476</v>
      </c>
      <c r="C27" s="751" t="s">
        <v>1473</v>
      </c>
      <c r="D27" s="752" t="s">
        <v>947</v>
      </c>
      <c r="E27" s="753" t="s">
        <v>948</v>
      </c>
      <c r="F27" s="754"/>
      <c r="G27" s="420" t="s">
        <v>949</v>
      </c>
      <c r="H27" s="755">
        <v>20085.68</v>
      </c>
      <c r="I27" s="420" t="s">
        <v>1477</v>
      </c>
      <c r="K27" s="210"/>
    </row>
    <row r="28" spans="1:29" s="150" customFormat="1" ht="68.25" customHeight="1" thickBot="1">
      <c r="B28" s="1222">
        <f>E22/0.425</f>
        <v>1418823.5294117648</v>
      </c>
      <c r="C28" s="756">
        <f>B28*0.015*1.5</f>
        <v>31923.529411764706</v>
      </c>
      <c r="D28" s="757">
        <f>H28-H27</f>
        <v>9856.32</v>
      </c>
      <c r="E28" s="758">
        <f>C28*D28/10^7</f>
        <v>31.464852141176468</v>
      </c>
      <c r="F28" s="754"/>
      <c r="G28" s="420" t="s">
        <v>950</v>
      </c>
      <c r="H28" s="149">
        <f>29942</f>
        <v>29942</v>
      </c>
      <c r="I28" s="420" t="s">
        <v>957</v>
      </c>
      <c r="K28" s="210"/>
    </row>
    <row r="29" spans="1:29" ht="15.6">
      <c r="B29" s="759"/>
      <c r="D29" s="760"/>
      <c r="E29" s="732"/>
      <c r="F29" s="732"/>
    </row>
  </sheetData>
  <mergeCells count="5">
    <mergeCell ref="A5:J5"/>
    <mergeCell ref="A6:J6"/>
    <mergeCell ref="A7:J7"/>
    <mergeCell ref="A8:J8"/>
    <mergeCell ref="B19:E19"/>
  </mergeCells>
  <printOptions horizontalCentered="1" verticalCentered="1"/>
  <pageMargins left="0.11811023622047245" right="0.11811023622047245" top="0.35433070866141736" bottom="0.19685039370078741" header="0.31496062992125984" footer="0.31496062992125984"/>
  <pageSetup paperSize="9" scale="68"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636"/>
  <sheetViews>
    <sheetView topLeftCell="A158" zoomScaleNormal="100" workbookViewId="0">
      <selection activeCell="L174" sqref="L174"/>
    </sheetView>
  </sheetViews>
  <sheetFormatPr defaultColWidth="8.90625" defaultRowHeight="15"/>
  <cols>
    <col min="1" max="1" width="4.36328125" style="17" customWidth="1"/>
    <col min="2" max="2" width="31.54296875" style="19" customWidth="1"/>
    <col min="3" max="3" width="8" style="176" customWidth="1"/>
    <col min="4" max="4" width="9.453125" style="168" customWidth="1"/>
    <col min="5" max="5" width="13.36328125" style="168" customWidth="1"/>
    <col min="6" max="6" width="9.08984375" style="19" customWidth="1"/>
    <col min="7" max="7" width="9.90625" style="168" customWidth="1"/>
    <col min="8" max="8" width="11.81640625" style="19" customWidth="1"/>
    <col min="9" max="9" width="16.6328125" style="138" customWidth="1"/>
    <col min="10" max="10" width="10.90625" style="17" customWidth="1"/>
    <col min="11" max="11" width="8.90625" style="17" customWidth="1"/>
    <col min="12" max="12" width="9.08984375" style="17" customWidth="1"/>
    <col min="13" max="13" width="9.453125" style="17" customWidth="1"/>
    <col min="14" max="14" width="14.54296875" style="17" customWidth="1"/>
    <col min="15" max="15" width="4.453125" style="17" customWidth="1"/>
    <col min="16" max="16" width="16.453125" style="17" customWidth="1"/>
    <col min="17" max="17" width="18.54296875" style="17" customWidth="1"/>
    <col min="18" max="18" width="8.90625" style="17"/>
    <col min="19" max="19" width="12" style="17" bestFit="1" customWidth="1"/>
    <col min="20" max="20" width="9.81640625" style="17" customWidth="1"/>
    <col min="21" max="16384" width="8.90625" style="17"/>
  </cols>
  <sheetData>
    <row r="1" spans="1:10" ht="15.6">
      <c r="B1" s="793" t="s">
        <v>988</v>
      </c>
      <c r="G1" s="1069" t="e">
        <f>#REF!</f>
        <v>#REF!</v>
      </c>
    </row>
    <row r="2" spans="1:10" ht="33.75" customHeight="1">
      <c r="B2" s="17"/>
      <c r="C2" s="794"/>
      <c r="D2" s="794"/>
      <c r="E2" s="177" t="s">
        <v>734</v>
      </c>
      <c r="F2" s="780" t="e">
        <f>#REF!</f>
        <v>#REF!</v>
      </c>
      <c r="G2" s="1705" t="s">
        <v>735</v>
      </c>
      <c r="H2" s="1705"/>
      <c r="I2" s="781" t="e">
        <f>#REF!</f>
        <v>#REF!</v>
      </c>
    </row>
    <row r="3" spans="1:10" ht="36" customHeight="1">
      <c r="B3" s="507" t="s">
        <v>736</v>
      </c>
      <c r="C3" s="508">
        <f>42+6</f>
        <v>48</v>
      </c>
      <c r="D3" s="1706" t="s">
        <v>737</v>
      </c>
      <c r="E3" s="1706"/>
      <c r="F3" s="779" t="e">
        <f>#REF!</f>
        <v>#REF!</v>
      </c>
      <c r="G3" s="17"/>
      <c r="I3" s="781" t="e">
        <f>#REF!</f>
        <v>#REF!</v>
      </c>
    </row>
    <row r="4" spans="1:10" ht="21">
      <c r="A4" s="1707" t="s">
        <v>379</v>
      </c>
      <c r="B4" s="1707"/>
      <c r="C4" s="1707"/>
      <c r="D4" s="1707"/>
      <c r="E4" s="1707"/>
      <c r="F4" s="1707"/>
      <c r="G4" s="1707"/>
      <c r="H4" s="1707"/>
      <c r="I4" s="1707"/>
    </row>
    <row r="5" spans="1:10" ht="21.6" thickBot="1">
      <c r="A5" s="795" t="s">
        <v>989</v>
      </c>
      <c r="B5" s="795"/>
      <c r="C5" s="795"/>
      <c r="D5" s="795"/>
      <c r="E5" s="795"/>
      <c r="F5" s="795"/>
      <c r="G5" s="331"/>
      <c r="H5" s="796"/>
      <c r="I5" s="795"/>
    </row>
    <row r="6" spans="1:10" ht="15.6">
      <c r="A6" s="23"/>
      <c r="B6" s="24"/>
      <c r="C6" s="165"/>
      <c r="D6" s="267"/>
      <c r="E6" s="1703" t="s">
        <v>139</v>
      </c>
      <c r="F6" s="1704"/>
      <c r="G6" s="1703" t="s">
        <v>101</v>
      </c>
      <c r="H6" s="1704"/>
      <c r="I6" s="273"/>
    </row>
    <row r="7" spans="1:10" s="19" customFormat="1" ht="15.6">
      <c r="A7" s="164" t="s">
        <v>213</v>
      </c>
      <c r="B7" s="163" t="s">
        <v>1</v>
      </c>
      <c r="C7" s="163" t="s">
        <v>2</v>
      </c>
      <c r="D7" s="169" t="s">
        <v>224</v>
      </c>
      <c r="E7" s="268" t="s">
        <v>332</v>
      </c>
      <c r="F7" s="269" t="s">
        <v>71</v>
      </c>
      <c r="G7" s="268" t="s">
        <v>332</v>
      </c>
      <c r="H7" s="269" t="s">
        <v>71</v>
      </c>
      <c r="I7" s="274" t="s">
        <v>333</v>
      </c>
    </row>
    <row r="8" spans="1:10" ht="15.6">
      <c r="A8" s="132" t="s">
        <v>214</v>
      </c>
      <c r="B8" s="178"/>
      <c r="C8" s="163"/>
      <c r="D8" s="169"/>
      <c r="E8" s="270" t="s">
        <v>338</v>
      </c>
      <c r="F8" s="269" t="s">
        <v>334</v>
      </c>
      <c r="G8" s="270" t="s">
        <v>338</v>
      </c>
      <c r="H8" s="269" t="s">
        <v>334</v>
      </c>
      <c r="I8" s="275"/>
    </row>
    <row r="9" spans="1:10" ht="21.75" customHeight="1" thickBot="1">
      <c r="A9" s="316">
        <v>1</v>
      </c>
      <c r="B9" s="202" t="e">
        <f>#REF!</f>
        <v>#REF!</v>
      </c>
      <c r="C9" s="203"/>
      <c r="D9" s="204"/>
      <c r="E9" s="271"/>
      <c r="F9" s="272"/>
      <c r="G9" s="271"/>
      <c r="H9" s="272"/>
      <c r="I9" s="276"/>
    </row>
    <row r="10" spans="1:10" ht="71.25" customHeight="1" thickBot="1">
      <c r="A10" s="277"/>
      <c r="B10" s="1070" t="e">
        <f>#REF!</f>
        <v>#REF!</v>
      </c>
      <c r="C10" s="278"/>
      <c r="D10" s="279"/>
      <c r="E10" s="280"/>
      <c r="F10" s="281" t="e">
        <f>#REF!</f>
        <v>#REF!</v>
      </c>
      <c r="G10" s="282"/>
      <c r="H10" s="281"/>
      <c r="I10" s="629" t="e">
        <f>#REF!</f>
        <v>#REF!</v>
      </c>
    </row>
    <row r="11" spans="1:10" s="114" customFormat="1" ht="15.6">
      <c r="A11" s="797"/>
      <c r="B11" s="798"/>
      <c r="C11" s="799"/>
      <c r="D11" s="800"/>
      <c r="E11" s="801"/>
      <c r="F11" s="798"/>
      <c r="G11" s="802"/>
      <c r="H11" s="798"/>
      <c r="I11" s="608"/>
    </row>
    <row r="12" spans="1:10" ht="50.25" customHeight="1">
      <c r="A12" s="778" t="s">
        <v>882</v>
      </c>
      <c r="B12" s="207" t="e">
        <f>#REF!</f>
        <v>#REF!</v>
      </c>
      <c r="C12" s="203" t="s">
        <v>62</v>
      </c>
      <c r="D12" s="204"/>
      <c r="E12" s="271"/>
      <c r="F12" s="687" t="e">
        <f>#REF!</f>
        <v>#REF!</v>
      </c>
      <c r="G12" s="271"/>
      <c r="H12" s="272"/>
      <c r="I12" s="1071" t="e">
        <f>#REF!</f>
        <v>#REF!</v>
      </c>
      <c r="J12" s="535"/>
    </row>
    <row r="13" spans="1:10" ht="12" customHeight="1">
      <c r="A13" s="133"/>
      <c r="B13" s="264"/>
      <c r="C13" s="265"/>
      <c r="D13" s="266"/>
      <c r="E13" s="170"/>
      <c r="F13" s="163"/>
      <c r="G13" s="170"/>
      <c r="H13" s="163"/>
      <c r="I13" s="139"/>
    </row>
    <row r="14" spans="1:10" ht="16.2" thickBot="1">
      <c r="A14" s="315">
        <v>2</v>
      </c>
      <c r="B14" s="202" t="s">
        <v>508</v>
      </c>
      <c r="C14" s="203"/>
      <c r="D14" s="204"/>
      <c r="E14" s="205"/>
      <c r="F14" s="205"/>
      <c r="G14" s="205"/>
      <c r="H14" s="205"/>
      <c r="I14" s="206"/>
    </row>
    <row r="15" spans="1:10" ht="15.6">
      <c r="A15" s="23" t="s">
        <v>9</v>
      </c>
      <c r="B15" s="164" t="s">
        <v>121</v>
      </c>
      <c r="C15" s="165"/>
      <c r="D15" s="267"/>
      <c r="E15" s="1703" t="s">
        <v>139</v>
      </c>
      <c r="F15" s="1704"/>
      <c r="G15" s="1703" t="s">
        <v>101</v>
      </c>
      <c r="H15" s="1704"/>
      <c r="I15" s="273"/>
    </row>
    <row r="16" spans="1:10" s="19" customFormat="1" ht="15.6">
      <c r="A16" s="164"/>
      <c r="B16" s="163" t="s">
        <v>1</v>
      </c>
      <c r="C16" s="163" t="s">
        <v>2</v>
      </c>
      <c r="D16" s="169" t="s">
        <v>224</v>
      </c>
      <c r="E16" s="268" t="s">
        <v>332</v>
      </c>
      <c r="F16" s="269" t="s">
        <v>71</v>
      </c>
      <c r="G16" s="268" t="s">
        <v>332</v>
      </c>
      <c r="H16" s="269" t="s">
        <v>71</v>
      </c>
      <c r="I16" s="274" t="s">
        <v>333</v>
      </c>
    </row>
    <row r="17" spans="1:10" ht="15.6">
      <c r="A17" s="132"/>
      <c r="B17" s="12" t="s">
        <v>380</v>
      </c>
      <c r="C17" s="2"/>
      <c r="D17" s="284"/>
      <c r="E17" s="270" t="s">
        <v>338</v>
      </c>
      <c r="F17" s="269" t="s">
        <v>334</v>
      </c>
      <c r="G17" s="270" t="s">
        <v>990</v>
      </c>
      <c r="H17" s="269" t="s">
        <v>334</v>
      </c>
      <c r="I17" s="275"/>
    </row>
    <row r="18" spans="1:10" ht="45">
      <c r="A18" s="201"/>
      <c r="B18" s="791" t="s">
        <v>381</v>
      </c>
      <c r="C18" s="536" t="s">
        <v>4</v>
      </c>
      <c r="D18" s="537">
        <v>91.08</v>
      </c>
      <c r="E18" s="165"/>
      <c r="F18" s="165"/>
      <c r="G18" s="165"/>
      <c r="H18" s="165"/>
      <c r="I18" s="183"/>
    </row>
    <row r="19" spans="1:10" ht="15.6">
      <c r="A19" s="201"/>
      <c r="B19" s="791" t="s">
        <v>20</v>
      </c>
      <c r="C19" s="536" t="s">
        <v>4</v>
      </c>
      <c r="D19" s="537">
        <v>34.742400000000004</v>
      </c>
      <c r="E19" s="165"/>
      <c r="F19" s="165"/>
      <c r="G19" s="165"/>
      <c r="H19" s="165"/>
      <c r="I19" s="183"/>
    </row>
    <row r="20" spans="1:10" ht="15.6">
      <c r="A20" s="201"/>
      <c r="B20" s="791" t="s">
        <v>21</v>
      </c>
      <c r="C20" s="536" t="s">
        <v>4</v>
      </c>
      <c r="D20" s="537">
        <v>56.570800000000006</v>
      </c>
      <c r="E20" s="165"/>
      <c r="F20" s="165"/>
      <c r="G20" s="165"/>
      <c r="H20" s="165"/>
      <c r="I20" s="183"/>
    </row>
    <row r="21" spans="1:10" ht="15.6">
      <c r="A21" s="201"/>
      <c r="B21" s="791" t="s">
        <v>22</v>
      </c>
      <c r="C21" s="536" t="s">
        <v>4</v>
      </c>
      <c r="D21" s="537">
        <v>37.099920000000012</v>
      </c>
      <c r="E21" s="165"/>
      <c r="F21" s="165"/>
      <c r="G21" s="165"/>
      <c r="H21" s="165"/>
      <c r="I21" s="183"/>
    </row>
    <row r="22" spans="1:10" ht="15.6">
      <c r="A22" s="201"/>
      <c r="B22" s="791" t="s">
        <v>23</v>
      </c>
      <c r="C22" s="536" t="s">
        <v>4</v>
      </c>
      <c r="D22" s="537">
        <v>22.716980000000003</v>
      </c>
      <c r="E22" s="165"/>
      <c r="F22" s="165"/>
      <c r="G22" s="165"/>
      <c r="H22" s="165"/>
      <c r="I22" s="183"/>
    </row>
    <row r="23" spans="1:10" ht="15.6">
      <c r="A23" s="201"/>
      <c r="B23" s="791" t="s">
        <v>24</v>
      </c>
      <c r="C23" s="536" t="s">
        <v>4</v>
      </c>
      <c r="D23" s="537">
        <v>36.293400000000013</v>
      </c>
      <c r="E23" s="165"/>
      <c r="F23" s="165"/>
      <c r="G23" s="165"/>
      <c r="H23" s="165"/>
      <c r="I23" s="183"/>
    </row>
    <row r="24" spans="1:10" ht="15.6">
      <c r="A24" s="201"/>
      <c r="B24" s="791" t="s">
        <v>25</v>
      </c>
      <c r="C24" s="536" t="s">
        <v>4</v>
      </c>
      <c r="D24" s="537">
        <v>18.818800000000003</v>
      </c>
      <c r="E24" s="165"/>
      <c r="F24" s="165"/>
      <c r="G24" s="165"/>
      <c r="H24" s="165"/>
      <c r="I24" s="183"/>
    </row>
    <row r="25" spans="1:10" ht="15.6">
      <c r="A25" s="201"/>
      <c r="B25" s="791" t="s">
        <v>26</v>
      </c>
      <c r="C25" s="536" t="s">
        <v>4</v>
      </c>
      <c r="D25" s="537">
        <v>37.23434000000001</v>
      </c>
      <c r="E25" s="165"/>
      <c r="F25" s="165"/>
      <c r="G25" s="165"/>
      <c r="H25" s="165"/>
      <c r="I25" s="183"/>
    </row>
    <row r="26" spans="1:10" ht="15.6">
      <c r="A26" s="201"/>
      <c r="B26" s="791" t="s">
        <v>29</v>
      </c>
      <c r="C26" s="536" t="s">
        <v>4</v>
      </c>
      <c r="D26" s="537">
        <v>5.120000000000001</v>
      </c>
      <c r="E26" s="165"/>
      <c r="F26" s="165"/>
      <c r="G26" s="165"/>
      <c r="H26" s="165"/>
      <c r="I26" s="183"/>
    </row>
    <row r="27" spans="1:10" ht="15.6">
      <c r="A27" s="201"/>
      <c r="B27" s="538" t="s">
        <v>30</v>
      </c>
      <c r="C27" s="536" t="s">
        <v>4</v>
      </c>
      <c r="D27" s="537">
        <v>3.84</v>
      </c>
      <c r="E27" s="165"/>
      <c r="F27" s="165"/>
      <c r="G27" s="165"/>
      <c r="H27" s="165"/>
      <c r="I27" s="183"/>
    </row>
    <row r="28" spans="1:10" ht="15.6">
      <c r="A28" s="201"/>
      <c r="B28" s="791" t="s">
        <v>31</v>
      </c>
      <c r="C28" s="536" t="s">
        <v>4</v>
      </c>
      <c r="D28" s="537">
        <v>22.448140000000002</v>
      </c>
      <c r="E28" s="165"/>
      <c r="F28" s="165"/>
      <c r="G28" s="165"/>
      <c r="H28" s="165"/>
      <c r="I28" s="183"/>
    </row>
    <row r="29" spans="1:10" ht="30">
      <c r="A29" s="201"/>
      <c r="B29" s="791" t="s">
        <v>32</v>
      </c>
      <c r="C29" s="536" t="s">
        <v>4</v>
      </c>
      <c r="D29" s="537">
        <v>47.357200000000006</v>
      </c>
      <c r="E29" s="165"/>
      <c r="F29" s="165"/>
      <c r="G29" s="165"/>
      <c r="H29" s="165"/>
      <c r="I29" s="183"/>
      <c r="J29" s="17">
        <f>86.75*(5.5/7)</f>
        <v>68.160714285714278</v>
      </c>
    </row>
    <row r="30" spans="1:10" ht="15.6">
      <c r="A30" s="201"/>
      <c r="B30" s="791" t="s">
        <v>33</v>
      </c>
      <c r="C30" s="536" t="s">
        <v>4</v>
      </c>
      <c r="D30" s="537">
        <v>16</v>
      </c>
      <c r="E30" s="165"/>
      <c r="F30" s="165"/>
      <c r="G30" s="165"/>
      <c r="H30" s="165"/>
      <c r="I30" s="183"/>
    </row>
    <row r="31" spans="1:10" ht="15.6">
      <c r="A31" s="201"/>
      <c r="B31" s="283" t="s">
        <v>384</v>
      </c>
      <c r="C31" s="165"/>
      <c r="D31" s="285">
        <f>SUM(D18:D30)</f>
        <v>429.32198000000005</v>
      </c>
      <c r="E31" s="111">
        <v>130000</v>
      </c>
      <c r="F31" s="111">
        <f>D31*E31/10^5</f>
        <v>558.11857400000008</v>
      </c>
      <c r="G31" s="165"/>
      <c r="H31" s="165"/>
      <c r="I31" s="183"/>
    </row>
    <row r="32" spans="1:10" ht="15.6">
      <c r="A32" s="201"/>
      <c r="B32" s="787" t="s">
        <v>382</v>
      </c>
      <c r="C32" s="803" t="s">
        <v>4</v>
      </c>
      <c r="D32" s="804">
        <v>827</v>
      </c>
      <c r="E32" s="634">
        <v>160000</v>
      </c>
      <c r="F32" s="634">
        <f>D32*E32/10^5</f>
        <v>1323.2</v>
      </c>
      <c r="G32" s="165"/>
      <c r="H32" s="165"/>
      <c r="I32" s="1715" t="s">
        <v>991</v>
      </c>
    </row>
    <row r="33" spans="1:9" ht="15.6">
      <c r="A33" s="201"/>
      <c r="B33" s="805" t="s">
        <v>383</v>
      </c>
      <c r="C33" s="803" t="s">
        <v>4</v>
      </c>
      <c r="D33" s="804">
        <v>823</v>
      </c>
      <c r="E33" s="634">
        <v>160000</v>
      </c>
      <c r="F33" s="634">
        <f>D33*E33/10^5</f>
        <v>1316.8</v>
      </c>
      <c r="G33" s="165"/>
      <c r="H33" s="165"/>
      <c r="I33" s="1716"/>
    </row>
    <row r="34" spans="1:9" ht="15.6">
      <c r="A34" s="201"/>
      <c r="B34" s="805" t="s">
        <v>28</v>
      </c>
      <c r="C34" s="803" t="s">
        <v>4</v>
      </c>
      <c r="D34" s="804">
        <v>584</v>
      </c>
      <c r="E34" s="634">
        <v>130000</v>
      </c>
      <c r="F34" s="634">
        <f>D34*E34/10^5</f>
        <v>759.2</v>
      </c>
      <c r="G34" s="165"/>
      <c r="H34" s="165"/>
      <c r="I34" s="1716"/>
    </row>
    <row r="35" spans="1:9" ht="15.6">
      <c r="A35" s="201"/>
      <c r="B35" s="787" t="s">
        <v>27</v>
      </c>
      <c r="C35" s="803" t="s">
        <v>4</v>
      </c>
      <c r="D35" s="804">
        <v>497</v>
      </c>
      <c r="E35" s="634">
        <v>130000</v>
      </c>
      <c r="F35" s="634">
        <f>D35*E35/10^5</f>
        <v>646.1</v>
      </c>
      <c r="G35" s="165"/>
      <c r="H35" s="165"/>
      <c r="I35" s="1717"/>
    </row>
    <row r="36" spans="1:9" ht="15.6">
      <c r="A36" s="201"/>
      <c r="B36" s="12" t="s">
        <v>385</v>
      </c>
      <c r="C36" s="30"/>
      <c r="D36" s="30"/>
      <c r="E36" s="165"/>
      <c r="F36" s="165"/>
      <c r="G36" s="165"/>
      <c r="H36" s="165"/>
      <c r="I36" s="183"/>
    </row>
    <row r="37" spans="1:9" ht="15.6">
      <c r="A37" s="201"/>
      <c r="B37" s="791" t="s">
        <v>386</v>
      </c>
      <c r="C37" s="536" t="s">
        <v>4</v>
      </c>
      <c r="D37" s="537">
        <v>70.400000000000006</v>
      </c>
      <c r="E37" s="165"/>
      <c r="F37" s="165"/>
      <c r="G37" s="165"/>
      <c r="H37" s="165"/>
      <c r="I37" s="183"/>
    </row>
    <row r="38" spans="1:9" ht="15.6">
      <c r="A38" s="201"/>
      <c r="B38" s="791" t="s">
        <v>34</v>
      </c>
      <c r="C38" s="536" t="s">
        <v>4</v>
      </c>
      <c r="D38" s="537">
        <v>0.77800000000000002</v>
      </c>
      <c r="E38" s="165"/>
      <c r="F38" s="165"/>
      <c r="G38" s="165"/>
      <c r="H38" s="165"/>
      <c r="I38" s="183"/>
    </row>
    <row r="39" spans="1:9" ht="15.6">
      <c r="A39" s="201"/>
      <c r="B39" s="791" t="s">
        <v>387</v>
      </c>
      <c r="C39" s="536" t="s">
        <v>4</v>
      </c>
      <c r="D39" s="537">
        <v>0.5</v>
      </c>
      <c r="E39" s="165"/>
      <c r="F39" s="165"/>
      <c r="G39" s="165"/>
      <c r="H39" s="165"/>
      <c r="I39" s="183"/>
    </row>
    <row r="40" spans="1:9" ht="15.6">
      <c r="A40" s="201"/>
      <c r="B40" s="791" t="s">
        <v>35</v>
      </c>
      <c r="C40" s="536" t="s">
        <v>4</v>
      </c>
      <c r="D40" s="537">
        <v>645.93290666666678</v>
      </c>
      <c r="E40" s="165"/>
      <c r="F40" s="165"/>
      <c r="G40" s="165"/>
      <c r="H40" s="165"/>
      <c r="I40" s="183"/>
    </row>
    <row r="41" spans="1:9" ht="15.6">
      <c r="A41" s="201"/>
      <c r="B41" s="791" t="s">
        <v>36</v>
      </c>
      <c r="C41" s="536" t="s">
        <v>4</v>
      </c>
      <c r="D41" s="537">
        <v>28.426666666666666</v>
      </c>
      <c r="E41" s="165"/>
      <c r="F41" s="165"/>
      <c r="G41" s="165"/>
      <c r="H41" s="165"/>
      <c r="I41" s="183"/>
    </row>
    <row r="42" spans="1:9" ht="15.6">
      <c r="A42" s="201"/>
      <c r="B42" s="791" t="s">
        <v>388</v>
      </c>
      <c r="C42" s="536" t="s">
        <v>4</v>
      </c>
      <c r="D42" s="537">
        <v>5.0999999999999996</v>
      </c>
      <c r="E42" s="165"/>
      <c r="F42" s="165"/>
      <c r="G42" s="165"/>
      <c r="H42" s="165"/>
      <c r="I42" s="183"/>
    </row>
    <row r="43" spans="1:9" ht="15.6">
      <c r="A43" s="201"/>
      <c r="B43" s="791" t="s">
        <v>37</v>
      </c>
      <c r="C43" s="536" t="s">
        <v>4</v>
      </c>
      <c r="D43" s="537">
        <v>47.977600000000002</v>
      </c>
      <c r="E43" s="165"/>
      <c r="F43" s="165"/>
      <c r="G43" s="165"/>
      <c r="H43" s="165"/>
      <c r="I43" s="183"/>
    </row>
    <row r="44" spans="1:9" ht="15.6">
      <c r="A44" s="201"/>
      <c r="B44" s="791" t="s">
        <v>38</v>
      </c>
      <c r="C44" s="536" t="s">
        <v>4</v>
      </c>
      <c r="D44" s="537">
        <v>26.884000000000004</v>
      </c>
      <c r="E44" s="165"/>
      <c r="F44" s="165"/>
      <c r="G44" s="165"/>
      <c r="H44" s="165"/>
      <c r="I44" s="183"/>
    </row>
    <row r="45" spans="1:9" ht="15.6">
      <c r="A45" s="201"/>
      <c r="B45" s="805" t="s">
        <v>39</v>
      </c>
      <c r="C45" s="803" t="s">
        <v>4</v>
      </c>
      <c r="D45" s="804">
        <f>49.8388*0</f>
        <v>0</v>
      </c>
      <c r="E45" s="165"/>
      <c r="F45" s="165"/>
      <c r="G45" s="165"/>
      <c r="H45" s="165"/>
      <c r="I45" s="806" t="s">
        <v>991</v>
      </c>
    </row>
    <row r="46" spans="1:9" ht="15.6">
      <c r="A46" s="201"/>
      <c r="B46" s="791" t="s">
        <v>389</v>
      </c>
      <c r="C46" s="536" t="s">
        <v>4</v>
      </c>
      <c r="D46" s="537">
        <v>31.144080000000006</v>
      </c>
      <c r="E46" s="165"/>
      <c r="F46" s="165"/>
      <c r="G46" s="165"/>
      <c r="H46" s="165"/>
      <c r="I46" s="183"/>
    </row>
    <row r="47" spans="1:9" ht="30">
      <c r="A47" s="201"/>
      <c r="B47" s="787" t="s">
        <v>390</v>
      </c>
      <c r="C47" s="803" t="s">
        <v>4</v>
      </c>
      <c r="D47" s="804">
        <v>192</v>
      </c>
      <c r="E47" s="165"/>
      <c r="F47" s="165"/>
      <c r="G47" s="165"/>
      <c r="H47" s="165"/>
      <c r="I47" s="806" t="s">
        <v>991</v>
      </c>
    </row>
    <row r="48" spans="1:9" ht="15.6">
      <c r="A48" s="201"/>
      <c r="B48" s="791" t="s">
        <v>40</v>
      </c>
      <c r="C48" s="536" t="s">
        <v>4</v>
      </c>
      <c r="D48" s="537">
        <v>36.931428571428576</v>
      </c>
      <c r="E48" s="165"/>
      <c r="F48" s="165"/>
      <c r="G48" s="165"/>
      <c r="H48" s="165"/>
      <c r="I48" s="183"/>
    </row>
    <row r="49" spans="1:9" ht="15.6">
      <c r="A49" s="201"/>
      <c r="B49" s="791" t="s">
        <v>64</v>
      </c>
      <c r="C49" s="536" t="s">
        <v>4</v>
      </c>
      <c r="D49" s="537">
        <v>15.035428571428572</v>
      </c>
      <c r="E49" s="165"/>
      <c r="F49" s="165"/>
      <c r="G49" s="165"/>
      <c r="H49" s="165"/>
      <c r="I49" s="183"/>
    </row>
    <row r="50" spans="1:9" ht="15.6">
      <c r="A50" s="201"/>
      <c r="B50" s="791" t="s">
        <v>65</v>
      </c>
      <c r="C50" s="536" t="s">
        <v>4</v>
      </c>
      <c r="D50" s="537">
        <v>56.777142857142863</v>
      </c>
      <c r="E50" s="165"/>
      <c r="F50" s="165"/>
      <c r="G50" s="165"/>
      <c r="H50" s="165"/>
      <c r="I50" s="183"/>
    </row>
    <row r="51" spans="1:9" ht="15.6">
      <c r="A51" s="201"/>
      <c r="B51" s="791" t="s">
        <v>391</v>
      </c>
      <c r="C51" s="536" t="s">
        <v>4</v>
      </c>
      <c r="D51" s="537">
        <v>14.719999999999999</v>
      </c>
      <c r="E51" s="165"/>
      <c r="F51" s="165"/>
      <c r="G51" s="165"/>
      <c r="H51" s="165"/>
      <c r="I51" s="183"/>
    </row>
    <row r="52" spans="1:9" ht="15.6">
      <c r="A52" s="201"/>
      <c r="B52" s="791" t="s">
        <v>392</v>
      </c>
      <c r="C52" s="536" t="s">
        <v>4</v>
      </c>
      <c r="D52" s="537">
        <v>2.7862857142857145</v>
      </c>
      <c r="E52" s="165"/>
      <c r="F52" s="165"/>
      <c r="G52" s="165"/>
      <c r="H52" s="165"/>
      <c r="I52" s="183"/>
    </row>
    <row r="53" spans="1:9" ht="15.6">
      <c r="A53" s="201"/>
      <c r="B53" s="283" t="s">
        <v>384</v>
      </c>
      <c r="C53" s="165"/>
      <c r="D53" s="285">
        <f>SUM(D37:D52)</f>
        <v>1175.3935390476195</v>
      </c>
      <c r="E53" s="111">
        <v>130000</v>
      </c>
      <c r="F53" s="111">
        <f>D53*E53/10^5</f>
        <v>1528.0116007619054</v>
      </c>
      <c r="G53" s="165"/>
      <c r="H53" s="165"/>
      <c r="I53" s="183"/>
    </row>
    <row r="54" spans="1:9" ht="15.6">
      <c r="A54" s="201"/>
      <c r="B54" s="286" t="s">
        <v>393</v>
      </c>
      <c r="C54" s="165"/>
      <c r="D54" s="179"/>
      <c r="E54" s="165"/>
      <c r="F54" s="165"/>
      <c r="G54" s="165"/>
      <c r="H54" s="165"/>
      <c r="I54" s="183"/>
    </row>
    <row r="55" spans="1:9" ht="15.6">
      <c r="A55" s="201"/>
      <c r="B55" s="791" t="s">
        <v>42</v>
      </c>
      <c r="C55" s="536" t="s">
        <v>4</v>
      </c>
      <c r="D55" s="539">
        <v>113.42628571428571</v>
      </c>
      <c r="E55" s="165"/>
      <c r="F55" s="165"/>
      <c r="G55" s="165"/>
      <c r="H55" s="165"/>
      <c r="I55" s="183"/>
    </row>
    <row r="56" spans="1:9" ht="15.6">
      <c r="A56" s="201"/>
      <c r="B56" s="791" t="s">
        <v>43</v>
      </c>
      <c r="C56" s="536" t="s">
        <v>4</v>
      </c>
      <c r="D56" s="539">
        <v>41.744000000000007</v>
      </c>
      <c r="E56" s="165"/>
      <c r="F56" s="165"/>
      <c r="G56" s="165"/>
      <c r="H56" s="165"/>
      <c r="I56" s="183"/>
    </row>
    <row r="57" spans="1:9" ht="30">
      <c r="A57" s="201"/>
      <c r="B57" s="791" t="s">
        <v>394</v>
      </c>
      <c r="C57" s="536" t="s">
        <v>4</v>
      </c>
      <c r="D57" s="539">
        <v>4.7747999999999999</v>
      </c>
      <c r="E57" s="165"/>
      <c r="F57" s="165"/>
      <c r="G57" s="165"/>
      <c r="H57" s="165"/>
      <c r="I57" s="183"/>
    </row>
    <row r="58" spans="1:9" ht="15.6">
      <c r="A58" s="201"/>
      <c r="B58" s="787" t="s">
        <v>44</v>
      </c>
      <c r="C58" s="803" t="s">
        <v>4</v>
      </c>
      <c r="D58" s="807">
        <f>46.25*0</f>
        <v>0</v>
      </c>
      <c r="E58" s="165"/>
      <c r="F58" s="165"/>
      <c r="G58" s="165"/>
      <c r="H58" s="165"/>
      <c r="I58" s="806" t="s">
        <v>991</v>
      </c>
    </row>
    <row r="59" spans="1:9" ht="15.6">
      <c r="A59" s="201"/>
      <c r="B59" s="787" t="s">
        <v>60</v>
      </c>
      <c r="C59" s="803" t="s">
        <v>4</v>
      </c>
      <c r="D59" s="807">
        <f>15*0</f>
        <v>0</v>
      </c>
      <c r="E59" s="165"/>
      <c r="F59" s="165"/>
      <c r="G59" s="165"/>
      <c r="H59" s="165"/>
      <c r="I59" s="806" t="s">
        <v>991</v>
      </c>
    </row>
    <row r="60" spans="1:9" ht="15.6">
      <c r="A60" s="201"/>
      <c r="B60" s="283" t="s">
        <v>384</v>
      </c>
      <c r="C60" s="165"/>
      <c r="D60" s="285">
        <f>SUM(D55:D59)</f>
        <v>159.94508571428571</v>
      </c>
      <c r="E60" s="111">
        <v>75000</v>
      </c>
      <c r="F60" s="111">
        <f>D60*E60/10^5</f>
        <v>119.9588142857143</v>
      </c>
      <c r="G60" s="165"/>
      <c r="H60" s="165"/>
      <c r="I60" s="183"/>
    </row>
    <row r="61" spans="1:9" ht="15.6">
      <c r="A61" s="201"/>
      <c r="B61" s="12" t="s">
        <v>444</v>
      </c>
      <c r="C61" s="30"/>
      <c r="D61" s="179"/>
      <c r="E61" s="111"/>
      <c r="F61" s="165"/>
      <c r="G61" s="165"/>
      <c r="H61" s="165"/>
      <c r="I61" s="183"/>
    </row>
    <row r="62" spans="1:9" ht="15.6">
      <c r="A62" s="201"/>
      <c r="B62" s="542" t="s">
        <v>63</v>
      </c>
      <c r="C62" s="543" t="s">
        <v>50</v>
      </c>
      <c r="D62" s="544">
        <v>1</v>
      </c>
      <c r="E62" s="287">
        <f>150*10^5</f>
        <v>15000000</v>
      </c>
      <c r="F62" s="111">
        <f t="shared" ref="F62:F104" si="0">D62*E62/10^5</f>
        <v>150</v>
      </c>
      <c r="G62" s="165"/>
      <c r="H62" s="165"/>
      <c r="I62" s="183"/>
    </row>
    <row r="63" spans="1:9" s="117" customFormat="1" ht="15.6" hidden="1">
      <c r="A63" s="122"/>
      <c r="B63" s="789" t="s">
        <v>395</v>
      </c>
      <c r="C63" s="15" t="s">
        <v>4</v>
      </c>
      <c r="D63" s="540">
        <f>37.5*0</f>
        <v>0</v>
      </c>
      <c r="E63" s="123">
        <v>65000</v>
      </c>
      <c r="F63" s="123">
        <f t="shared" si="0"/>
        <v>0</v>
      </c>
      <c r="G63" s="121"/>
      <c r="H63" s="121"/>
      <c r="I63" s="541"/>
    </row>
    <row r="64" spans="1:9" ht="15.6">
      <c r="A64" s="201"/>
      <c r="B64" s="787" t="s">
        <v>45</v>
      </c>
      <c r="C64" s="808" t="s">
        <v>4</v>
      </c>
      <c r="D64" s="807">
        <f>29.9648/2</f>
        <v>14.9824</v>
      </c>
      <c r="E64" s="634">
        <v>425000</v>
      </c>
      <c r="F64" s="634">
        <f t="shared" si="0"/>
        <v>63.675199999999997</v>
      </c>
      <c r="G64" s="165"/>
      <c r="H64" s="165"/>
      <c r="I64" s="806" t="s">
        <v>991</v>
      </c>
    </row>
    <row r="65" spans="1:9" ht="15.6">
      <c r="A65" s="201"/>
      <c r="B65" s="787" t="s">
        <v>46</v>
      </c>
      <c r="C65" s="808" t="s">
        <v>4</v>
      </c>
      <c r="D65" s="807">
        <f>24.96/2</f>
        <v>12.48</v>
      </c>
      <c r="E65" s="634">
        <v>425000</v>
      </c>
      <c r="F65" s="634">
        <f t="shared" si="0"/>
        <v>53.04</v>
      </c>
      <c r="G65" s="165"/>
      <c r="H65" s="165"/>
      <c r="I65" s="806" t="s">
        <v>991</v>
      </c>
    </row>
    <row r="66" spans="1:9" ht="15.6">
      <c r="A66" s="201"/>
      <c r="B66" s="791" t="s">
        <v>396</v>
      </c>
      <c r="C66" s="545" t="s">
        <v>4</v>
      </c>
      <c r="D66" s="531">
        <v>3.43</v>
      </c>
      <c r="E66" s="111">
        <v>75000</v>
      </c>
      <c r="F66" s="111">
        <f t="shared" si="0"/>
        <v>2.5724999999999998</v>
      </c>
      <c r="G66" s="165"/>
      <c r="H66" s="165"/>
      <c r="I66" s="183"/>
    </row>
    <row r="67" spans="1:9" ht="15.6">
      <c r="A67" s="201"/>
      <c r="B67" s="791" t="s">
        <v>397</v>
      </c>
      <c r="C67" s="545" t="s">
        <v>4</v>
      </c>
      <c r="D67" s="531">
        <v>8.620000000000001</v>
      </c>
      <c r="E67" s="111">
        <v>75000</v>
      </c>
      <c r="F67" s="111">
        <f t="shared" si="0"/>
        <v>6.4650000000000007</v>
      </c>
      <c r="G67" s="165"/>
      <c r="H67" s="165"/>
      <c r="I67" s="183"/>
    </row>
    <row r="68" spans="1:9" ht="30">
      <c r="A68" s="201"/>
      <c r="B68" s="791" t="s">
        <v>59</v>
      </c>
      <c r="C68" s="543" t="s">
        <v>4</v>
      </c>
      <c r="D68" s="531">
        <v>182</v>
      </c>
      <c r="E68" s="111">
        <v>130000</v>
      </c>
      <c r="F68" s="111">
        <f t="shared" si="0"/>
        <v>236.6</v>
      </c>
      <c r="G68" s="165"/>
      <c r="H68" s="165"/>
      <c r="I68" s="183"/>
    </row>
    <row r="69" spans="1:9" ht="15.6">
      <c r="A69" s="201"/>
      <c r="B69" s="790" t="s">
        <v>66</v>
      </c>
      <c r="C69" s="546" t="s">
        <v>4</v>
      </c>
      <c r="D69" s="515">
        <v>45.5</v>
      </c>
      <c r="E69" s="111">
        <v>130000</v>
      </c>
      <c r="F69" s="111">
        <f t="shared" si="0"/>
        <v>59.15</v>
      </c>
      <c r="G69" s="165"/>
      <c r="H69" s="165"/>
      <c r="I69" s="183"/>
    </row>
    <row r="70" spans="1:9" ht="15.6">
      <c r="A70" s="201"/>
      <c r="B70" s="791" t="s">
        <v>404</v>
      </c>
      <c r="C70" s="543" t="s">
        <v>50</v>
      </c>
      <c r="D70" s="547">
        <v>1</v>
      </c>
      <c r="E70" s="288">
        <f>8*10^5</f>
        <v>800000</v>
      </c>
      <c r="F70" s="111">
        <f t="shared" si="0"/>
        <v>8</v>
      </c>
      <c r="G70" s="165"/>
      <c r="H70" s="165"/>
      <c r="I70" s="183"/>
    </row>
    <row r="71" spans="1:9" ht="15.6">
      <c r="A71" s="201"/>
      <c r="B71" s="791" t="s">
        <v>68</v>
      </c>
      <c r="C71" s="546" t="s">
        <v>4</v>
      </c>
      <c r="D71" s="515">
        <v>1.4</v>
      </c>
      <c r="E71" s="111">
        <v>130000</v>
      </c>
      <c r="F71" s="111">
        <f t="shared" si="0"/>
        <v>1.82</v>
      </c>
      <c r="G71" s="165"/>
      <c r="H71" s="165"/>
      <c r="I71" s="183"/>
    </row>
    <row r="72" spans="1:9" ht="30">
      <c r="A72" s="201"/>
      <c r="B72" s="791" t="s">
        <v>47</v>
      </c>
      <c r="C72" s="546" t="s">
        <v>4</v>
      </c>
      <c r="D72" s="531">
        <v>1.2</v>
      </c>
      <c r="E72" s="111">
        <v>250000</v>
      </c>
      <c r="F72" s="111">
        <f t="shared" si="0"/>
        <v>3</v>
      </c>
      <c r="G72" s="165"/>
      <c r="H72" s="165"/>
      <c r="I72" s="183"/>
    </row>
    <row r="73" spans="1:9" ht="15.6">
      <c r="A73" s="201"/>
      <c r="B73" s="791" t="s">
        <v>398</v>
      </c>
      <c r="C73" s="543" t="s">
        <v>50</v>
      </c>
      <c r="D73" s="515">
        <v>1</v>
      </c>
      <c r="E73" s="288">
        <f>30*10^5</f>
        <v>3000000</v>
      </c>
      <c r="F73" s="111">
        <f t="shared" si="0"/>
        <v>30</v>
      </c>
      <c r="G73" s="165"/>
      <c r="H73" s="165"/>
      <c r="I73" s="183"/>
    </row>
    <row r="74" spans="1:9" s="117" customFormat="1" ht="30" hidden="1">
      <c r="A74" s="122"/>
      <c r="B74" s="789" t="s">
        <v>399</v>
      </c>
      <c r="C74" s="15" t="s">
        <v>4</v>
      </c>
      <c r="D74" s="118">
        <f>18*0</f>
        <v>0</v>
      </c>
      <c r="E74" s="123">
        <v>100000</v>
      </c>
      <c r="F74" s="123">
        <f t="shared" si="0"/>
        <v>0</v>
      </c>
      <c r="G74" s="121"/>
      <c r="H74" s="121"/>
      <c r="I74" s="541"/>
    </row>
    <row r="75" spans="1:9" ht="15.6">
      <c r="A75" s="201"/>
      <c r="B75" s="790" t="s">
        <v>48</v>
      </c>
      <c r="C75" s="543" t="s">
        <v>4</v>
      </c>
      <c r="D75" s="515">
        <v>9.6000000000000014</v>
      </c>
      <c r="E75" s="111">
        <v>160000</v>
      </c>
      <c r="F75" s="111">
        <f t="shared" si="0"/>
        <v>15.360000000000003</v>
      </c>
      <c r="G75" s="165"/>
      <c r="H75" s="165"/>
      <c r="I75" s="183"/>
    </row>
    <row r="76" spans="1:9" ht="15.6">
      <c r="A76" s="201"/>
      <c r="B76" s="791" t="s">
        <v>49</v>
      </c>
      <c r="C76" s="543" t="s">
        <v>4</v>
      </c>
      <c r="D76" s="515">
        <v>9.2799999999999994</v>
      </c>
      <c r="E76" s="111">
        <v>160000</v>
      </c>
      <c r="F76" s="111">
        <f t="shared" si="0"/>
        <v>14.848000000000001</v>
      </c>
      <c r="G76" s="165"/>
      <c r="H76" s="165"/>
      <c r="I76" s="183"/>
    </row>
    <row r="77" spans="1:9" ht="15.6">
      <c r="A77" s="201"/>
      <c r="B77" s="791" t="s">
        <v>400</v>
      </c>
      <c r="C77" s="543" t="s">
        <v>4</v>
      </c>
      <c r="D77" s="548">
        <v>22.42</v>
      </c>
      <c r="E77" s="111">
        <v>75000</v>
      </c>
      <c r="F77" s="111">
        <f t="shared" si="0"/>
        <v>16.815000000000001</v>
      </c>
      <c r="G77" s="165"/>
      <c r="H77" s="165"/>
      <c r="I77" s="183"/>
    </row>
    <row r="78" spans="1:9" ht="15.6">
      <c r="A78" s="201"/>
      <c r="B78" s="791" t="s">
        <v>401</v>
      </c>
      <c r="C78" s="543" t="s">
        <v>4</v>
      </c>
      <c r="D78" s="515">
        <v>3.8</v>
      </c>
      <c r="E78" s="111">
        <v>130000</v>
      </c>
      <c r="F78" s="111">
        <f t="shared" si="0"/>
        <v>4.9400000000000004</v>
      </c>
      <c r="G78" s="165"/>
      <c r="H78" s="165"/>
      <c r="I78" s="183"/>
    </row>
    <row r="79" spans="1:9" ht="15.6">
      <c r="A79" s="201"/>
      <c r="B79" s="791" t="s">
        <v>51</v>
      </c>
      <c r="C79" s="543" t="s">
        <v>4</v>
      </c>
      <c r="D79" s="548">
        <v>84.272000000000006</v>
      </c>
      <c r="E79" s="130">
        <v>400000</v>
      </c>
      <c r="F79" s="111">
        <f t="shared" si="0"/>
        <v>337.08800000000002</v>
      </c>
      <c r="G79" s="165"/>
      <c r="H79" s="165"/>
      <c r="I79" s="183"/>
    </row>
    <row r="80" spans="1:9" ht="30">
      <c r="A80" s="201"/>
      <c r="B80" s="787" t="s">
        <v>402</v>
      </c>
      <c r="C80" s="809" t="s">
        <v>4</v>
      </c>
      <c r="D80" s="654">
        <f>150*0</f>
        <v>0</v>
      </c>
      <c r="E80" s="634">
        <v>160000</v>
      </c>
      <c r="F80" s="634">
        <f t="shared" si="0"/>
        <v>0</v>
      </c>
      <c r="G80" s="165"/>
      <c r="H80" s="165"/>
      <c r="I80" s="806" t="s">
        <v>991</v>
      </c>
    </row>
    <row r="81" spans="1:9" ht="15.6">
      <c r="A81" s="201"/>
      <c r="B81" s="787" t="s">
        <v>403</v>
      </c>
      <c r="C81" s="809" t="s">
        <v>4</v>
      </c>
      <c r="D81" s="654">
        <f>20*0</f>
        <v>0</v>
      </c>
      <c r="E81" s="634">
        <v>160000</v>
      </c>
      <c r="F81" s="634">
        <f t="shared" si="0"/>
        <v>0</v>
      </c>
      <c r="G81" s="165"/>
      <c r="H81" s="165"/>
      <c r="I81" s="806" t="s">
        <v>991</v>
      </c>
    </row>
    <row r="82" spans="1:9" ht="60">
      <c r="A82" s="201"/>
      <c r="B82" s="787" t="s">
        <v>771</v>
      </c>
      <c r="C82" s="809" t="s">
        <v>50</v>
      </c>
      <c r="D82" s="810">
        <f>1*0</f>
        <v>0</v>
      </c>
      <c r="E82" s="807">
        <f>20*10^5</f>
        <v>2000000</v>
      </c>
      <c r="F82" s="634">
        <f t="shared" si="0"/>
        <v>0</v>
      </c>
      <c r="G82" s="165"/>
      <c r="H82" s="165"/>
      <c r="I82" s="806" t="s">
        <v>991</v>
      </c>
    </row>
    <row r="83" spans="1:9" ht="15.6">
      <c r="A83" s="201"/>
      <c r="B83" s="791" t="s">
        <v>52</v>
      </c>
      <c r="C83" s="543" t="s">
        <v>4</v>
      </c>
      <c r="D83" s="539">
        <v>9.7944444444444443</v>
      </c>
      <c r="E83" s="111">
        <v>130000</v>
      </c>
      <c r="F83" s="111">
        <f t="shared" si="0"/>
        <v>12.732777777777777</v>
      </c>
      <c r="G83" s="165"/>
      <c r="H83" s="165"/>
      <c r="I83" s="183"/>
    </row>
    <row r="84" spans="1:9" ht="15.6">
      <c r="A84" s="201"/>
      <c r="B84" s="791" t="s">
        <v>53</v>
      </c>
      <c r="C84" s="543" t="s">
        <v>4</v>
      </c>
      <c r="D84" s="539">
        <v>6.14</v>
      </c>
      <c r="E84" s="111">
        <v>300000</v>
      </c>
      <c r="F84" s="111">
        <f t="shared" si="0"/>
        <v>18.420000000000002</v>
      </c>
      <c r="G84" s="165"/>
      <c r="H84" s="165"/>
      <c r="I84" s="183"/>
    </row>
    <row r="85" spans="1:9" ht="15.6">
      <c r="A85" s="201"/>
      <c r="B85" s="791" t="s">
        <v>405</v>
      </c>
      <c r="C85" s="545" t="s">
        <v>336</v>
      </c>
      <c r="D85" s="544">
        <v>1</v>
      </c>
      <c r="E85" s="111">
        <v>500000</v>
      </c>
      <c r="F85" s="111">
        <f t="shared" si="0"/>
        <v>5</v>
      </c>
      <c r="G85" s="165"/>
      <c r="H85" s="165"/>
      <c r="I85" s="183"/>
    </row>
    <row r="86" spans="1:9" ht="15.6">
      <c r="A86" s="201"/>
      <c r="B86" s="791" t="s">
        <v>69</v>
      </c>
      <c r="C86" s="543" t="s">
        <v>4</v>
      </c>
      <c r="D86" s="539">
        <v>2.9</v>
      </c>
      <c r="E86" s="111">
        <v>160000</v>
      </c>
      <c r="F86" s="111">
        <f t="shared" si="0"/>
        <v>4.6399999999999997</v>
      </c>
      <c r="G86" s="165"/>
      <c r="H86" s="165"/>
      <c r="I86" s="183"/>
    </row>
    <row r="87" spans="1:9" ht="15.6">
      <c r="A87" s="201"/>
      <c r="B87" s="791" t="s">
        <v>406</v>
      </c>
      <c r="C87" s="543" t="s">
        <v>4</v>
      </c>
      <c r="D87" s="539">
        <v>2.8</v>
      </c>
      <c r="E87" s="111">
        <v>130000</v>
      </c>
      <c r="F87" s="111">
        <f t="shared" si="0"/>
        <v>3.64</v>
      </c>
      <c r="G87" s="165"/>
      <c r="H87" s="165"/>
      <c r="I87" s="183"/>
    </row>
    <row r="88" spans="1:9" ht="15.6">
      <c r="A88" s="201"/>
      <c r="B88" s="791" t="s">
        <v>70</v>
      </c>
      <c r="C88" s="543" t="s">
        <v>4</v>
      </c>
      <c r="D88" s="539">
        <v>18.559999999999999</v>
      </c>
      <c r="E88" s="111">
        <v>160000</v>
      </c>
      <c r="F88" s="111">
        <f t="shared" si="0"/>
        <v>29.696000000000002</v>
      </c>
      <c r="G88" s="165"/>
      <c r="H88" s="165"/>
      <c r="I88" s="183"/>
    </row>
    <row r="89" spans="1:9" s="117" customFormat="1" ht="15.6" hidden="1">
      <c r="A89" s="122"/>
      <c r="B89" s="789" t="s">
        <v>407</v>
      </c>
      <c r="C89" s="115" t="s">
        <v>4</v>
      </c>
      <c r="D89" s="549">
        <f>3*0</f>
        <v>0</v>
      </c>
      <c r="E89" s="123">
        <v>70000</v>
      </c>
      <c r="F89" s="123">
        <f t="shared" si="0"/>
        <v>0</v>
      </c>
      <c r="G89" s="121"/>
      <c r="H89" s="121"/>
      <c r="I89" s="541"/>
    </row>
    <row r="90" spans="1:9" ht="15.6">
      <c r="A90" s="201"/>
      <c r="B90" s="791" t="s">
        <v>408</v>
      </c>
      <c r="C90" s="543" t="s">
        <v>50</v>
      </c>
      <c r="D90" s="544">
        <v>1</v>
      </c>
      <c r="E90" s="111">
        <v>300000</v>
      </c>
      <c r="F90" s="111">
        <f t="shared" si="0"/>
        <v>3</v>
      </c>
      <c r="G90" s="165"/>
      <c r="H90" s="165"/>
      <c r="I90" s="183"/>
    </row>
    <row r="91" spans="1:9" ht="15.6">
      <c r="A91" s="201"/>
      <c r="B91" s="791" t="s">
        <v>409</v>
      </c>
      <c r="C91" s="543" t="s">
        <v>50</v>
      </c>
      <c r="D91" s="544">
        <v>1</v>
      </c>
      <c r="E91" s="111">
        <v>500000</v>
      </c>
      <c r="F91" s="111">
        <f t="shared" si="0"/>
        <v>5</v>
      </c>
      <c r="G91" s="165"/>
      <c r="H91" s="165"/>
      <c r="I91" s="183"/>
    </row>
    <row r="92" spans="1:9" ht="15.6">
      <c r="A92" s="201"/>
      <c r="B92" s="791" t="s">
        <v>410</v>
      </c>
      <c r="C92" s="543" t="s">
        <v>50</v>
      </c>
      <c r="D92" s="544">
        <v>2</v>
      </c>
      <c r="E92" s="111">
        <v>100000</v>
      </c>
      <c r="F92" s="111">
        <f t="shared" si="0"/>
        <v>2</v>
      </c>
      <c r="G92" s="165"/>
      <c r="H92" s="165"/>
      <c r="I92" s="183"/>
    </row>
    <row r="93" spans="1:9" ht="15.6">
      <c r="A93" s="201"/>
      <c r="B93" s="791" t="s">
        <v>411</v>
      </c>
      <c r="C93" s="543" t="s">
        <v>50</v>
      </c>
      <c r="D93" s="544">
        <v>2</v>
      </c>
      <c r="E93" s="111">
        <v>75000</v>
      </c>
      <c r="F93" s="111">
        <f t="shared" si="0"/>
        <v>1.5</v>
      </c>
      <c r="G93" s="165"/>
      <c r="H93" s="165"/>
      <c r="I93" s="183"/>
    </row>
    <row r="94" spans="1:9" ht="15.6">
      <c r="A94" s="201"/>
      <c r="B94" s="542" t="s">
        <v>412</v>
      </c>
      <c r="C94" s="545" t="s">
        <v>414</v>
      </c>
      <c r="D94" s="515">
        <v>22500</v>
      </c>
      <c r="E94" s="111">
        <v>250</v>
      </c>
      <c r="F94" s="111">
        <f t="shared" si="0"/>
        <v>56.25</v>
      </c>
      <c r="G94" s="165"/>
      <c r="H94" s="165"/>
      <c r="I94" s="183"/>
    </row>
    <row r="95" spans="1:9" ht="15.6">
      <c r="A95" s="201"/>
      <c r="B95" s="542" t="s">
        <v>413</v>
      </c>
      <c r="C95" s="545" t="s">
        <v>414</v>
      </c>
      <c r="D95" s="515">
        <v>5800</v>
      </c>
      <c r="E95" s="111">
        <v>150</v>
      </c>
      <c r="F95" s="111">
        <f t="shared" si="0"/>
        <v>8.6999999999999993</v>
      </c>
      <c r="G95" s="165"/>
      <c r="H95" s="165"/>
      <c r="I95" s="183"/>
    </row>
    <row r="96" spans="1:9" ht="21" customHeight="1">
      <c r="A96" s="201"/>
      <c r="B96" s="172" t="s">
        <v>467</v>
      </c>
      <c r="C96" s="116"/>
      <c r="D96" s="299"/>
      <c r="E96" s="298"/>
      <c r="F96" s="111"/>
      <c r="G96" s="165"/>
      <c r="H96" s="165"/>
      <c r="I96" s="183"/>
    </row>
    <row r="97" spans="1:9" ht="45">
      <c r="A97" s="201"/>
      <c r="B97" s="550" t="s">
        <v>470</v>
      </c>
      <c r="C97" s="551" t="s">
        <v>4</v>
      </c>
      <c r="D97" s="552">
        <v>25</v>
      </c>
      <c r="E97" s="300">
        <v>80000</v>
      </c>
      <c r="F97" s="111">
        <f t="shared" si="0"/>
        <v>20</v>
      </c>
      <c r="G97" s="165"/>
      <c r="H97" s="165"/>
      <c r="I97" s="183"/>
    </row>
    <row r="98" spans="1:9" ht="15.6">
      <c r="A98" s="201"/>
      <c r="B98" s="550" t="s">
        <v>471</v>
      </c>
      <c r="C98" s="551" t="s">
        <v>4</v>
      </c>
      <c r="D98" s="552">
        <v>3</v>
      </c>
      <c r="E98" s="300">
        <v>400000</v>
      </c>
      <c r="F98" s="111">
        <f t="shared" si="0"/>
        <v>12</v>
      </c>
      <c r="G98" s="165"/>
      <c r="H98" s="165"/>
      <c r="I98" s="183"/>
    </row>
    <row r="99" spans="1:9" ht="30">
      <c r="A99" s="201"/>
      <c r="B99" s="550" t="s">
        <v>472</v>
      </c>
      <c r="C99" s="551" t="s">
        <v>4</v>
      </c>
      <c r="D99" s="552">
        <v>4</v>
      </c>
      <c r="E99" s="300">
        <v>800000</v>
      </c>
      <c r="F99" s="111">
        <f t="shared" si="0"/>
        <v>32</v>
      </c>
      <c r="G99" s="165"/>
      <c r="H99" s="165"/>
      <c r="I99" s="183"/>
    </row>
    <row r="100" spans="1:9" ht="15.6">
      <c r="A100" s="201"/>
      <c r="B100" s="550" t="s">
        <v>473</v>
      </c>
      <c r="C100" s="551" t="s">
        <v>4</v>
      </c>
      <c r="D100" s="552">
        <v>9</v>
      </c>
      <c r="E100" s="300">
        <v>300000</v>
      </c>
      <c r="F100" s="111">
        <f t="shared" si="0"/>
        <v>27</v>
      </c>
      <c r="G100" s="165"/>
      <c r="H100" s="165"/>
      <c r="I100" s="183"/>
    </row>
    <row r="101" spans="1:9" ht="36.75" customHeight="1">
      <c r="A101" s="201"/>
      <c r="B101" s="552" t="s">
        <v>468</v>
      </c>
      <c r="C101" s="551" t="s">
        <v>5</v>
      </c>
      <c r="D101" s="552">
        <v>45</v>
      </c>
      <c r="E101" s="300">
        <v>75000</v>
      </c>
      <c r="F101" s="111">
        <f t="shared" si="0"/>
        <v>33.75</v>
      </c>
      <c r="G101" s="165"/>
      <c r="H101" s="165"/>
      <c r="I101" s="183"/>
    </row>
    <row r="102" spans="1:9" ht="35.25" customHeight="1">
      <c r="A102" s="201"/>
      <c r="B102" s="553" t="s">
        <v>469</v>
      </c>
      <c r="C102" s="551" t="s">
        <v>5</v>
      </c>
      <c r="D102" s="552">
        <v>5</v>
      </c>
      <c r="E102" s="300">
        <v>130000</v>
      </c>
      <c r="F102" s="111">
        <f t="shared" si="0"/>
        <v>6.5</v>
      </c>
      <c r="G102" s="165"/>
      <c r="H102" s="165"/>
      <c r="I102" s="183"/>
    </row>
    <row r="103" spans="1:9" ht="37.5" customHeight="1">
      <c r="A103" s="302"/>
      <c r="B103" s="553" t="s">
        <v>474</v>
      </c>
      <c r="C103" s="551" t="s">
        <v>5</v>
      </c>
      <c r="D103" s="531">
        <v>230</v>
      </c>
      <c r="E103" s="301">
        <v>75000</v>
      </c>
      <c r="F103" s="111">
        <f t="shared" si="0"/>
        <v>172.5</v>
      </c>
      <c r="G103" s="165"/>
      <c r="H103" s="165"/>
      <c r="I103" s="183"/>
    </row>
    <row r="104" spans="1:9" ht="20.25" customHeight="1">
      <c r="A104" s="302"/>
      <c r="B104" s="553" t="s">
        <v>475</v>
      </c>
      <c r="C104" s="551" t="s">
        <v>5</v>
      </c>
      <c r="D104" s="554">
        <v>2</v>
      </c>
      <c r="E104" s="111">
        <v>250000</v>
      </c>
      <c r="F104" s="111">
        <f t="shared" si="0"/>
        <v>5</v>
      </c>
      <c r="G104" s="165"/>
      <c r="H104" s="165"/>
      <c r="I104" s="183"/>
    </row>
    <row r="105" spans="1:9" ht="21.75" customHeight="1">
      <c r="A105" s="302"/>
      <c r="B105" s="553" t="s">
        <v>476</v>
      </c>
      <c r="C105" s="551" t="s">
        <v>5</v>
      </c>
      <c r="D105" s="554">
        <v>25</v>
      </c>
      <c r="E105" s="111">
        <v>250000</v>
      </c>
      <c r="F105" s="111">
        <f>D105*E105/10^5</f>
        <v>62.5</v>
      </c>
      <c r="G105" s="165"/>
      <c r="H105" s="165"/>
      <c r="I105" s="183"/>
    </row>
    <row r="106" spans="1:9" s="114" customFormat="1" ht="36" customHeight="1">
      <c r="A106" s="557"/>
      <c r="B106" s="569" t="s">
        <v>754</v>
      </c>
      <c r="C106" s="558" t="s">
        <v>50</v>
      </c>
      <c r="D106" s="571">
        <v>1</v>
      </c>
      <c r="E106" s="570"/>
      <c r="F106" s="570">
        <f>36/1.12/1.05</f>
        <v>30.612244897959179</v>
      </c>
      <c r="G106" s="30"/>
      <c r="H106" s="30"/>
      <c r="I106" s="183"/>
    </row>
    <row r="107" spans="1:9" s="114" customFormat="1" ht="19.5" customHeight="1">
      <c r="A107" s="557"/>
      <c r="B107" s="569" t="s">
        <v>755</v>
      </c>
      <c r="C107" s="558" t="s">
        <v>4</v>
      </c>
      <c r="D107" s="559">
        <v>60</v>
      </c>
      <c r="E107" s="301">
        <v>75000</v>
      </c>
      <c r="F107" s="111">
        <f>D107*E107/10^5</f>
        <v>45</v>
      </c>
      <c r="G107" s="30"/>
      <c r="H107" s="30"/>
      <c r="I107" s="183"/>
    </row>
    <row r="108" spans="1:9" s="114" customFormat="1" ht="66.75" customHeight="1">
      <c r="A108" s="557"/>
      <c r="B108" s="569" t="s">
        <v>756</v>
      </c>
      <c r="C108" s="558" t="s">
        <v>50</v>
      </c>
      <c r="D108" s="559">
        <v>1</v>
      </c>
      <c r="E108" s="30"/>
      <c r="F108" s="111">
        <v>175</v>
      </c>
      <c r="G108" s="30"/>
      <c r="H108" s="30"/>
      <c r="I108" s="183"/>
    </row>
    <row r="109" spans="1:9" ht="15.6">
      <c r="A109" s="302"/>
      <c r="B109" s="553" t="s">
        <v>477</v>
      </c>
      <c r="C109" s="560" t="s">
        <v>50</v>
      </c>
      <c r="D109" s="554">
        <v>1</v>
      </c>
      <c r="E109" s="111"/>
      <c r="F109" s="111">
        <v>40</v>
      </c>
      <c r="G109" s="165"/>
      <c r="H109" s="165"/>
      <c r="I109" s="183"/>
    </row>
    <row r="110" spans="1:9" ht="15.6">
      <c r="A110" s="302"/>
      <c r="B110" s="552" t="s">
        <v>478</v>
      </c>
      <c r="C110" s="560" t="s">
        <v>50</v>
      </c>
      <c r="D110" s="554">
        <v>1</v>
      </c>
      <c r="E110" s="111"/>
      <c r="F110" s="111">
        <v>3</v>
      </c>
      <c r="G110" s="165"/>
      <c r="H110" s="165"/>
      <c r="I110" s="183"/>
    </row>
    <row r="111" spans="1:9" ht="21" customHeight="1">
      <c r="A111" s="201"/>
      <c r="B111" s="811" t="s">
        <v>992</v>
      </c>
      <c r="C111" s="808"/>
      <c r="D111" s="812"/>
      <c r="E111" s="634"/>
      <c r="F111" s="634">
        <f>3723.5*0+1336.93</f>
        <v>1336.93</v>
      </c>
      <c r="G111" s="165"/>
      <c r="H111" s="165"/>
      <c r="I111" s="806" t="s">
        <v>991</v>
      </c>
    </row>
    <row r="112" spans="1:9" s="117" customFormat="1" ht="15.6" hidden="1">
      <c r="A112" s="122"/>
      <c r="B112" s="561" t="s">
        <v>479</v>
      </c>
      <c r="C112" s="115"/>
      <c r="D112" s="562"/>
      <c r="E112" s="123"/>
      <c r="F112" s="123">
        <f>731*0</f>
        <v>0</v>
      </c>
      <c r="G112" s="121"/>
      <c r="H112" s="121"/>
      <c r="I112" s="541"/>
    </row>
    <row r="113" spans="1:9" ht="15.6">
      <c r="A113" s="201"/>
      <c r="B113" s="164" t="s">
        <v>445</v>
      </c>
      <c r="C113" s="165"/>
      <c r="D113" s="179"/>
      <c r="E113" s="165"/>
      <c r="F113" s="165"/>
      <c r="G113" s="165"/>
      <c r="H113" s="165"/>
      <c r="I113" s="183"/>
    </row>
    <row r="114" spans="1:9" ht="15.6">
      <c r="A114" s="201"/>
      <c r="B114" s="513" t="s">
        <v>454</v>
      </c>
      <c r="C114" s="556" t="s">
        <v>4</v>
      </c>
      <c r="D114" s="539">
        <f>(12178+17612+10130+3300+154+3980+17400+28550+784+1400+44+8640+400)/1000+7.5+55.8</f>
        <v>167.87200000000001</v>
      </c>
      <c r="E114" s="28">
        <v>250000</v>
      </c>
      <c r="F114" s="130">
        <f t="shared" ref="F114:F126" si="1">D114*E114/10^5</f>
        <v>419.68</v>
      </c>
      <c r="G114" s="165"/>
      <c r="H114" s="165"/>
      <c r="I114" s="183"/>
    </row>
    <row r="115" spans="1:9" ht="15.6">
      <c r="A115" s="201"/>
      <c r="B115" s="513" t="s">
        <v>453</v>
      </c>
      <c r="C115" s="556" t="s">
        <v>4</v>
      </c>
      <c r="D115" s="539">
        <f>494.5+1155.7+383.88+13.94</f>
        <v>2048.02</v>
      </c>
      <c r="E115" s="134">
        <f>95000</f>
        <v>95000</v>
      </c>
      <c r="F115" s="130">
        <f t="shared" si="1"/>
        <v>1945.6189999999999</v>
      </c>
      <c r="G115" s="165"/>
      <c r="H115" s="165"/>
      <c r="I115" s="183"/>
    </row>
    <row r="116" spans="1:9" ht="15.6">
      <c r="A116" s="201"/>
      <c r="B116" s="513" t="s">
        <v>455</v>
      </c>
      <c r="C116" s="556" t="s">
        <v>4</v>
      </c>
      <c r="D116" s="539">
        <f>38.13+15+9.22</f>
        <v>62.35</v>
      </c>
      <c r="E116" s="134">
        <f>75000</f>
        <v>75000</v>
      </c>
      <c r="F116" s="130">
        <f t="shared" si="1"/>
        <v>46.762500000000003</v>
      </c>
      <c r="G116" s="165"/>
      <c r="H116" s="165"/>
      <c r="I116" s="183"/>
    </row>
    <row r="117" spans="1:9" ht="15.6">
      <c r="A117" s="201"/>
      <c r="B117" s="513" t="s">
        <v>757</v>
      </c>
      <c r="C117" s="556" t="s">
        <v>4</v>
      </c>
      <c r="D117" s="539">
        <f>104</f>
        <v>104</v>
      </c>
      <c r="E117" s="134">
        <v>120000</v>
      </c>
      <c r="F117" s="130">
        <f t="shared" si="1"/>
        <v>124.8</v>
      </c>
      <c r="G117" s="165"/>
      <c r="H117" s="165"/>
      <c r="I117" s="183"/>
    </row>
    <row r="118" spans="1:9" ht="30">
      <c r="A118" s="201"/>
      <c r="B118" s="566" t="s">
        <v>758</v>
      </c>
      <c r="C118" s="556" t="s">
        <v>50</v>
      </c>
      <c r="D118" s="539">
        <v>2</v>
      </c>
      <c r="E118" s="134">
        <f>10*10^5</f>
        <v>1000000</v>
      </c>
      <c r="F118" s="140">
        <f t="shared" si="1"/>
        <v>20</v>
      </c>
      <c r="G118" s="165"/>
      <c r="H118" s="165"/>
      <c r="I118" s="183"/>
    </row>
    <row r="119" spans="1:9" ht="15.6">
      <c r="A119" s="201"/>
      <c r="B119" s="566" t="s">
        <v>759</v>
      </c>
      <c r="C119" s="556" t="s">
        <v>50</v>
      </c>
      <c r="D119" s="539">
        <v>1</v>
      </c>
      <c r="E119" s="134">
        <f>1.3*10^5</f>
        <v>130000</v>
      </c>
      <c r="F119" s="140">
        <f t="shared" si="1"/>
        <v>1.3</v>
      </c>
      <c r="G119" s="165"/>
      <c r="H119" s="165"/>
      <c r="I119" s="183"/>
    </row>
    <row r="120" spans="1:9" ht="30">
      <c r="A120" s="201"/>
      <c r="B120" s="566" t="s">
        <v>760</v>
      </c>
      <c r="C120" s="556" t="s">
        <v>50</v>
      </c>
      <c r="D120" s="539">
        <v>2</v>
      </c>
      <c r="E120" s="134">
        <f>6*10^5</f>
        <v>600000</v>
      </c>
      <c r="F120" s="140">
        <f t="shared" si="1"/>
        <v>12</v>
      </c>
      <c r="G120" s="165"/>
      <c r="H120" s="165"/>
      <c r="I120" s="183"/>
    </row>
    <row r="121" spans="1:9" ht="15.6">
      <c r="A121" s="201"/>
      <c r="B121" s="513" t="s">
        <v>447</v>
      </c>
      <c r="C121" s="556" t="s">
        <v>4</v>
      </c>
      <c r="D121" s="567">
        <f>10+1.45</f>
        <v>11.45</v>
      </c>
      <c r="E121" s="130">
        <v>130000</v>
      </c>
      <c r="F121" s="111">
        <f t="shared" si="1"/>
        <v>14.885</v>
      </c>
      <c r="G121" s="165"/>
      <c r="H121" s="165"/>
      <c r="I121" s="183"/>
    </row>
    <row r="122" spans="1:9" ht="15.6">
      <c r="A122" s="201"/>
      <c r="B122" s="513" t="s">
        <v>446</v>
      </c>
      <c r="C122" s="556" t="s">
        <v>4</v>
      </c>
      <c r="D122" s="567">
        <v>5.26</v>
      </c>
      <c r="E122" s="130">
        <v>190000</v>
      </c>
      <c r="F122" s="111">
        <f t="shared" si="1"/>
        <v>9.9939999999999998</v>
      </c>
      <c r="G122" s="165"/>
      <c r="H122" s="165"/>
      <c r="I122" s="183"/>
    </row>
    <row r="123" spans="1:9" ht="15.6">
      <c r="A123" s="201"/>
      <c r="B123" s="513" t="s">
        <v>448</v>
      </c>
      <c r="C123" s="556" t="s">
        <v>4</v>
      </c>
      <c r="D123" s="567">
        <f>0.49</f>
        <v>0.49</v>
      </c>
      <c r="E123" s="130">
        <v>75000</v>
      </c>
      <c r="F123" s="111">
        <f t="shared" si="1"/>
        <v>0.36749999999999999</v>
      </c>
      <c r="G123" s="165"/>
      <c r="H123" s="165"/>
      <c r="I123" s="183"/>
    </row>
    <row r="124" spans="1:9" ht="15.6">
      <c r="A124" s="201"/>
      <c r="B124" s="513" t="s">
        <v>449</v>
      </c>
      <c r="C124" s="556" t="s">
        <v>4</v>
      </c>
      <c r="D124" s="567">
        <v>1.5</v>
      </c>
      <c r="E124" s="28">
        <v>350000</v>
      </c>
      <c r="F124" s="111">
        <f t="shared" si="1"/>
        <v>5.25</v>
      </c>
      <c r="G124" s="165"/>
      <c r="H124" s="165"/>
      <c r="I124" s="183"/>
    </row>
    <row r="125" spans="1:9" ht="48" customHeight="1">
      <c r="A125" s="201"/>
      <c r="B125" s="566" t="s">
        <v>450</v>
      </c>
      <c r="C125" s="556" t="s">
        <v>4</v>
      </c>
      <c r="D125" s="567">
        <v>6</v>
      </c>
      <c r="E125" s="134">
        <v>130000</v>
      </c>
      <c r="F125" s="111">
        <f t="shared" si="1"/>
        <v>7.8</v>
      </c>
      <c r="G125" s="165"/>
      <c r="H125" s="165"/>
      <c r="I125" s="183"/>
    </row>
    <row r="126" spans="1:9" ht="30">
      <c r="A126" s="201"/>
      <c r="B126" s="566" t="s">
        <v>761</v>
      </c>
      <c r="C126" s="556" t="s">
        <v>4</v>
      </c>
      <c r="D126" s="567">
        <f>0.22+0.05+1.2+0.2</f>
        <v>1.67</v>
      </c>
      <c r="E126" s="134">
        <v>130000</v>
      </c>
      <c r="F126" s="111">
        <f t="shared" si="1"/>
        <v>2.1709999999999998</v>
      </c>
      <c r="G126" s="165"/>
      <c r="H126" s="165"/>
      <c r="I126" s="183"/>
    </row>
    <row r="127" spans="1:9" ht="15.6">
      <c r="A127" s="201"/>
      <c r="B127" s="513" t="s">
        <v>451</v>
      </c>
      <c r="C127" s="556" t="s">
        <v>18</v>
      </c>
      <c r="D127" s="568">
        <v>1</v>
      </c>
      <c r="E127" s="165"/>
      <c r="F127" s="111">
        <f>55</f>
        <v>55</v>
      </c>
      <c r="G127" s="165"/>
      <c r="H127" s="165"/>
      <c r="I127" s="183"/>
    </row>
    <row r="128" spans="1:9" ht="30">
      <c r="A128" s="201"/>
      <c r="B128" s="632" t="s">
        <v>847</v>
      </c>
      <c r="C128" s="556" t="s">
        <v>18</v>
      </c>
      <c r="D128" s="568">
        <v>1</v>
      </c>
      <c r="E128" s="165"/>
      <c r="F128" s="634">
        <v>30</v>
      </c>
      <c r="G128" s="165"/>
      <c r="H128" s="165"/>
      <c r="I128" s="632" t="s">
        <v>839</v>
      </c>
    </row>
    <row r="129" spans="1:10" ht="15.6">
      <c r="A129" s="201"/>
      <c r="B129" s="674" t="s">
        <v>872</v>
      </c>
      <c r="C129" s="556" t="s">
        <v>329</v>
      </c>
      <c r="D129" s="676"/>
      <c r="E129" s="165"/>
      <c r="F129" s="673">
        <v>10</v>
      </c>
      <c r="G129" s="165"/>
      <c r="H129" s="165"/>
      <c r="I129" s="674" t="s">
        <v>873</v>
      </c>
    </row>
    <row r="130" spans="1:10" ht="30">
      <c r="B130" s="175" t="s">
        <v>531</v>
      </c>
      <c r="C130" s="165"/>
      <c r="D130" s="166"/>
      <c r="E130" s="166"/>
      <c r="F130" s="24"/>
      <c r="G130" s="166"/>
      <c r="H130" s="24"/>
      <c r="I130" s="134"/>
    </row>
    <row r="131" spans="1:10" ht="77.25" customHeight="1">
      <c r="B131" s="674" t="s">
        <v>879</v>
      </c>
      <c r="C131" s="165" t="s">
        <v>16</v>
      </c>
      <c r="D131" s="130">
        <f>1+1</f>
        <v>2</v>
      </c>
      <c r="E131" s="130">
        <f>1375*10^5/2</f>
        <v>68750000</v>
      </c>
      <c r="F131" s="130">
        <f>D131*E131/10^5/1.05/1.12/1.02</f>
        <v>1146.2918500733624</v>
      </c>
      <c r="G131" s="30"/>
      <c r="H131" s="30"/>
      <c r="I131" s="684" t="s">
        <v>880</v>
      </c>
    </row>
    <row r="132" spans="1:10" ht="21" customHeight="1">
      <c r="B132" s="513" t="s">
        <v>453</v>
      </c>
      <c r="C132" s="165" t="s">
        <v>4</v>
      </c>
      <c r="D132" s="166">
        <f>15+8.5+9.9+82.5</f>
        <v>115.9</v>
      </c>
      <c r="E132" s="166">
        <v>95000</v>
      </c>
      <c r="F132" s="111">
        <f>D132*E132/10^5</f>
        <v>110.105</v>
      </c>
      <c r="G132" s="166"/>
      <c r="H132" s="24"/>
      <c r="I132" s="134"/>
    </row>
    <row r="133" spans="1:10" ht="21" customHeight="1">
      <c r="B133" s="513" t="s">
        <v>454</v>
      </c>
      <c r="C133" s="165" t="s">
        <v>4</v>
      </c>
      <c r="D133" s="166">
        <f>3.5+2+10</f>
        <v>15.5</v>
      </c>
      <c r="E133" s="166">
        <f>E114</f>
        <v>250000</v>
      </c>
      <c r="F133" s="111">
        <f>D133*E133/10^5</f>
        <v>38.75</v>
      </c>
      <c r="G133" s="166"/>
      <c r="H133" s="24"/>
      <c r="I133" s="134"/>
    </row>
    <row r="134" spans="1:10">
      <c r="B134" s="513" t="s">
        <v>455</v>
      </c>
      <c r="C134" s="165" t="s">
        <v>4</v>
      </c>
      <c r="D134" s="588">
        <f>1.5+1+10</f>
        <v>12.5</v>
      </c>
      <c r="E134" s="166">
        <f>E116</f>
        <v>75000</v>
      </c>
      <c r="F134" s="111">
        <f>D134*E134/10^5</f>
        <v>9.375</v>
      </c>
      <c r="G134" s="166"/>
      <c r="H134" s="24"/>
      <c r="I134" s="134"/>
    </row>
    <row r="135" spans="1:10">
      <c r="B135" s="513" t="s">
        <v>532</v>
      </c>
      <c r="C135" s="165" t="s">
        <v>16</v>
      </c>
      <c r="D135" s="166">
        <v>1</v>
      </c>
      <c r="E135" s="166"/>
      <c r="F135" s="24">
        <v>10</v>
      </c>
      <c r="G135" s="166"/>
      <c r="H135" s="24"/>
      <c r="I135" s="134"/>
    </row>
    <row r="136" spans="1:10" ht="15.6">
      <c r="A136" s="201"/>
      <c r="B136" s="513" t="s">
        <v>452</v>
      </c>
      <c r="C136" s="556" t="s">
        <v>18</v>
      </c>
      <c r="D136" s="539">
        <v>1</v>
      </c>
      <c r="E136" s="165"/>
      <c r="F136" s="111">
        <f>125+30+130+25</f>
        <v>310</v>
      </c>
      <c r="G136" s="165"/>
      <c r="H136" s="165"/>
      <c r="I136" s="183"/>
    </row>
    <row r="137" spans="1:10" s="114" customFormat="1" ht="30">
      <c r="A137" s="311"/>
      <c r="B137" s="566" t="s">
        <v>456</v>
      </c>
      <c r="C137" s="556" t="s">
        <v>50</v>
      </c>
      <c r="D137" s="539">
        <v>1</v>
      </c>
      <c r="E137" s="30"/>
      <c r="F137" s="130">
        <v>65</v>
      </c>
      <c r="G137" s="30"/>
      <c r="H137" s="30"/>
      <c r="I137" s="183"/>
    </row>
    <row r="138" spans="1:10" s="114" customFormat="1" ht="30">
      <c r="A138" s="311"/>
      <c r="B138" s="566" t="s">
        <v>457</v>
      </c>
      <c r="C138" s="556" t="s">
        <v>50</v>
      </c>
      <c r="D138" s="539">
        <v>1</v>
      </c>
      <c r="E138" s="30"/>
      <c r="F138" s="130">
        <v>57</v>
      </c>
      <c r="G138" s="30"/>
      <c r="H138" s="30"/>
      <c r="I138" s="183"/>
    </row>
    <row r="139" spans="1:10" s="114" customFormat="1" ht="30">
      <c r="A139" s="311"/>
      <c r="B139" s="566" t="s">
        <v>458</v>
      </c>
      <c r="C139" s="556" t="s">
        <v>50</v>
      </c>
      <c r="D139" s="539">
        <v>60</v>
      </c>
      <c r="E139" s="130">
        <v>13000</v>
      </c>
      <c r="F139" s="130">
        <f>D139*E139/10^5</f>
        <v>7.8</v>
      </c>
      <c r="G139" s="30"/>
      <c r="H139" s="30"/>
      <c r="I139" s="183"/>
    </row>
    <row r="140" spans="1:10" ht="82.5" customHeight="1">
      <c r="A140" s="201"/>
      <c r="B140" s="566" t="s">
        <v>878</v>
      </c>
      <c r="C140" s="556" t="s">
        <v>50</v>
      </c>
      <c r="D140" s="539">
        <v>2</v>
      </c>
      <c r="E140" s="111">
        <f>31450000*1.3</f>
        <v>40885000</v>
      </c>
      <c r="F140" s="130">
        <f>D140*E140/10^5/1.05/1.12/1.02</f>
        <v>681.68934240362807</v>
      </c>
      <c r="G140" s="165"/>
      <c r="H140" s="165"/>
      <c r="I140" s="330" t="s">
        <v>1052</v>
      </c>
      <c r="J140" s="19"/>
    </row>
    <row r="141" spans="1:10" ht="20.25" customHeight="1">
      <c r="A141" s="201"/>
      <c r="B141" s="513" t="s">
        <v>461</v>
      </c>
      <c r="C141" s="556" t="s">
        <v>50</v>
      </c>
      <c r="D141" s="539">
        <v>1</v>
      </c>
      <c r="E141" s="165"/>
      <c r="F141" s="111">
        <v>8</v>
      </c>
      <c r="G141" s="165"/>
      <c r="H141" s="165"/>
      <c r="I141" s="183"/>
    </row>
    <row r="142" spans="1:10" ht="21.75" customHeight="1">
      <c r="A142" s="201"/>
      <c r="B142" s="513" t="s">
        <v>462</v>
      </c>
      <c r="C142" s="556" t="s">
        <v>18</v>
      </c>
      <c r="D142" s="539"/>
      <c r="E142" s="111"/>
      <c r="F142" s="111">
        <f>440+150*80000/10^5</f>
        <v>560</v>
      </c>
      <c r="G142" s="165"/>
      <c r="H142" s="165"/>
      <c r="I142" s="183"/>
    </row>
    <row r="143" spans="1:10" ht="15.6">
      <c r="A143" s="201"/>
      <c r="B143" s="515" t="s">
        <v>463</v>
      </c>
      <c r="C143" s="556" t="s">
        <v>4</v>
      </c>
      <c r="D143" s="539">
        <v>25.77</v>
      </c>
      <c r="E143" s="130">
        <v>350000</v>
      </c>
      <c r="F143" s="111">
        <f>D143*E143/10^5</f>
        <v>90.194999999999993</v>
      </c>
      <c r="G143" s="165"/>
      <c r="H143" s="165"/>
      <c r="I143" s="183"/>
    </row>
    <row r="144" spans="1:10" ht="15.6">
      <c r="A144" s="201"/>
      <c r="B144" s="515" t="s">
        <v>464</v>
      </c>
      <c r="C144" s="556" t="s">
        <v>41</v>
      </c>
      <c r="D144" s="539">
        <f>26+20+1.1+20</f>
        <v>67.099999999999994</v>
      </c>
      <c r="E144" s="113">
        <f>150*75000/1000</f>
        <v>11250</v>
      </c>
      <c r="F144" s="111">
        <f>D144*E144/10^5</f>
        <v>7.5487499999999992</v>
      </c>
      <c r="G144" s="165"/>
      <c r="H144" s="165"/>
      <c r="I144" s="183"/>
    </row>
    <row r="145" spans="1:17" ht="45">
      <c r="A145" s="201"/>
      <c r="B145" s="791" t="s">
        <v>500</v>
      </c>
      <c r="C145" s="556" t="s">
        <v>4</v>
      </c>
      <c r="D145" s="539">
        <f>5+3.15+0.8+0.7+8.4+0.4+0.6+0.1+0.1+0.1+0.02+0.1+0.1+3+0.1+0.1</f>
        <v>22.77000000000001</v>
      </c>
      <c r="E145" s="130">
        <v>300000</v>
      </c>
      <c r="F145" s="298">
        <f>D145*E145/10^5</f>
        <v>68.310000000000031</v>
      </c>
      <c r="G145" s="165"/>
      <c r="H145" s="165"/>
      <c r="I145" s="183"/>
    </row>
    <row r="146" spans="1:17" ht="46.8">
      <c r="A146" s="201"/>
      <c r="B146" s="783" t="s">
        <v>465</v>
      </c>
      <c r="C146" s="556" t="s">
        <v>18</v>
      </c>
      <c r="D146" s="539"/>
      <c r="E146" s="130"/>
      <c r="F146" s="1072">
        <f>3663*0+5715</f>
        <v>5715</v>
      </c>
      <c r="G146" s="297"/>
      <c r="H146" s="165"/>
      <c r="I146" s="826" t="s">
        <v>984</v>
      </c>
    </row>
    <row r="147" spans="1:17" s="19" customFormat="1" ht="24" customHeight="1">
      <c r="A147" s="408"/>
      <c r="B147" s="783" t="s">
        <v>466</v>
      </c>
      <c r="C147" s="556" t="s">
        <v>18</v>
      </c>
      <c r="D147" s="539"/>
      <c r="E147" s="308"/>
      <c r="F147" s="309">
        <f>(63487000+21600000+5000000+80000000+1095000+2500000+2200000+700000)/10^5</f>
        <v>1765.82</v>
      </c>
      <c r="G147" s="310"/>
      <c r="H147" s="310"/>
      <c r="I147" s="183"/>
      <c r="J147" s="19" t="s">
        <v>644</v>
      </c>
    </row>
    <row r="148" spans="1:17" ht="30">
      <c r="A148" s="201"/>
      <c r="B148" s="642" t="s">
        <v>853</v>
      </c>
      <c r="C148" s="556" t="s">
        <v>18</v>
      </c>
      <c r="D148" s="539"/>
      <c r="E148" s="308"/>
      <c r="F148" s="130">
        <v>12</v>
      </c>
      <c r="G148" s="641"/>
      <c r="H148" s="310"/>
      <c r="I148" s="632" t="s">
        <v>839</v>
      </c>
    </row>
    <row r="149" spans="1:17" ht="15.6">
      <c r="A149" s="201"/>
      <c r="B149" s="22"/>
      <c r="C149" s="165"/>
      <c r="D149" s="287"/>
      <c r="E149" s="308"/>
      <c r="F149" s="130"/>
      <c r="G149" s="641"/>
      <c r="H149" s="310"/>
      <c r="I149" s="183"/>
      <c r="J149" s="1718" t="s">
        <v>993</v>
      </c>
      <c r="K149" s="1719"/>
      <c r="L149" s="1719"/>
    </row>
    <row r="150" spans="1:17" s="19" customFormat="1" ht="33.75" customHeight="1">
      <c r="A150" s="408"/>
      <c r="B150" s="139" t="s">
        <v>80</v>
      </c>
      <c r="C150" s="30"/>
      <c r="D150" s="288"/>
      <c r="E150" s="130"/>
      <c r="F150" s="308"/>
      <c r="G150" s="297"/>
      <c r="H150" s="165"/>
      <c r="I150" s="183"/>
      <c r="J150" s="24" t="s">
        <v>506</v>
      </c>
      <c r="K150" s="175" t="s">
        <v>505</v>
      </c>
      <c r="L150" s="134" t="s">
        <v>507</v>
      </c>
      <c r="N150" s="171" t="s">
        <v>994</v>
      </c>
      <c r="O150" s="171"/>
      <c r="P150" s="171" t="s">
        <v>995</v>
      </c>
      <c r="Q150" s="128"/>
    </row>
    <row r="151" spans="1:17" s="114" customFormat="1" ht="25.5" customHeight="1">
      <c r="A151" s="311"/>
      <c r="B151" s="566" t="s">
        <v>996</v>
      </c>
      <c r="C151" s="30" t="s">
        <v>4</v>
      </c>
      <c r="D151" s="363">
        <f>2*380</f>
        <v>760</v>
      </c>
      <c r="E151" s="130"/>
      <c r="F151" s="308"/>
      <c r="G151" s="813">
        <f>SUM(J151:L151)/3</f>
        <v>6209.484576220425</v>
      </c>
      <c r="H151" s="698" t="e">
        <f>G151*D151*F2/10^5</f>
        <v>#REF!</v>
      </c>
      <c r="I151" s="171" t="s">
        <v>763</v>
      </c>
      <c r="J151" s="814">
        <f>7500/1.05/1.06/1.2</f>
        <v>5615.4537286612758</v>
      </c>
      <c r="K151" s="814">
        <v>6721</v>
      </c>
      <c r="L151" s="814">
        <v>6292</v>
      </c>
      <c r="M151" s="1702" t="s">
        <v>997</v>
      </c>
      <c r="N151" s="1702" t="s">
        <v>998</v>
      </c>
      <c r="O151" s="815"/>
      <c r="P151" s="1702" t="s">
        <v>999</v>
      </c>
      <c r="Q151" s="114">
        <f>95/1.44</f>
        <v>65.972222222222229</v>
      </c>
    </row>
    <row r="152" spans="1:17" s="114" customFormat="1" ht="20.25" customHeight="1">
      <c r="A152" s="311"/>
      <c r="B152" s="513" t="s">
        <v>1000</v>
      </c>
      <c r="C152" s="30" t="s">
        <v>4</v>
      </c>
      <c r="D152" s="363">
        <f>2*140</f>
        <v>280</v>
      </c>
      <c r="E152" s="130"/>
      <c r="F152" s="308"/>
      <c r="G152" s="813">
        <f>SUM(J152:L152)/3</f>
        <v>7230.8179095537589</v>
      </c>
      <c r="H152" s="698" t="e">
        <f>G152*D152*F2/10^5</f>
        <v>#REF!</v>
      </c>
      <c r="I152" s="171" t="s">
        <v>763</v>
      </c>
      <c r="J152" s="814">
        <f>7500/1.05/1.06/1.2</f>
        <v>5615.4537286612758</v>
      </c>
      <c r="K152" s="814">
        <v>8728</v>
      </c>
      <c r="L152" s="814">
        <v>7349</v>
      </c>
      <c r="M152" s="1702"/>
      <c r="N152" s="1702"/>
      <c r="O152" s="815"/>
      <c r="P152" s="1702"/>
    </row>
    <row r="153" spans="1:17" s="114" customFormat="1" ht="33.75" customHeight="1">
      <c r="A153" s="311"/>
      <c r="B153" s="566" t="s">
        <v>762</v>
      </c>
      <c r="C153" s="30" t="s">
        <v>4</v>
      </c>
      <c r="D153" s="363">
        <f>2*240</f>
        <v>480</v>
      </c>
      <c r="E153" s="130"/>
      <c r="F153" s="308"/>
      <c r="G153" s="813">
        <f>SUM(J153:L153)/3</f>
        <v>6753.1512428870919</v>
      </c>
      <c r="H153" s="698" t="e">
        <f>G153*D153*F2/10^5</f>
        <v>#REF!</v>
      </c>
      <c r="I153" s="171" t="s">
        <v>763</v>
      </c>
      <c r="J153" s="816">
        <f>7500/1.05/1.06/1.2</f>
        <v>5615.4537286612758</v>
      </c>
      <c r="K153" s="816">
        <v>8435</v>
      </c>
      <c r="L153" s="816">
        <v>6209</v>
      </c>
      <c r="M153" s="1702"/>
      <c r="N153" s="1702"/>
      <c r="O153" s="815"/>
      <c r="P153" s="1702"/>
    </row>
    <row r="154" spans="1:17" s="114" customFormat="1" ht="30" hidden="1">
      <c r="A154" s="311"/>
      <c r="B154" s="632" t="s">
        <v>1001</v>
      </c>
      <c r="C154" s="30" t="s">
        <v>50</v>
      </c>
      <c r="D154" s="363">
        <v>1</v>
      </c>
      <c r="E154" s="146">
        <f>100*210000</f>
        <v>21000000</v>
      </c>
      <c r="F154" s="697">
        <f>D154*E154/10^5*0</f>
        <v>0</v>
      </c>
      <c r="G154" s="367"/>
      <c r="H154" s="30"/>
      <c r="I154" s="632" t="s">
        <v>1002</v>
      </c>
      <c r="J154" s="814" t="e">
        <f>1*100*J153*F2/10^5/1.05/1.06/1.2</f>
        <v>#REF!</v>
      </c>
      <c r="K154" s="814" t="e">
        <f>100*3013*F2/10^5</f>
        <v>#REF!</v>
      </c>
      <c r="L154" s="814" t="e">
        <f>100*3405*F2/10^5</f>
        <v>#REF!</v>
      </c>
      <c r="M154" s="1702" t="s">
        <v>1003</v>
      </c>
      <c r="N154" s="1702"/>
      <c r="O154" s="815"/>
      <c r="P154" s="1702"/>
    </row>
    <row r="155" spans="1:17" s="114" customFormat="1" ht="35.25" customHeight="1">
      <c r="A155" s="311"/>
      <c r="B155" s="787" t="s">
        <v>1004</v>
      </c>
      <c r="C155" s="30" t="s">
        <v>50</v>
      </c>
      <c r="D155" s="698">
        <f>3+1</f>
        <v>4</v>
      </c>
      <c r="E155" s="364">
        <f>60*360000</f>
        <v>21600000</v>
      </c>
      <c r="F155" s="697">
        <f>D155*E155/10^5</f>
        <v>864</v>
      </c>
      <c r="G155" s="167"/>
      <c r="H155" s="146"/>
      <c r="I155" s="632" t="s">
        <v>1005</v>
      </c>
      <c r="J155" s="814" t="e">
        <f>60*J153*F2/10^5/1.05/1.06/1.2</f>
        <v>#REF!</v>
      </c>
      <c r="K155" s="814" t="e">
        <f>60*10788*F2/10^5</f>
        <v>#REF!</v>
      </c>
      <c r="L155" s="814" t="e">
        <f>60*6635*F2/10^5</f>
        <v>#REF!</v>
      </c>
      <c r="M155" s="1702"/>
      <c r="N155" s="1702"/>
      <c r="O155" s="815"/>
      <c r="P155" s="1702"/>
    </row>
    <row r="156" spans="1:17" s="114" customFormat="1" ht="32.25" customHeight="1">
      <c r="A156" s="311"/>
      <c r="B156" s="787" t="s">
        <v>764</v>
      </c>
      <c r="C156" s="30" t="s">
        <v>50</v>
      </c>
      <c r="D156" s="698">
        <f>1+1</f>
        <v>2</v>
      </c>
      <c r="E156" s="146">
        <f>80*210000</f>
        <v>16800000</v>
      </c>
      <c r="F156" s="697">
        <f>D156*E156/10^5</f>
        <v>336</v>
      </c>
      <c r="G156" s="167"/>
      <c r="H156" s="366"/>
      <c r="I156" s="632" t="s">
        <v>1005</v>
      </c>
      <c r="J156" s="1722" t="s">
        <v>1006</v>
      </c>
      <c r="K156" s="1722"/>
      <c r="L156" s="1722"/>
      <c r="M156" s="817" t="e">
        <f>(H151+H152+H153+F154+F155+F156)/100</f>
        <v>#REF!</v>
      </c>
      <c r="N156" s="148" t="e">
        <f>SUM(H151:H153)/100</f>
        <v>#REF!</v>
      </c>
      <c r="O156" s="457"/>
    </row>
    <row r="157" spans="1:17" ht="15.6">
      <c r="A157" s="201"/>
      <c r="B157" s="283" t="s">
        <v>498</v>
      </c>
      <c r="C157" s="30"/>
      <c r="D157" s="288"/>
      <c r="E157" s="130"/>
      <c r="F157" s="312">
        <f>SUM(F31:F156)</f>
        <v>23975.647654200344</v>
      </c>
      <c r="G157" s="297"/>
      <c r="H157" s="312" t="e">
        <f>SUM(H31:H156)</f>
        <v>#REF!</v>
      </c>
      <c r="I157" s="183"/>
    </row>
    <row r="158" spans="1:17" ht="15.6">
      <c r="A158" s="201"/>
      <c r="B158" s="22"/>
      <c r="C158" s="165"/>
      <c r="D158" s="287"/>
      <c r="E158" s="308"/>
      <c r="F158" s="309"/>
      <c r="G158" s="310"/>
      <c r="H158" s="310"/>
      <c r="I158" s="183"/>
    </row>
    <row r="159" spans="1:17" s="126" customFormat="1" ht="15.6">
      <c r="A159" s="1" t="s">
        <v>10</v>
      </c>
      <c r="B159" s="14" t="s">
        <v>415</v>
      </c>
      <c r="C159" s="3"/>
      <c r="D159" s="6"/>
      <c r="E159" s="6"/>
      <c r="F159" s="6"/>
      <c r="G159" s="6"/>
      <c r="H159" s="3"/>
      <c r="I159" s="4"/>
      <c r="J159" s="11"/>
      <c r="K159" s="3"/>
      <c r="L159" s="3"/>
    </row>
    <row r="160" spans="1:17" s="126" customFormat="1">
      <c r="A160" s="6"/>
      <c r="B160" s="542" t="s">
        <v>416</v>
      </c>
      <c r="C160" s="10" t="s">
        <v>4</v>
      </c>
      <c r="D160" s="654">
        <f>6600-560+185</f>
        <v>6225</v>
      </c>
      <c r="E160" s="125">
        <v>70000</v>
      </c>
      <c r="F160" s="298">
        <f>D160*E160/10^5</f>
        <v>4357.5</v>
      </c>
      <c r="G160" s="6"/>
      <c r="H160" s="3"/>
      <c r="I160" s="4"/>
      <c r="J160" s="11"/>
      <c r="K160" s="289"/>
      <c r="L160" s="3"/>
    </row>
    <row r="161" spans="1:12" s="126" customFormat="1">
      <c r="A161" s="6"/>
      <c r="B161" s="542" t="s">
        <v>1007</v>
      </c>
      <c r="C161" s="10" t="s">
        <v>15</v>
      </c>
      <c r="D161" s="654">
        <f>41000-6800+1765</f>
        <v>35965</v>
      </c>
      <c r="E161" s="125">
        <v>1500</v>
      </c>
      <c r="F161" s="298">
        <f>D161*E161/10^5</f>
        <v>539.47500000000002</v>
      </c>
      <c r="G161" s="6"/>
      <c r="H161" s="3"/>
      <c r="I161" s="4"/>
      <c r="J161" s="11"/>
      <c r="K161" s="289"/>
      <c r="L161" s="3"/>
    </row>
    <row r="162" spans="1:12" s="126" customFormat="1">
      <c r="A162" s="6"/>
      <c r="B162" s="542" t="s">
        <v>923</v>
      </c>
      <c r="C162" s="10" t="s">
        <v>4</v>
      </c>
      <c r="D162" s="3">
        <v>30</v>
      </c>
      <c r="E162" s="125">
        <v>70000</v>
      </c>
      <c r="F162" s="298">
        <f>D162*E162/10^5</f>
        <v>21</v>
      </c>
      <c r="G162" s="6"/>
      <c r="H162" s="3"/>
      <c r="I162" s="4"/>
      <c r="J162" s="11"/>
      <c r="K162" s="289"/>
      <c r="L162" s="3"/>
    </row>
    <row r="163" spans="1:12" s="126" customFormat="1">
      <c r="A163" s="6"/>
      <c r="B163" s="542" t="s">
        <v>417</v>
      </c>
      <c r="C163" s="10" t="s">
        <v>4</v>
      </c>
      <c r="D163" s="3">
        <v>105</v>
      </c>
      <c r="E163" s="125">
        <v>70000</v>
      </c>
      <c r="F163" s="308">
        <f>D163*E163/10^5</f>
        <v>73.5</v>
      </c>
      <c r="G163" s="6"/>
      <c r="H163" s="3"/>
      <c r="I163" s="4"/>
      <c r="J163" s="314"/>
      <c r="K163" s="289"/>
      <c r="L163" s="3"/>
    </row>
    <row r="164" spans="1:12" s="126" customFormat="1">
      <c r="A164" s="6"/>
      <c r="B164" s="542" t="s">
        <v>499</v>
      </c>
      <c r="C164" s="10" t="s">
        <v>4</v>
      </c>
      <c r="D164" s="3">
        <v>75</v>
      </c>
      <c r="E164" s="125">
        <v>80000</v>
      </c>
      <c r="F164" s="298">
        <f>D164*E164/10^5</f>
        <v>60</v>
      </c>
      <c r="G164" s="6"/>
      <c r="H164" s="3"/>
      <c r="I164" s="4"/>
      <c r="J164" s="314"/>
      <c r="K164" s="289"/>
      <c r="L164" s="3"/>
    </row>
    <row r="165" spans="1:12" ht="15.6">
      <c r="A165" s="201"/>
      <c r="B165" s="283" t="s">
        <v>497</v>
      </c>
      <c r="C165" s="165"/>
      <c r="D165" s="111"/>
      <c r="E165" s="130"/>
      <c r="F165" s="313">
        <f>SUM(F160:F164)</f>
        <v>5051.4750000000004</v>
      </c>
      <c r="G165" s="165"/>
      <c r="H165" s="313">
        <f>SUM(H160:H164)</f>
        <v>0</v>
      </c>
      <c r="I165" s="183"/>
    </row>
    <row r="166" spans="1:12" ht="10.5" customHeight="1">
      <c r="A166" s="201"/>
      <c r="B166" s="22"/>
      <c r="C166" s="165"/>
      <c r="D166" s="111"/>
      <c r="E166" s="130"/>
      <c r="F166" s="130"/>
      <c r="G166" s="165"/>
      <c r="H166" s="165"/>
      <c r="I166" s="183"/>
    </row>
    <row r="167" spans="1:12" ht="15.6">
      <c r="A167" s="23" t="s">
        <v>11</v>
      </c>
      <c r="B167" s="12" t="s">
        <v>486</v>
      </c>
      <c r="C167" s="165"/>
      <c r="D167" s="24"/>
      <c r="E167" s="164"/>
      <c r="F167" s="164"/>
      <c r="G167" s="164"/>
      <c r="H167" s="164"/>
      <c r="I167" s="134"/>
    </row>
    <row r="168" spans="1:12" ht="15.6">
      <c r="A168" s="23"/>
      <c r="B168" s="572" t="s">
        <v>337</v>
      </c>
      <c r="C168" s="303" t="s">
        <v>4</v>
      </c>
      <c r="D168" s="818">
        <v>14000</v>
      </c>
      <c r="E168" s="4">
        <v>45000</v>
      </c>
      <c r="F168" s="111">
        <f t="shared" ref="F168:F190" si="2">D168*E168/10^5</f>
        <v>6300</v>
      </c>
      <c r="G168" s="304"/>
      <c r="H168" s="305"/>
      <c r="I168" s="306"/>
    </row>
    <row r="169" spans="1:12" ht="15.6">
      <c r="A169" s="23"/>
      <c r="B169" s="572" t="s">
        <v>54</v>
      </c>
      <c r="C169" s="303" t="s">
        <v>4</v>
      </c>
      <c r="D169" s="818">
        <v>1600</v>
      </c>
      <c r="E169" s="4">
        <v>13500</v>
      </c>
      <c r="F169" s="111">
        <f t="shared" si="2"/>
        <v>216</v>
      </c>
      <c r="G169" s="304"/>
      <c r="H169" s="305"/>
      <c r="I169" s="306"/>
    </row>
    <row r="170" spans="1:12" s="114" customFormat="1" ht="30">
      <c r="A170" s="311"/>
      <c r="B170" s="572" t="s">
        <v>487</v>
      </c>
      <c r="C170" s="303" t="s">
        <v>4</v>
      </c>
      <c r="D170" s="818">
        <v>275</v>
      </c>
      <c r="E170" s="146">
        <v>16000</v>
      </c>
      <c r="F170" s="111">
        <f t="shared" si="2"/>
        <v>44</v>
      </c>
      <c r="G170" s="303"/>
      <c r="H170" s="303"/>
      <c r="I170" s="307"/>
    </row>
    <row r="171" spans="1:12" s="114" customFormat="1" ht="30">
      <c r="A171" s="311"/>
      <c r="B171" s="572" t="s">
        <v>488</v>
      </c>
      <c r="C171" s="303" t="s">
        <v>4</v>
      </c>
      <c r="D171" s="819">
        <v>750</v>
      </c>
      <c r="E171" s="146">
        <v>10000</v>
      </c>
      <c r="F171" s="111">
        <f t="shared" si="2"/>
        <v>75</v>
      </c>
      <c r="G171" s="303"/>
      <c r="H171" s="303"/>
      <c r="I171" s="307"/>
    </row>
    <row r="172" spans="1:12" s="114" customFormat="1" ht="15.6">
      <c r="A172" s="311"/>
      <c r="B172" s="572" t="s">
        <v>1008</v>
      </c>
      <c r="C172" s="303" t="s">
        <v>4</v>
      </c>
      <c r="D172" s="818">
        <v>70</v>
      </c>
      <c r="E172" s="146">
        <v>26000</v>
      </c>
      <c r="F172" s="111">
        <f>D172*E172/10^5</f>
        <v>18.2</v>
      </c>
      <c r="G172" s="303"/>
      <c r="H172" s="303"/>
      <c r="I172" s="307"/>
    </row>
    <row r="173" spans="1:12" s="114" customFormat="1" ht="30">
      <c r="A173" s="311"/>
      <c r="B173" s="572" t="s">
        <v>1009</v>
      </c>
      <c r="C173" s="303" t="s">
        <v>4</v>
      </c>
      <c r="D173" s="819">
        <v>300</v>
      </c>
      <c r="E173" s="146">
        <v>17000</v>
      </c>
      <c r="F173" s="111">
        <f t="shared" si="2"/>
        <v>51</v>
      </c>
      <c r="G173" s="303"/>
      <c r="H173" s="303"/>
      <c r="I173" s="307"/>
    </row>
    <row r="174" spans="1:12" s="114" customFormat="1" ht="30">
      <c r="A174" s="311"/>
      <c r="B174" s="572" t="s">
        <v>489</v>
      </c>
      <c r="C174" s="303" t="s">
        <v>4</v>
      </c>
      <c r="D174" s="818">
        <v>1050</v>
      </c>
      <c r="E174" s="146">
        <v>9500</v>
      </c>
      <c r="F174" s="111">
        <f t="shared" si="2"/>
        <v>99.75</v>
      </c>
      <c r="G174" s="303"/>
      <c r="H174" s="303"/>
      <c r="I174" s="307"/>
    </row>
    <row r="175" spans="1:12" s="114" customFormat="1" ht="15.6">
      <c r="A175" s="311"/>
      <c r="B175" s="572" t="s">
        <v>480</v>
      </c>
      <c r="C175" s="303" t="s">
        <v>4</v>
      </c>
      <c r="D175" s="818">
        <f>800+250</f>
        <v>1050</v>
      </c>
      <c r="E175" s="124">
        <v>4000</v>
      </c>
      <c r="F175" s="111">
        <f t="shared" si="2"/>
        <v>42</v>
      </c>
      <c r="G175" s="303"/>
      <c r="H175" s="303"/>
      <c r="I175" s="307"/>
    </row>
    <row r="176" spans="1:12" s="114" customFormat="1" ht="15.6">
      <c r="A176" s="311"/>
      <c r="B176" s="572" t="s">
        <v>1010</v>
      </c>
      <c r="C176" s="303" t="s">
        <v>4</v>
      </c>
      <c r="D176" s="818">
        <v>100</v>
      </c>
      <c r="E176" s="124">
        <v>11000</v>
      </c>
      <c r="F176" s="111">
        <f t="shared" si="2"/>
        <v>11</v>
      </c>
      <c r="G176" s="30"/>
      <c r="H176" s="30"/>
      <c r="I176" s="183"/>
    </row>
    <row r="177" spans="1:9" s="114" customFormat="1" ht="15.6">
      <c r="A177" s="311"/>
      <c r="B177" s="572" t="s">
        <v>1011</v>
      </c>
      <c r="C177" s="303" t="s">
        <v>4</v>
      </c>
      <c r="D177" s="818">
        <v>2300</v>
      </c>
      <c r="E177" s="124">
        <v>11800</v>
      </c>
      <c r="F177" s="111">
        <f>D177*E177/10^5</f>
        <v>271.39999999999998</v>
      </c>
      <c r="G177" s="30"/>
      <c r="H177" s="30"/>
      <c r="I177" s="183"/>
    </row>
    <row r="178" spans="1:9" s="114" customFormat="1" ht="15.6">
      <c r="A178" s="311"/>
      <c r="B178" s="572" t="s">
        <v>490</v>
      </c>
      <c r="C178" s="303" t="s">
        <v>4</v>
      </c>
      <c r="D178" s="818">
        <v>1150</v>
      </c>
      <c r="E178" s="124">
        <v>9500</v>
      </c>
      <c r="F178" s="111">
        <f t="shared" si="2"/>
        <v>109.25</v>
      </c>
      <c r="G178" s="30"/>
      <c r="H178" s="30"/>
      <c r="I178" s="183"/>
    </row>
    <row r="179" spans="1:9" s="114" customFormat="1" ht="15.6">
      <c r="A179" s="311"/>
      <c r="B179" s="572" t="s">
        <v>1012</v>
      </c>
      <c r="C179" s="303" t="s">
        <v>4</v>
      </c>
      <c r="D179" s="818">
        <v>475</v>
      </c>
      <c r="E179" s="124">
        <v>11000</v>
      </c>
      <c r="F179" s="111">
        <f>D179*E179/10^5</f>
        <v>52.25</v>
      </c>
      <c r="G179" s="30"/>
      <c r="H179" s="30"/>
      <c r="I179" s="183"/>
    </row>
    <row r="180" spans="1:9" s="114" customFormat="1" ht="15.6">
      <c r="A180" s="311"/>
      <c r="B180" s="572" t="s">
        <v>1013</v>
      </c>
      <c r="C180" s="303" t="s">
        <v>4</v>
      </c>
      <c r="D180" s="818">
        <v>1200</v>
      </c>
      <c r="E180" s="124">
        <v>9200</v>
      </c>
      <c r="F180" s="111">
        <f>D180*E180/10^5</f>
        <v>110.4</v>
      </c>
      <c r="G180" s="30"/>
      <c r="H180" s="30"/>
      <c r="I180" s="183"/>
    </row>
    <row r="181" spans="1:9" s="114" customFormat="1" ht="15.6">
      <c r="A181" s="311"/>
      <c r="B181" s="572" t="s">
        <v>1014</v>
      </c>
      <c r="C181" s="303" t="s">
        <v>4</v>
      </c>
      <c r="D181" s="818">
        <v>60</v>
      </c>
      <c r="E181" s="124">
        <v>9200</v>
      </c>
      <c r="F181" s="111">
        <f>D181*E181/10^5</f>
        <v>5.52</v>
      </c>
      <c r="G181" s="30"/>
      <c r="H181" s="30"/>
      <c r="I181" s="183"/>
    </row>
    <row r="182" spans="1:9" s="114" customFormat="1" ht="15.6">
      <c r="A182" s="311"/>
      <c r="B182" s="572" t="s">
        <v>491</v>
      </c>
      <c r="C182" s="303" t="s">
        <v>4</v>
      </c>
      <c r="D182" s="818">
        <v>15</v>
      </c>
      <c r="E182" s="124">
        <v>10000</v>
      </c>
      <c r="F182" s="111">
        <f t="shared" si="2"/>
        <v>1.5</v>
      </c>
      <c r="G182" s="30"/>
      <c r="H182" s="30"/>
      <c r="I182" s="183"/>
    </row>
    <row r="183" spans="1:9" s="114" customFormat="1" ht="30">
      <c r="A183" s="311"/>
      <c r="B183" s="572" t="s">
        <v>1015</v>
      </c>
      <c r="C183" s="303" t="s">
        <v>4</v>
      </c>
      <c r="D183" s="818">
        <f>200+800</f>
        <v>1000</v>
      </c>
      <c r="E183" s="124">
        <v>10000</v>
      </c>
      <c r="F183" s="111">
        <f t="shared" si="2"/>
        <v>100</v>
      </c>
      <c r="G183" s="30"/>
      <c r="H183" s="30"/>
      <c r="I183" s="183"/>
    </row>
    <row r="184" spans="1:9" s="114" customFormat="1" ht="15.6">
      <c r="A184" s="311"/>
      <c r="B184" s="572" t="s">
        <v>1016</v>
      </c>
      <c r="C184" s="303" t="s">
        <v>4</v>
      </c>
      <c r="D184" s="818">
        <v>175</v>
      </c>
      <c r="E184" s="124">
        <v>13500</v>
      </c>
      <c r="F184" s="111">
        <f>D184*E184/10^5</f>
        <v>23.625</v>
      </c>
      <c r="G184" s="30"/>
      <c r="H184" s="30"/>
      <c r="I184" s="183"/>
    </row>
    <row r="185" spans="1:9" s="114" customFormat="1" ht="15.6">
      <c r="A185" s="311"/>
      <c r="B185" s="572" t="s">
        <v>492</v>
      </c>
      <c r="C185" s="303" t="s">
        <v>4</v>
      </c>
      <c r="D185" s="818">
        <v>5</v>
      </c>
      <c r="E185" s="124">
        <v>16000</v>
      </c>
      <c r="F185" s="111">
        <f t="shared" si="2"/>
        <v>0.8</v>
      </c>
      <c r="G185" s="30"/>
      <c r="H185" s="30"/>
      <c r="I185" s="183"/>
    </row>
    <row r="186" spans="1:9" s="114" customFormat="1" ht="15.6">
      <c r="A186" s="311"/>
      <c r="B186" s="572" t="s">
        <v>493</v>
      </c>
      <c r="C186" s="303" t="s">
        <v>4</v>
      </c>
      <c r="D186" s="818">
        <v>150</v>
      </c>
      <c r="E186" s="124">
        <v>16000</v>
      </c>
      <c r="F186" s="111">
        <f t="shared" si="2"/>
        <v>24</v>
      </c>
      <c r="G186" s="30"/>
      <c r="H186" s="30"/>
      <c r="I186" s="183"/>
    </row>
    <row r="187" spans="1:9" s="114" customFormat="1" ht="15.6">
      <c r="A187" s="311"/>
      <c r="B187" s="572" t="s">
        <v>57</v>
      </c>
      <c r="C187" s="303" t="s">
        <v>4</v>
      </c>
      <c r="D187" s="818">
        <v>150</v>
      </c>
      <c r="E187" s="4">
        <v>12000</v>
      </c>
      <c r="F187" s="111">
        <f t="shared" si="2"/>
        <v>18</v>
      </c>
      <c r="G187" s="130"/>
      <c r="H187" s="130"/>
      <c r="I187" s="130"/>
    </row>
    <row r="188" spans="1:9" s="114" customFormat="1" ht="15.6">
      <c r="A188" s="311"/>
      <c r="B188" s="572" t="s">
        <v>56</v>
      </c>
      <c r="C188" s="303" t="s">
        <v>4</v>
      </c>
      <c r="D188" s="818">
        <v>450</v>
      </c>
      <c r="E188" s="4">
        <v>17000</v>
      </c>
      <c r="F188" s="111">
        <f t="shared" si="2"/>
        <v>76.5</v>
      </c>
      <c r="G188" s="130"/>
      <c r="H188" s="130"/>
      <c r="I188" s="130"/>
    </row>
    <row r="189" spans="1:9" s="114" customFormat="1" ht="15.6">
      <c r="A189" s="311"/>
      <c r="B189" s="572" t="s">
        <v>55</v>
      </c>
      <c r="C189" s="303" t="s">
        <v>4</v>
      </c>
      <c r="D189" s="818">
        <f>80+50</f>
        <v>130</v>
      </c>
      <c r="E189" s="4">
        <v>5500</v>
      </c>
      <c r="F189" s="111">
        <f t="shared" si="2"/>
        <v>7.15</v>
      </c>
      <c r="G189" s="130"/>
      <c r="H189" s="130"/>
      <c r="I189" s="130"/>
    </row>
    <row r="190" spans="1:9" s="114" customFormat="1" ht="15.6">
      <c r="A190" s="311"/>
      <c r="B190" s="572" t="s">
        <v>1017</v>
      </c>
      <c r="C190" s="303" t="s">
        <v>4</v>
      </c>
      <c r="D190" s="818">
        <v>30</v>
      </c>
      <c r="E190" s="4">
        <v>85000</v>
      </c>
      <c r="F190" s="111">
        <f t="shared" si="2"/>
        <v>25.5</v>
      </c>
      <c r="G190" s="130"/>
      <c r="H190" s="130"/>
      <c r="I190" s="130"/>
    </row>
    <row r="191" spans="1:9" s="114" customFormat="1" ht="35.25" customHeight="1">
      <c r="A191" s="311"/>
      <c r="B191" s="820" t="s">
        <v>481</v>
      </c>
      <c r="C191" s="821" t="s">
        <v>4</v>
      </c>
      <c r="D191" s="822">
        <f>150*0</f>
        <v>0</v>
      </c>
      <c r="E191" s="823">
        <v>45000</v>
      </c>
      <c r="F191" s="823">
        <f>D191*E191/10^5</f>
        <v>0</v>
      </c>
      <c r="G191" s="824"/>
      <c r="H191" s="824"/>
      <c r="I191" s="1723" t="s">
        <v>1018</v>
      </c>
    </row>
    <row r="192" spans="1:9" s="114" customFormat="1" ht="15.6">
      <c r="A192" s="311"/>
      <c r="B192" s="820" t="s">
        <v>482</v>
      </c>
      <c r="C192" s="821" t="s">
        <v>4</v>
      </c>
      <c r="D192" s="822">
        <f>15*0</f>
        <v>0</v>
      </c>
      <c r="E192" s="823">
        <v>10000</v>
      </c>
      <c r="F192" s="823">
        <f>D192*E192/10^5</f>
        <v>0</v>
      </c>
      <c r="G192" s="824"/>
      <c r="H192" s="824"/>
      <c r="I192" s="1724"/>
    </row>
    <row r="193" spans="1:13" s="114" customFormat="1" ht="15.6">
      <c r="A193" s="311"/>
      <c r="B193" s="820" t="s">
        <v>483</v>
      </c>
      <c r="C193" s="821" t="s">
        <v>4</v>
      </c>
      <c r="D193" s="822">
        <f>165*0</f>
        <v>0</v>
      </c>
      <c r="E193" s="823">
        <v>20000</v>
      </c>
      <c r="F193" s="823">
        <f>D193*E193/10^5</f>
        <v>0</v>
      </c>
      <c r="G193" s="824"/>
      <c r="H193" s="824"/>
      <c r="I193" s="1725"/>
    </row>
    <row r="194" spans="1:13" s="114" customFormat="1" ht="30">
      <c r="A194" s="311"/>
      <c r="B194" s="572" t="s">
        <v>484</v>
      </c>
      <c r="C194" s="303" t="s">
        <v>4</v>
      </c>
      <c r="D194" s="146">
        <v>19</v>
      </c>
      <c r="E194" s="130">
        <v>6000</v>
      </c>
      <c r="F194" s="130">
        <f>D194*E194/10^5</f>
        <v>1.1399999999999999</v>
      </c>
      <c r="G194" s="30"/>
      <c r="H194" s="30"/>
      <c r="I194" s="183"/>
    </row>
    <row r="195" spans="1:13" s="138" customFormat="1" ht="31.2">
      <c r="A195" s="573"/>
      <c r="B195" s="825" t="s">
        <v>485</v>
      </c>
      <c r="C195" s="821" t="s">
        <v>4</v>
      </c>
      <c r="D195" s="822">
        <f>300*0</f>
        <v>0</v>
      </c>
      <c r="E195" s="823">
        <v>20000</v>
      </c>
      <c r="F195" s="823">
        <f>D195*E195/10^5</f>
        <v>0</v>
      </c>
      <c r="G195" s="824"/>
      <c r="H195" s="824"/>
      <c r="I195" s="826" t="s">
        <v>1019</v>
      </c>
    </row>
    <row r="196" spans="1:13" s="114" customFormat="1" ht="120">
      <c r="A196" s="311"/>
      <c r="B196" s="572" t="s">
        <v>494</v>
      </c>
      <c r="C196" s="30" t="s">
        <v>62</v>
      </c>
      <c r="D196" s="146">
        <v>1</v>
      </c>
      <c r="E196" s="130"/>
      <c r="F196" s="130">
        <v>125</v>
      </c>
      <c r="G196" s="30"/>
      <c r="H196" s="30"/>
      <c r="I196" s="183"/>
    </row>
    <row r="197" spans="1:13" ht="15.6">
      <c r="A197" s="25"/>
      <c r="B197" s="283" t="s">
        <v>496</v>
      </c>
      <c r="C197" s="165"/>
      <c r="D197" s="166"/>
      <c r="E197" s="166"/>
      <c r="F197" s="207">
        <f>SUM(F168:F196)</f>
        <v>7808.9849999999997</v>
      </c>
      <c r="G197" s="166"/>
      <c r="H197" s="24"/>
      <c r="I197" s="134"/>
    </row>
    <row r="198" spans="1:13" ht="15.6">
      <c r="A198" s="201"/>
      <c r="B198" s="164"/>
      <c r="C198" s="165"/>
      <c r="D198" s="165"/>
      <c r="E198" s="165"/>
      <c r="F198" s="165"/>
      <c r="G198" s="165"/>
      <c r="H198" s="165"/>
      <c r="I198" s="183"/>
    </row>
    <row r="199" spans="1:13" s="126" customFormat="1" ht="15.6">
      <c r="A199" s="317" t="s">
        <v>12</v>
      </c>
      <c r="B199" s="318" t="s">
        <v>420</v>
      </c>
      <c r="C199" s="319"/>
      <c r="D199" s="6"/>
      <c r="E199" s="291"/>
      <c r="F199" s="290"/>
      <c r="G199" s="290"/>
      <c r="H199" s="290"/>
      <c r="I199" s="290" t="s">
        <v>1053</v>
      </c>
      <c r="J199" s="290"/>
      <c r="K199" s="290"/>
      <c r="L199" s="290"/>
      <c r="M199" s="290"/>
    </row>
    <row r="200" spans="1:13" s="126" customFormat="1" ht="15.6">
      <c r="A200" s="322"/>
      <c r="B200" s="517" t="s">
        <v>421</v>
      </c>
      <c r="C200" s="323" t="s">
        <v>335</v>
      </c>
      <c r="D200" s="650">
        <f>79640-17515+1600</f>
        <v>63725</v>
      </c>
      <c r="E200" s="784" t="e">
        <f>#REF!</f>
        <v>#REF!</v>
      </c>
      <c r="F200" s="130" t="e">
        <f t="shared" ref="F200:F245" si="3">D200*E200/10^5</f>
        <v>#REF!</v>
      </c>
      <c r="G200" s="3"/>
      <c r="H200" s="3"/>
      <c r="I200" s="386"/>
      <c r="J200" s="290"/>
      <c r="L200" s="290"/>
      <c r="M200" s="292"/>
    </row>
    <row r="201" spans="1:13" s="173" customFormat="1" ht="18.75" customHeight="1">
      <c r="A201" s="322"/>
      <c r="B201" s="517" t="s">
        <v>422</v>
      </c>
      <c r="C201" s="323" t="s">
        <v>15</v>
      </c>
      <c r="D201" s="4">
        <v>45000</v>
      </c>
      <c r="E201" s="4" t="e">
        <f>#REF!</f>
        <v>#REF!</v>
      </c>
      <c r="F201" s="130" t="e">
        <f t="shared" si="3"/>
        <v>#REF!</v>
      </c>
      <c r="G201" s="113"/>
      <c r="H201" s="113"/>
      <c r="I201" s="387"/>
      <c r="J201" s="320"/>
      <c r="L201" s="320"/>
      <c r="M201" s="321"/>
    </row>
    <row r="202" spans="1:13" s="126" customFormat="1" ht="15.6">
      <c r="A202" s="322"/>
      <c r="B202" s="517" t="s">
        <v>326</v>
      </c>
      <c r="C202" s="323" t="s">
        <v>335</v>
      </c>
      <c r="D202" s="650">
        <f>5710-616+90</f>
        <v>5184</v>
      </c>
      <c r="E202" s="125" t="e">
        <f>#REF!</f>
        <v>#REF!</v>
      </c>
      <c r="F202" s="130" t="e">
        <f t="shared" si="3"/>
        <v>#REF!</v>
      </c>
      <c r="G202" s="3"/>
      <c r="H202" s="3"/>
      <c r="I202" s="386"/>
      <c r="J202" s="290"/>
      <c r="L202" s="290"/>
      <c r="M202" s="292"/>
    </row>
    <row r="203" spans="1:13" s="126" customFormat="1" ht="15.6">
      <c r="A203" s="322"/>
      <c r="B203" s="517" t="s">
        <v>423</v>
      </c>
      <c r="C203" s="323" t="s">
        <v>335</v>
      </c>
      <c r="D203" s="650">
        <f>1000-97</f>
        <v>903</v>
      </c>
      <c r="E203" s="125" t="e">
        <f>#REF!</f>
        <v>#REF!</v>
      </c>
      <c r="F203" s="130" t="e">
        <f t="shared" si="3"/>
        <v>#REF!</v>
      </c>
      <c r="G203" s="3"/>
      <c r="H203" s="3"/>
      <c r="I203" s="386"/>
      <c r="J203" s="290"/>
      <c r="L203" s="290"/>
      <c r="M203" s="292"/>
    </row>
    <row r="204" spans="1:13" s="173" customFormat="1" ht="80.25" customHeight="1">
      <c r="A204" s="322"/>
      <c r="B204" s="648" t="s">
        <v>424</v>
      </c>
      <c r="C204" s="649" t="s">
        <v>335</v>
      </c>
      <c r="D204" s="646">
        <f>32205-2421+440-1000</f>
        <v>29224</v>
      </c>
      <c r="E204" s="707" t="e">
        <f>#REF!</f>
        <v>#REF!</v>
      </c>
      <c r="F204" s="634" t="e">
        <f t="shared" si="3"/>
        <v>#REF!</v>
      </c>
      <c r="G204" s="642"/>
      <c r="H204" s="642"/>
      <c r="I204" s="827"/>
      <c r="J204" s="828" t="s">
        <v>1020</v>
      </c>
      <c r="L204" s="320"/>
      <c r="M204" s="321"/>
    </row>
    <row r="205" spans="1:13" s="173" customFormat="1" ht="35.25" customHeight="1">
      <c r="A205" s="322"/>
      <c r="B205" s="517" t="s">
        <v>425</v>
      </c>
      <c r="C205" s="323" t="s">
        <v>335</v>
      </c>
      <c r="D205" s="646">
        <f>3470-1700</f>
        <v>1770</v>
      </c>
      <c r="E205" s="127" t="e">
        <f>#REF!</f>
        <v>#REF!</v>
      </c>
      <c r="F205" s="130" t="e">
        <f t="shared" si="3"/>
        <v>#REF!</v>
      </c>
      <c r="G205" s="113"/>
      <c r="H205" s="113"/>
      <c r="I205" s="388"/>
      <c r="J205" s="320"/>
      <c r="L205" s="320"/>
      <c r="M205" s="321"/>
    </row>
    <row r="206" spans="1:13" s="126" customFormat="1" ht="15.6">
      <c r="A206" s="322"/>
      <c r="B206" s="517" t="s">
        <v>426</v>
      </c>
      <c r="C206" s="323" t="s">
        <v>335</v>
      </c>
      <c r="D206" s="6">
        <v>3370</v>
      </c>
      <c r="E206" s="127" t="e">
        <f>#REF!</f>
        <v>#REF!</v>
      </c>
      <c r="F206" s="130" t="e">
        <f t="shared" si="3"/>
        <v>#REF!</v>
      </c>
      <c r="G206" s="3"/>
      <c r="H206" s="3"/>
      <c r="I206" s="386"/>
      <c r="J206" s="290"/>
      <c r="L206" s="290"/>
      <c r="M206" s="292"/>
    </row>
    <row r="207" spans="1:13" s="126" customFormat="1" ht="15.6">
      <c r="A207" s="322"/>
      <c r="B207" s="517" t="s">
        <v>427</v>
      </c>
      <c r="C207" s="323" t="s">
        <v>335</v>
      </c>
      <c r="D207" s="6">
        <v>1110</v>
      </c>
      <c r="E207" s="127" t="e">
        <f>#REF!</f>
        <v>#REF!</v>
      </c>
      <c r="F207" s="130" t="e">
        <f t="shared" si="3"/>
        <v>#REF!</v>
      </c>
      <c r="G207" s="3"/>
      <c r="H207" s="3"/>
      <c r="I207" s="386"/>
      <c r="J207" s="290"/>
      <c r="L207" s="290"/>
      <c r="M207" s="292"/>
    </row>
    <row r="208" spans="1:13" s="173" customFormat="1" ht="30.75" customHeight="1">
      <c r="A208" s="322"/>
      <c r="B208" s="566" t="s">
        <v>680</v>
      </c>
      <c r="C208" s="829" t="s">
        <v>15</v>
      </c>
      <c r="D208" s="4">
        <v>13300</v>
      </c>
      <c r="E208" s="575" t="e">
        <f>#REF!</f>
        <v>#REF!</v>
      </c>
      <c r="F208" s="130" t="e">
        <f t="shared" si="3"/>
        <v>#REF!</v>
      </c>
      <c r="G208" s="113"/>
      <c r="H208" s="113"/>
      <c r="I208" s="470" t="s">
        <v>682</v>
      </c>
      <c r="J208" s="320"/>
      <c r="L208" s="320"/>
      <c r="M208" s="321"/>
    </row>
    <row r="209" spans="1:13" s="173" customFormat="1" ht="33.75" customHeight="1">
      <c r="A209" s="322"/>
      <c r="B209" s="566" t="s">
        <v>681</v>
      </c>
      <c r="C209" s="829" t="s">
        <v>15</v>
      </c>
      <c r="D209" s="4">
        <v>5300</v>
      </c>
      <c r="E209" s="146" t="e">
        <f>#REF!</f>
        <v>#REF!</v>
      </c>
      <c r="F209" s="130" t="e">
        <f>D209*E209/10^5</f>
        <v>#REF!</v>
      </c>
      <c r="G209" s="113"/>
      <c r="H209" s="113"/>
      <c r="I209" s="470" t="s">
        <v>682</v>
      </c>
      <c r="J209" s="320"/>
      <c r="L209" s="320"/>
      <c r="M209" s="321"/>
    </row>
    <row r="210" spans="1:13" s="173" customFormat="1" ht="47.25" customHeight="1">
      <c r="A210" s="322"/>
      <c r="B210" s="517" t="s">
        <v>428</v>
      </c>
      <c r="C210" s="323" t="s">
        <v>335</v>
      </c>
      <c r="D210" s="4">
        <v>3200</v>
      </c>
      <c r="E210" s="127" t="e">
        <f>#REF!</f>
        <v>#REF!</v>
      </c>
      <c r="F210" s="130" t="e">
        <f t="shared" si="3"/>
        <v>#REF!</v>
      </c>
      <c r="G210" s="113"/>
      <c r="H210" s="113"/>
      <c r="I210" s="388" t="s">
        <v>556</v>
      </c>
      <c r="J210" s="320"/>
      <c r="L210" s="320"/>
      <c r="M210" s="321"/>
    </row>
    <row r="211" spans="1:13" s="126" customFormat="1">
      <c r="A211" s="322"/>
      <c r="B211" s="517" t="s">
        <v>307</v>
      </c>
      <c r="C211" s="323" t="s">
        <v>335</v>
      </c>
      <c r="D211" s="6">
        <v>50</v>
      </c>
      <c r="E211" s="125" t="e">
        <f>#REF!</f>
        <v>#REF!</v>
      </c>
      <c r="F211" s="130" t="e">
        <f t="shared" si="3"/>
        <v>#REF!</v>
      </c>
      <c r="G211" s="3"/>
      <c r="H211" s="3"/>
      <c r="I211" s="3"/>
      <c r="J211" s="290"/>
      <c r="L211" s="290"/>
      <c r="M211" s="292"/>
    </row>
    <row r="212" spans="1:13" s="126" customFormat="1" ht="15.6">
      <c r="A212" s="322"/>
      <c r="B212" s="517" t="s">
        <v>78</v>
      </c>
      <c r="C212" s="323" t="s">
        <v>15</v>
      </c>
      <c r="D212" s="650">
        <f>7870-824+56</f>
        <v>7102</v>
      </c>
      <c r="E212" s="784" t="e">
        <f>#REF!</f>
        <v>#REF!</v>
      </c>
      <c r="F212" s="130" t="e">
        <f t="shared" si="3"/>
        <v>#REF!</v>
      </c>
      <c r="G212" s="3"/>
      <c r="H212" s="3"/>
      <c r="I212" s="3"/>
      <c r="J212" s="290"/>
      <c r="K212" s="385"/>
      <c r="L212" s="290"/>
      <c r="M212" s="292"/>
    </row>
    <row r="213" spans="1:13" s="126" customFormat="1" ht="15.6">
      <c r="A213" s="322"/>
      <c r="B213" s="517" t="s">
        <v>308</v>
      </c>
      <c r="C213" s="323" t="s">
        <v>335</v>
      </c>
      <c r="D213" s="6">
        <v>50</v>
      </c>
      <c r="E213" s="784" t="e">
        <f>#REF!</f>
        <v>#REF!</v>
      </c>
      <c r="F213" s="130" t="e">
        <f t="shared" si="3"/>
        <v>#REF!</v>
      </c>
      <c r="G213" s="3"/>
      <c r="H213" s="3"/>
      <c r="I213" s="386" t="s">
        <v>557</v>
      </c>
      <c r="J213" s="290"/>
      <c r="K213" s="385"/>
      <c r="L213" s="290"/>
      <c r="M213" s="292"/>
    </row>
    <row r="214" spans="1:13" s="173" customFormat="1" ht="90">
      <c r="A214" s="322"/>
      <c r="B214" s="648" t="s">
        <v>74</v>
      </c>
      <c r="C214" s="649" t="s">
        <v>429</v>
      </c>
      <c r="D214" s="646">
        <f>4460-277-110</f>
        <v>4073</v>
      </c>
      <c r="E214" s="1073" t="e">
        <f>#REF!</f>
        <v>#REF!</v>
      </c>
      <c r="F214" s="634" t="e">
        <f t="shared" si="3"/>
        <v>#REF!</v>
      </c>
      <c r="G214" s="642"/>
      <c r="H214" s="642"/>
      <c r="I214" s="827" t="s">
        <v>558</v>
      </c>
      <c r="J214" s="828" t="s">
        <v>1021</v>
      </c>
      <c r="K214" s="320"/>
      <c r="L214" s="320"/>
      <c r="M214" s="321"/>
    </row>
    <row r="215" spans="1:13" s="126" customFormat="1">
      <c r="A215" s="322"/>
      <c r="B215" s="517" t="s">
        <v>309</v>
      </c>
      <c r="C215" s="323" t="s">
        <v>58</v>
      </c>
      <c r="D215" s="6">
        <v>500</v>
      </c>
      <c r="E215" s="784" t="e">
        <f>#REF!</f>
        <v>#REF!</v>
      </c>
      <c r="F215" s="130" t="e">
        <f t="shared" si="3"/>
        <v>#REF!</v>
      </c>
      <c r="G215" s="3"/>
      <c r="H215" s="3"/>
      <c r="I215" s="3"/>
      <c r="J215" s="290"/>
      <c r="K215" s="290"/>
      <c r="L215" s="290"/>
      <c r="M215" s="292"/>
    </row>
    <row r="216" spans="1:13" s="126" customFormat="1" ht="15.6">
      <c r="A216" s="322"/>
      <c r="B216" s="517" t="s">
        <v>19</v>
      </c>
      <c r="C216" s="323" t="s">
        <v>429</v>
      </c>
      <c r="D216" s="650">
        <f>72+4</f>
        <v>76</v>
      </c>
      <c r="E216" s="784" t="e">
        <f>#REF!</f>
        <v>#REF!</v>
      </c>
      <c r="F216" s="130" t="e">
        <f t="shared" si="3"/>
        <v>#REF!</v>
      </c>
      <c r="G216" s="3"/>
      <c r="H216" s="3"/>
      <c r="I216" s="3"/>
      <c r="J216" s="290"/>
      <c r="K216" s="385"/>
      <c r="L216" s="290"/>
      <c r="M216" s="292"/>
    </row>
    <row r="217" spans="1:13" s="126" customFormat="1" ht="15.6">
      <c r="A217" s="322"/>
      <c r="B217" s="517" t="s">
        <v>430</v>
      </c>
      <c r="C217" s="323" t="s">
        <v>431</v>
      </c>
      <c r="D217" s="6">
        <v>100</v>
      </c>
      <c r="E217" s="784" t="e">
        <f>#REF!</f>
        <v>#REF!</v>
      </c>
      <c r="F217" s="130" t="e">
        <f t="shared" si="3"/>
        <v>#REF!</v>
      </c>
      <c r="G217" s="3"/>
      <c r="H217" s="3"/>
      <c r="I217" s="386" t="s">
        <v>559</v>
      </c>
      <c r="J217" s="290"/>
      <c r="K217" s="385"/>
      <c r="L217" s="290"/>
      <c r="M217" s="292"/>
    </row>
    <row r="218" spans="1:13" s="126" customFormat="1" ht="15.6">
      <c r="A218" s="322"/>
      <c r="B218" s="517" t="s">
        <v>310</v>
      </c>
      <c r="C218" s="323" t="s">
        <v>15</v>
      </c>
      <c r="D218" s="650">
        <f>18670-538</f>
        <v>18132</v>
      </c>
      <c r="E218" s="784" t="e">
        <f>#REF!</f>
        <v>#REF!</v>
      </c>
      <c r="F218" s="130" t="e">
        <f t="shared" si="3"/>
        <v>#REF!</v>
      </c>
      <c r="G218" s="3"/>
      <c r="H218" s="3"/>
      <c r="I218" s="386" t="s">
        <v>561</v>
      </c>
      <c r="J218" s="290"/>
      <c r="K218" s="290"/>
      <c r="L218" s="290"/>
      <c r="M218" s="292"/>
    </row>
    <row r="219" spans="1:13" s="126" customFormat="1">
      <c r="A219" s="322"/>
      <c r="B219" s="517" t="s">
        <v>432</v>
      </c>
      <c r="C219" s="323" t="s">
        <v>429</v>
      </c>
      <c r="D219" s="650">
        <f>13-13</f>
        <v>0</v>
      </c>
      <c r="E219" s="784" t="e">
        <f>#REF!</f>
        <v>#REF!</v>
      </c>
      <c r="F219" s="130" t="e">
        <f t="shared" si="3"/>
        <v>#REF!</v>
      </c>
      <c r="G219" s="3"/>
      <c r="H219" s="3"/>
      <c r="I219" s="3" t="s">
        <v>501</v>
      </c>
      <c r="J219" s="290"/>
      <c r="K219" s="290"/>
      <c r="L219" s="290"/>
      <c r="M219" s="292"/>
    </row>
    <row r="220" spans="1:13" s="126" customFormat="1" ht="15.6">
      <c r="A220" s="322"/>
      <c r="B220" s="517" t="s">
        <v>433</v>
      </c>
      <c r="C220" s="323" t="s">
        <v>335</v>
      </c>
      <c r="D220" s="650">
        <f>3195+35</f>
        <v>3230</v>
      </c>
      <c r="E220" s="784" t="e">
        <f>#REF!</f>
        <v>#REF!</v>
      </c>
      <c r="F220" s="130" t="e">
        <f t="shared" si="3"/>
        <v>#REF!</v>
      </c>
      <c r="G220" s="3"/>
      <c r="H220" s="3"/>
      <c r="I220" s="386" t="s">
        <v>562</v>
      </c>
      <c r="J220" s="290"/>
      <c r="K220" s="290"/>
      <c r="L220" s="290"/>
      <c r="M220" s="292"/>
    </row>
    <row r="221" spans="1:13" s="126" customFormat="1" ht="15.6">
      <c r="A221" s="322"/>
      <c r="B221" s="517" t="s">
        <v>311</v>
      </c>
      <c r="C221" s="323" t="s">
        <v>15</v>
      </c>
      <c r="D221" s="6">
        <v>9830</v>
      </c>
      <c r="E221" s="784" t="e">
        <f>#REF!</f>
        <v>#REF!</v>
      </c>
      <c r="F221" s="130" t="e">
        <f t="shared" si="3"/>
        <v>#REF!</v>
      </c>
      <c r="G221" s="3"/>
      <c r="H221" s="3"/>
      <c r="I221" s="386" t="s">
        <v>563</v>
      </c>
      <c r="J221" s="290"/>
      <c r="K221" s="385"/>
      <c r="L221" s="290"/>
      <c r="M221" s="292"/>
    </row>
    <row r="222" spans="1:13" s="126" customFormat="1" ht="15.6">
      <c r="A222" s="322"/>
      <c r="B222" s="517" t="s">
        <v>312</v>
      </c>
      <c r="C222" s="323" t="s">
        <v>15</v>
      </c>
      <c r="D222" s="6">
        <v>12480</v>
      </c>
      <c r="E222" s="784" t="e">
        <f>#REF!</f>
        <v>#REF!</v>
      </c>
      <c r="F222" s="130" t="e">
        <f t="shared" si="3"/>
        <v>#REF!</v>
      </c>
      <c r="G222" s="3"/>
      <c r="H222" s="3"/>
      <c r="I222" s="386" t="s">
        <v>564</v>
      </c>
      <c r="J222" s="290"/>
      <c r="K222" s="290"/>
      <c r="L222" s="290"/>
      <c r="M222" s="292"/>
    </row>
    <row r="223" spans="1:13" s="126" customFormat="1" ht="15.6">
      <c r="A223" s="322"/>
      <c r="B223" s="517" t="s">
        <v>434</v>
      </c>
      <c r="C223" s="323" t="s">
        <v>15</v>
      </c>
      <c r="D223" s="6">
        <v>18180</v>
      </c>
      <c r="E223" s="784" t="e">
        <f>#REF!</f>
        <v>#REF!</v>
      </c>
      <c r="F223" s="130" t="e">
        <f t="shared" si="3"/>
        <v>#REF!</v>
      </c>
      <c r="G223" s="3"/>
      <c r="H223" s="3"/>
      <c r="I223" s="386" t="s">
        <v>565</v>
      </c>
      <c r="J223" s="290"/>
      <c r="L223" s="290"/>
      <c r="M223" s="292"/>
    </row>
    <row r="224" spans="1:13" s="126" customFormat="1" ht="15.6">
      <c r="A224" s="322"/>
      <c r="B224" s="517" t="s">
        <v>435</v>
      </c>
      <c r="C224" s="323" t="s">
        <v>15</v>
      </c>
      <c r="D224" s="6">
        <v>9830</v>
      </c>
      <c r="E224" s="784" t="e">
        <f>#REF!</f>
        <v>#REF!</v>
      </c>
      <c r="F224" s="130" t="e">
        <f t="shared" si="3"/>
        <v>#REF!</v>
      </c>
      <c r="G224" s="3"/>
      <c r="H224" s="3"/>
      <c r="I224" s="386" t="s">
        <v>566</v>
      </c>
      <c r="J224" s="290"/>
      <c r="L224" s="290"/>
      <c r="M224" s="292"/>
    </row>
    <row r="225" spans="1:13" s="126" customFormat="1" ht="15.6">
      <c r="A225" s="322"/>
      <c r="B225" s="517" t="s">
        <v>320</v>
      </c>
      <c r="C225" s="323" t="s">
        <v>15</v>
      </c>
      <c r="D225" s="6">
        <v>30650</v>
      </c>
      <c r="E225" s="784" t="e">
        <f>#REF!</f>
        <v>#REF!</v>
      </c>
      <c r="F225" s="130" t="e">
        <f t="shared" si="3"/>
        <v>#REF!</v>
      </c>
      <c r="G225" s="3"/>
      <c r="H225" s="3"/>
      <c r="I225" s="386" t="s">
        <v>567</v>
      </c>
      <c r="J225" s="290"/>
      <c r="L225" s="290"/>
      <c r="M225" s="292"/>
    </row>
    <row r="226" spans="1:13" s="126" customFormat="1" ht="15.6">
      <c r="A226" s="322"/>
      <c r="B226" s="517" t="s">
        <v>304</v>
      </c>
      <c r="C226" s="323" t="s">
        <v>335</v>
      </c>
      <c r="D226" s="650">
        <f>1730-135+175</f>
        <v>1770</v>
      </c>
      <c r="E226" s="784" t="e">
        <f>#REF!</f>
        <v>#REF!</v>
      </c>
      <c r="F226" s="130" t="e">
        <f t="shared" si="3"/>
        <v>#REF!</v>
      </c>
      <c r="G226" s="3"/>
      <c r="H226" s="3"/>
      <c r="I226" s="386" t="s">
        <v>568</v>
      </c>
      <c r="J226" s="290"/>
      <c r="L226" s="290"/>
      <c r="M226" s="292"/>
    </row>
    <row r="227" spans="1:13" s="126" customFormat="1" ht="15.6">
      <c r="A227" s="322"/>
      <c r="B227" s="517" t="s">
        <v>313</v>
      </c>
      <c r="C227" s="323" t="s">
        <v>15</v>
      </c>
      <c r="D227" s="6">
        <v>4830</v>
      </c>
      <c r="E227" s="784" t="e">
        <f>#REF!</f>
        <v>#REF!</v>
      </c>
      <c r="F227" s="130" t="e">
        <f t="shared" si="3"/>
        <v>#REF!</v>
      </c>
      <c r="G227" s="3"/>
      <c r="H227" s="3"/>
      <c r="I227" s="386" t="s">
        <v>569</v>
      </c>
      <c r="J227" s="290"/>
      <c r="L227" s="290"/>
      <c r="M227" s="292"/>
    </row>
    <row r="228" spans="1:13" s="126" customFormat="1">
      <c r="A228" s="322"/>
      <c r="B228" s="517" t="s">
        <v>314</v>
      </c>
      <c r="C228" s="323" t="s">
        <v>431</v>
      </c>
      <c r="D228" s="6">
        <v>260</v>
      </c>
      <c r="E228" s="784" t="e">
        <f>#REF!</f>
        <v>#REF!</v>
      </c>
      <c r="F228" s="130" t="e">
        <f t="shared" si="3"/>
        <v>#REF!</v>
      </c>
      <c r="G228" s="3"/>
      <c r="H228" s="3"/>
      <c r="I228" s="3"/>
      <c r="J228" s="290"/>
      <c r="L228" s="290"/>
      <c r="M228" s="292"/>
    </row>
    <row r="229" spans="1:13" s="126" customFormat="1">
      <c r="A229" s="322"/>
      <c r="B229" s="517" t="s">
        <v>315</v>
      </c>
      <c r="C229" s="323" t="s">
        <v>15</v>
      </c>
      <c r="D229" s="6">
        <v>140</v>
      </c>
      <c r="E229" s="784" t="e">
        <f>#REF!</f>
        <v>#REF!</v>
      </c>
      <c r="F229" s="130" t="e">
        <f t="shared" si="3"/>
        <v>#REF!</v>
      </c>
      <c r="G229" s="3"/>
      <c r="H229" s="3"/>
      <c r="I229" s="3"/>
      <c r="J229" s="290"/>
      <c r="L229" s="290"/>
      <c r="M229" s="292"/>
    </row>
    <row r="230" spans="1:13" s="126" customFormat="1" ht="15.6">
      <c r="A230" s="322"/>
      <c r="B230" s="517" t="s">
        <v>316</v>
      </c>
      <c r="C230" s="323" t="s">
        <v>15</v>
      </c>
      <c r="D230" s="6">
        <v>360</v>
      </c>
      <c r="E230" s="784" t="e">
        <f>#REF!</f>
        <v>#REF!</v>
      </c>
      <c r="F230" s="130" t="e">
        <f t="shared" si="3"/>
        <v>#REF!</v>
      </c>
      <c r="G230" s="3"/>
      <c r="H230" s="3"/>
      <c r="I230" s="3"/>
      <c r="J230" s="290"/>
      <c r="K230" s="385"/>
      <c r="L230" s="290"/>
      <c r="M230" s="292"/>
    </row>
    <row r="231" spans="1:13" s="126" customFormat="1" ht="15.6">
      <c r="A231" s="322"/>
      <c r="B231" s="517" t="s">
        <v>317</v>
      </c>
      <c r="C231" s="323" t="s">
        <v>15</v>
      </c>
      <c r="D231" s="6">
        <v>150</v>
      </c>
      <c r="E231" s="784" t="e">
        <f>#REF!</f>
        <v>#REF!</v>
      </c>
      <c r="F231" s="130" t="e">
        <f t="shared" si="3"/>
        <v>#REF!</v>
      </c>
      <c r="G231" s="3"/>
      <c r="H231" s="3"/>
      <c r="I231" s="386" t="s">
        <v>570</v>
      </c>
      <c r="J231" s="290"/>
      <c r="K231" s="385"/>
      <c r="L231" s="290"/>
      <c r="M231" s="292"/>
    </row>
    <row r="232" spans="1:13" s="126" customFormat="1" ht="15.6">
      <c r="A232" s="322"/>
      <c r="B232" s="517" t="s">
        <v>77</v>
      </c>
      <c r="C232" s="323" t="s">
        <v>15</v>
      </c>
      <c r="D232" s="6">
        <v>600</v>
      </c>
      <c r="E232" s="784" t="e">
        <f>#REF!</f>
        <v>#REF!</v>
      </c>
      <c r="F232" s="130" t="e">
        <f t="shared" si="3"/>
        <v>#REF!</v>
      </c>
      <c r="G232" s="3"/>
      <c r="H232" s="3"/>
      <c r="I232" s="386" t="s">
        <v>571</v>
      </c>
      <c r="J232" s="290"/>
      <c r="K232" s="385"/>
      <c r="L232" s="290"/>
      <c r="M232" s="292"/>
    </row>
    <row r="233" spans="1:13" s="126" customFormat="1">
      <c r="A233" s="322"/>
      <c r="B233" s="517" t="s">
        <v>441</v>
      </c>
      <c r="C233" s="323" t="s">
        <v>15</v>
      </c>
      <c r="D233" s="650">
        <f>90-90</f>
        <v>0</v>
      </c>
      <c r="E233" s="784" t="e">
        <f>#REF!</f>
        <v>#REF!</v>
      </c>
      <c r="F233" s="130" t="e">
        <f>D233*E233/10^5</f>
        <v>#REF!</v>
      </c>
      <c r="G233" s="3"/>
      <c r="H233" s="3"/>
      <c r="I233" s="3"/>
      <c r="J233" s="290"/>
      <c r="L233" s="290"/>
      <c r="M233" s="292"/>
    </row>
    <row r="234" spans="1:13" s="126" customFormat="1" ht="15.6">
      <c r="A234" s="324"/>
      <c r="B234" s="517" t="s">
        <v>442</v>
      </c>
      <c r="C234" s="323" t="s">
        <v>58</v>
      </c>
      <c r="D234" s="6">
        <v>36360</v>
      </c>
      <c r="E234" s="784" t="e">
        <f>#REF!</f>
        <v>#REF!</v>
      </c>
      <c r="F234" s="130" t="e">
        <f>D234*E234/10^5</f>
        <v>#REF!</v>
      </c>
      <c r="G234" s="3"/>
      <c r="H234" s="3"/>
      <c r="I234" s="386" t="s">
        <v>576</v>
      </c>
      <c r="J234" s="290"/>
      <c r="L234" s="290"/>
      <c r="M234" s="290"/>
    </row>
    <row r="235" spans="1:13" s="126" customFormat="1">
      <c r="A235" s="7"/>
      <c r="B235" s="515" t="s">
        <v>443</v>
      </c>
      <c r="C235" s="7" t="s">
        <v>15</v>
      </c>
      <c r="D235" s="6">
        <v>490</v>
      </c>
      <c r="E235" s="784" t="e">
        <f>#REF!</f>
        <v>#REF!</v>
      </c>
      <c r="F235" s="130" t="e">
        <f>D235*E235/10^5</f>
        <v>#REF!</v>
      </c>
      <c r="G235" s="6"/>
      <c r="H235" s="3"/>
      <c r="I235" s="4"/>
      <c r="J235" s="293"/>
      <c r="L235" s="290"/>
      <c r="M235" s="290"/>
    </row>
    <row r="236" spans="1:13" s="126" customFormat="1" ht="15.6">
      <c r="A236" s="1"/>
      <c r="B236" s="574" t="s">
        <v>318</v>
      </c>
      <c r="C236" s="7" t="s">
        <v>15</v>
      </c>
      <c r="D236" s="6">
        <v>170</v>
      </c>
      <c r="E236" s="784" t="e">
        <f>#REF!</f>
        <v>#REF!</v>
      </c>
      <c r="F236" s="130" t="e">
        <f>D236*E236/10^5</f>
        <v>#REF!</v>
      </c>
      <c r="G236" s="3"/>
      <c r="H236" s="3"/>
      <c r="I236" s="386" t="s">
        <v>577</v>
      </c>
      <c r="J236" s="290"/>
      <c r="L236" s="290"/>
      <c r="M236" s="290"/>
    </row>
    <row r="237" spans="1:13" s="126" customFormat="1" ht="15.6">
      <c r="A237" s="7"/>
      <c r="B237" s="515" t="s">
        <v>319</v>
      </c>
      <c r="C237" s="7" t="s">
        <v>15</v>
      </c>
      <c r="D237" s="6">
        <v>4970</v>
      </c>
      <c r="E237" s="785" t="e">
        <f>#REF!</f>
        <v>#REF!</v>
      </c>
      <c r="F237" s="130" t="e">
        <f>D237*E237/10^5</f>
        <v>#REF!</v>
      </c>
      <c r="G237" s="6"/>
      <c r="H237" s="3"/>
      <c r="I237" s="386" t="s">
        <v>578</v>
      </c>
      <c r="J237" s="294"/>
      <c r="L237" s="290"/>
      <c r="M237" s="290"/>
    </row>
    <row r="238" spans="1:13" s="126" customFormat="1" ht="15.6">
      <c r="A238" s="322"/>
      <c r="B238" s="517" t="s">
        <v>436</v>
      </c>
      <c r="C238" s="323" t="s">
        <v>335</v>
      </c>
      <c r="D238" s="6">
        <v>370</v>
      </c>
      <c r="E238" s="784" t="e">
        <f>#REF!</f>
        <v>#REF!</v>
      </c>
      <c r="F238" s="130" t="e">
        <f t="shared" si="3"/>
        <v>#REF!</v>
      </c>
      <c r="G238" s="3"/>
      <c r="H238" s="3"/>
      <c r="I238" s="386" t="s">
        <v>572</v>
      </c>
      <c r="J238" s="290"/>
      <c r="K238" s="290"/>
      <c r="L238" s="290"/>
      <c r="M238" s="292"/>
    </row>
    <row r="239" spans="1:13" s="126" customFormat="1" ht="15.6">
      <c r="A239" s="322"/>
      <c r="B239" s="517" t="s">
        <v>437</v>
      </c>
      <c r="C239" s="323" t="s">
        <v>335</v>
      </c>
      <c r="D239" s="6">
        <v>370</v>
      </c>
      <c r="E239" s="784" t="e">
        <f>#REF!</f>
        <v>#REF!</v>
      </c>
      <c r="F239" s="130" t="e">
        <f t="shared" si="3"/>
        <v>#REF!</v>
      </c>
      <c r="G239" s="3"/>
      <c r="H239" s="3"/>
      <c r="I239" s="386" t="s">
        <v>573</v>
      </c>
      <c r="J239" s="290"/>
      <c r="K239" s="385"/>
      <c r="L239" s="290"/>
      <c r="M239" s="292"/>
    </row>
    <row r="240" spans="1:13" s="126" customFormat="1" ht="15.6">
      <c r="A240" s="322"/>
      <c r="B240" s="517" t="s">
        <v>438</v>
      </c>
      <c r="C240" s="323" t="s">
        <v>335</v>
      </c>
      <c r="D240" s="6">
        <v>490</v>
      </c>
      <c r="E240" s="784" t="e">
        <f>#REF!</f>
        <v>#REF!</v>
      </c>
      <c r="F240" s="130" t="e">
        <f t="shared" si="3"/>
        <v>#REF!</v>
      </c>
      <c r="G240" s="3"/>
      <c r="H240" s="3"/>
      <c r="I240" s="386" t="s">
        <v>574</v>
      </c>
      <c r="J240" s="290"/>
      <c r="K240" s="385"/>
      <c r="L240" s="290"/>
      <c r="M240" s="292"/>
    </row>
    <row r="241" spans="1:13" s="126" customFormat="1" ht="15.6">
      <c r="A241" s="322"/>
      <c r="B241" s="517" t="s">
        <v>439</v>
      </c>
      <c r="C241" s="323" t="s">
        <v>15</v>
      </c>
      <c r="D241" s="6">
        <v>4830</v>
      </c>
      <c r="E241" s="784" t="e">
        <f>#REF!</f>
        <v>#REF!</v>
      </c>
      <c r="F241" s="130" t="e">
        <f t="shared" si="3"/>
        <v>#REF!</v>
      </c>
      <c r="G241" s="3"/>
      <c r="H241" s="3"/>
      <c r="I241" s="386" t="s">
        <v>575</v>
      </c>
      <c r="J241" s="290"/>
      <c r="K241" s="385"/>
      <c r="L241" s="290"/>
      <c r="M241" s="292"/>
    </row>
    <row r="242" spans="1:13" s="173" customFormat="1" ht="48" customHeight="1">
      <c r="A242" s="322"/>
      <c r="B242" s="517" t="s">
        <v>440</v>
      </c>
      <c r="C242" s="323" t="s">
        <v>58</v>
      </c>
      <c r="D242" s="4">
        <v>300</v>
      </c>
      <c r="E242" s="4" t="e">
        <f>#REF!</f>
        <v>#REF!</v>
      </c>
      <c r="F242" s="130" t="e">
        <f t="shared" si="3"/>
        <v>#REF!</v>
      </c>
      <c r="G242" s="113"/>
      <c r="H242" s="113"/>
      <c r="I242" s="113"/>
      <c r="J242" s="320"/>
      <c r="K242" s="385"/>
      <c r="L242" s="320"/>
      <c r="M242" s="321"/>
    </row>
    <row r="243" spans="1:13" s="173" customFormat="1" ht="18" customHeight="1">
      <c r="A243" s="322"/>
      <c r="B243" s="517" t="s">
        <v>503</v>
      </c>
      <c r="C243" s="323" t="s">
        <v>16</v>
      </c>
      <c r="D243" s="4">
        <v>10</v>
      </c>
      <c r="E243" s="4" t="e">
        <f>#REF!</f>
        <v>#REF!</v>
      </c>
      <c r="F243" s="130" t="e">
        <f t="shared" si="3"/>
        <v>#REF!</v>
      </c>
      <c r="G243" s="113"/>
      <c r="H243" s="113"/>
      <c r="I243" s="113"/>
      <c r="J243" s="320"/>
      <c r="K243" s="320"/>
      <c r="L243" s="320"/>
      <c r="M243" s="321"/>
    </row>
    <row r="244" spans="1:13" s="173" customFormat="1" ht="32.25" customHeight="1">
      <c r="A244" s="322"/>
      <c r="B244" s="531" t="s">
        <v>744</v>
      </c>
      <c r="C244" s="719" t="s">
        <v>18</v>
      </c>
      <c r="D244" s="149">
        <v>1</v>
      </c>
      <c r="E244" s="166">
        <f>25*10^5</f>
        <v>2500000</v>
      </c>
      <c r="F244" s="298">
        <f t="shared" si="3"/>
        <v>25</v>
      </c>
      <c r="G244" s="113"/>
      <c r="H244" s="113"/>
      <c r="I244" s="597" t="s">
        <v>986</v>
      </c>
      <c r="J244" s="320"/>
      <c r="K244" s="320"/>
      <c r="L244" s="320"/>
      <c r="M244" s="321"/>
    </row>
    <row r="245" spans="1:13" s="173" customFormat="1" ht="27" customHeight="1">
      <c r="A245" s="322"/>
      <c r="B245" s="531" t="s">
        <v>1022</v>
      </c>
      <c r="C245" s="719" t="s">
        <v>15</v>
      </c>
      <c r="D245" s="830">
        <f>700</f>
        <v>700</v>
      </c>
      <c r="E245" s="166">
        <v>560</v>
      </c>
      <c r="F245" s="298">
        <f t="shared" si="3"/>
        <v>3.92</v>
      </c>
      <c r="G245" s="113"/>
      <c r="H245" s="113"/>
      <c r="I245" s="113" t="s">
        <v>1023</v>
      </c>
      <c r="J245" s="320"/>
      <c r="K245" s="320"/>
      <c r="L245" s="320"/>
      <c r="M245" s="321"/>
    </row>
    <row r="246" spans="1:13" ht="15.6">
      <c r="A246" s="201"/>
      <c r="B246" s="283" t="s">
        <v>1024</v>
      </c>
      <c r="C246" s="165"/>
      <c r="D246" s="179"/>
      <c r="E246" s="165"/>
      <c r="F246" s="313" t="e">
        <f>SUM(F200:F245)</f>
        <v>#REF!</v>
      </c>
      <c r="G246" s="165"/>
      <c r="H246" s="165"/>
      <c r="I246" s="183"/>
      <c r="K246" s="385"/>
    </row>
    <row r="247" spans="1:13" ht="15.6">
      <c r="A247" s="201"/>
      <c r="B247" s="164"/>
      <c r="C247" s="165"/>
      <c r="D247" s="179"/>
      <c r="E247" s="165"/>
      <c r="F247" s="165"/>
      <c r="G247" s="165"/>
      <c r="H247" s="165"/>
      <c r="I247" s="183"/>
    </row>
    <row r="248" spans="1:13" ht="15.6">
      <c r="A248" s="201"/>
      <c r="B248" s="576" t="s">
        <v>330</v>
      </c>
      <c r="C248" s="165" t="s">
        <v>4</v>
      </c>
      <c r="D248" s="179">
        <f>SUM(D168:D195)</f>
        <v>26504</v>
      </c>
      <c r="E248" s="130">
        <v>6000</v>
      </c>
      <c r="F248" s="313">
        <f>D248*E248/10^5</f>
        <v>1590.24</v>
      </c>
      <c r="G248" s="165"/>
      <c r="H248" s="165"/>
      <c r="I248" s="183"/>
      <c r="K248" s="17" t="s">
        <v>0</v>
      </c>
    </row>
    <row r="249" spans="1:13" s="114" customFormat="1" ht="15.6">
      <c r="A249" s="311"/>
      <c r="B249" s="139"/>
      <c r="C249" s="30"/>
      <c r="D249" s="326"/>
      <c r="E249" s="130"/>
      <c r="F249" s="327"/>
      <c r="G249" s="30"/>
      <c r="H249" s="30"/>
      <c r="I249" s="183"/>
    </row>
    <row r="250" spans="1:13" ht="15.6">
      <c r="A250" s="201"/>
      <c r="B250" s="164" t="s">
        <v>460</v>
      </c>
      <c r="C250" s="165"/>
      <c r="D250" s="179"/>
      <c r="E250" s="165"/>
      <c r="F250" s="165"/>
      <c r="G250" s="165"/>
      <c r="H250" s="165"/>
      <c r="I250" s="183"/>
    </row>
    <row r="251" spans="1:13" ht="30">
      <c r="A251" s="201"/>
      <c r="B251" s="566" t="s">
        <v>1025</v>
      </c>
      <c r="C251" s="165" t="s">
        <v>4</v>
      </c>
      <c r="D251" s="179">
        <v>8</v>
      </c>
      <c r="E251" s="134">
        <v>40000</v>
      </c>
      <c r="F251" s="312">
        <f>D251*E251/10^5</f>
        <v>3.2</v>
      </c>
      <c r="G251" s="165"/>
      <c r="H251" s="165"/>
      <c r="I251" s="183"/>
    </row>
    <row r="252" spans="1:13" ht="10.5" customHeight="1">
      <c r="A252" s="201"/>
      <c r="B252" s="164"/>
      <c r="C252" s="165"/>
      <c r="D252" s="179"/>
      <c r="E252" s="30"/>
      <c r="F252" s="30"/>
      <c r="G252" s="165"/>
      <c r="H252" s="165"/>
      <c r="I252" s="183"/>
    </row>
    <row r="253" spans="1:13" ht="15.6">
      <c r="A253" s="201"/>
      <c r="B253" s="164" t="s">
        <v>123</v>
      </c>
      <c r="C253" s="165"/>
      <c r="D253" s="179"/>
      <c r="E253" s="165"/>
      <c r="F253" s="165"/>
      <c r="G253" s="165"/>
      <c r="H253" s="165"/>
      <c r="I253" s="183"/>
    </row>
    <row r="254" spans="1:13" ht="45">
      <c r="A254" s="201"/>
      <c r="B254" s="566" t="s">
        <v>459</v>
      </c>
      <c r="C254" s="165" t="s">
        <v>4</v>
      </c>
      <c r="D254" s="831">
        <v>8</v>
      </c>
      <c r="E254" s="148">
        <v>20000</v>
      </c>
      <c r="F254" s="298">
        <f>D254*E254/10^5</f>
        <v>1.6</v>
      </c>
      <c r="G254" s="165"/>
      <c r="H254" s="165"/>
      <c r="I254" s="183"/>
    </row>
    <row r="255" spans="1:13" s="173" customFormat="1" ht="30">
      <c r="A255" s="4"/>
      <c r="B255" s="542" t="s">
        <v>418</v>
      </c>
      <c r="C255" s="5" t="s">
        <v>4</v>
      </c>
      <c r="D255" s="642">
        <f>950+160</f>
        <v>1110</v>
      </c>
      <c r="E255" s="146">
        <v>10000</v>
      </c>
      <c r="F255" s="308">
        <f>D255*E255/10^5</f>
        <v>111</v>
      </c>
      <c r="G255" s="4"/>
      <c r="H255" s="113"/>
      <c r="I255" s="4"/>
      <c r="J255" s="314"/>
      <c r="K255" s="174"/>
      <c r="L255" s="113"/>
    </row>
    <row r="256" spans="1:13" s="173" customFormat="1" ht="30">
      <c r="A256" s="4"/>
      <c r="B256" s="542" t="s">
        <v>419</v>
      </c>
      <c r="C256" s="5" t="s">
        <v>15</v>
      </c>
      <c r="D256" s="642">
        <f>8000+1600</f>
        <v>9600</v>
      </c>
      <c r="E256" s="146">
        <v>200</v>
      </c>
      <c r="F256" s="308">
        <f>D256*E256/10^5</f>
        <v>19.2</v>
      </c>
      <c r="G256" s="4"/>
      <c r="H256" s="113"/>
      <c r="I256" s="4"/>
      <c r="J256" s="314"/>
      <c r="K256" s="174"/>
      <c r="L256" s="113"/>
    </row>
    <row r="257" spans="1:17" ht="15.6">
      <c r="A257" s="201"/>
      <c r="B257" s="283" t="s">
        <v>504</v>
      </c>
      <c r="C257" s="165"/>
      <c r="D257" s="179"/>
      <c r="E257" s="165"/>
      <c r="F257" s="313">
        <f>SUM(F254:F256)</f>
        <v>131.79999999999998</v>
      </c>
      <c r="G257" s="165"/>
      <c r="H257" s="165"/>
      <c r="I257" s="183"/>
    </row>
    <row r="258" spans="1:17" ht="8.25" customHeight="1">
      <c r="A258" s="201"/>
      <c r="B258" s="164"/>
      <c r="C258" s="165"/>
      <c r="D258" s="179"/>
      <c r="E258" s="165"/>
      <c r="F258" s="165"/>
      <c r="G258" s="165"/>
      <c r="H258" s="165"/>
      <c r="I258" s="183"/>
    </row>
    <row r="259" spans="1:17" s="114" customFormat="1" ht="15.6">
      <c r="A259" s="311"/>
      <c r="B259" s="579" t="s">
        <v>698</v>
      </c>
      <c r="C259" s="165" t="s">
        <v>495</v>
      </c>
      <c r="D259" s="3">
        <f>95*25</f>
        <v>2375</v>
      </c>
      <c r="E259" s="30"/>
      <c r="F259" s="30"/>
      <c r="G259" s="325" t="e">
        <f>1400*$F$2</f>
        <v>#REF!</v>
      </c>
      <c r="H259" s="313" t="e">
        <f>D259*G259/10^5</f>
        <v>#REF!</v>
      </c>
      <c r="I259" s="183"/>
    </row>
    <row r="260" spans="1:17" s="114" customFormat="1" ht="15.6">
      <c r="A260" s="311"/>
      <c r="B260" s="579" t="s">
        <v>697</v>
      </c>
      <c r="C260" s="165" t="s">
        <v>495</v>
      </c>
      <c r="D260" s="3">
        <v>120</v>
      </c>
      <c r="E260" s="30"/>
      <c r="F260" s="30"/>
      <c r="G260" s="325" t="e">
        <f>700*$F$2</f>
        <v>#REF!</v>
      </c>
      <c r="H260" s="313" t="e">
        <f>D260*G260/10^5</f>
        <v>#REF!</v>
      </c>
      <c r="I260" s="183"/>
    </row>
    <row r="261" spans="1:17" ht="15.6">
      <c r="A261" s="201"/>
      <c r="B261" s="576" t="s">
        <v>1026</v>
      </c>
      <c r="C261" s="165" t="s">
        <v>495</v>
      </c>
      <c r="D261" s="110">
        <v>3378</v>
      </c>
      <c r="E261" s="148">
        <f>5000*0</f>
        <v>0</v>
      </c>
      <c r="F261" s="313">
        <f>D261*E261/10^5</f>
        <v>0</v>
      </c>
      <c r="G261" s="111" t="e">
        <f>165*$F$2</f>
        <v>#REF!</v>
      </c>
      <c r="H261" s="313" t="e">
        <f>D261*G261/10^5</f>
        <v>#REF!</v>
      </c>
      <c r="I261" s="832"/>
      <c r="J261" s="19" t="e">
        <f>26485*7*F2/10^5</f>
        <v>#REF!</v>
      </c>
    </row>
    <row r="262" spans="1:17" ht="10.5" customHeight="1"/>
    <row r="263" spans="1:17" ht="15.6">
      <c r="A263" s="315">
        <v>3</v>
      </c>
      <c r="B263" s="202" t="s">
        <v>510</v>
      </c>
      <c r="C263" s="203"/>
      <c r="D263" s="204"/>
      <c r="E263" s="205"/>
      <c r="F263" s="205"/>
      <c r="G263" s="205"/>
      <c r="H263" s="205"/>
      <c r="I263" s="206"/>
    </row>
    <row r="264" spans="1:17" ht="52.5" customHeight="1">
      <c r="B264" s="19" t="s">
        <v>511</v>
      </c>
      <c r="K264" s="175" t="s">
        <v>713</v>
      </c>
      <c r="L264" s="503" t="s">
        <v>706</v>
      </c>
      <c r="M264" s="175" t="s">
        <v>699</v>
      </c>
      <c r="N264" s="503" t="s">
        <v>706</v>
      </c>
      <c r="O264" s="37"/>
      <c r="P264" s="1726" t="s">
        <v>1027</v>
      </c>
      <c r="Q264" s="1726"/>
    </row>
    <row r="265" spans="1:17" ht="199.5" customHeight="1">
      <c r="B265" s="580" t="s">
        <v>765</v>
      </c>
      <c r="C265" s="165" t="s">
        <v>62</v>
      </c>
      <c r="D265" s="166">
        <v>1</v>
      </c>
      <c r="E265" s="166"/>
      <c r="F265" s="24"/>
      <c r="G265" s="166"/>
      <c r="H265" s="833" t="e">
        <f>42*10^6*$F$2/1.05/1.06/1.15/10^5*0.8</f>
        <v>#REF!</v>
      </c>
      <c r="I265" s="171" t="s">
        <v>985</v>
      </c>
      <c r="K265" s="175" t="s">
        <v>711</v>
      </c>
      <c r="L265" s="24" t="e">
        <f>42*10^6*$F$2/1.05/1.06/1.1/10^5/1.1</f>
        <v>#REF!</v>
      </c>
      <c r="M265" s="24" t="s">
        <v>700</v>
      </c>
      <c r="N265" s="24">
        <f>30000/1.05/1.06/1.1/1.1</f>
        <v>22276.180080639766</v>
      </c>
      <c r="O265" s="137"/>
      <c r="P265" s="24">
        <f>2967.68+26827.89</f>
        <v>29795.57</v>
      </c>
      <c r="Q265" s="24" t="e">
        <f>(2967.68*F2/60.5+26827.89)*(3/4)+N267+N269+N270</f>
        <v>#REF!</v>
      </c>
    </row>
    <row r="266" spans="1:17" ht="80.25" customHeight="1">
      <c r="B266" s="580" t="s">
        <v>512</v>
      </c>
      <c r="C266" s="165" t="s">
        <v>62</v>
      </c>
      <c r="D266" s="166">
        <v>1</v>
      </c>
      <c r="E266" s="166"/>
      <c r="F266" s="24"/>
      <c r="G266" s="166"/>
      <c r="H266" s="24">
        <v>-250</v>
      </c>
      <c r="I266" s="134"/>
      <c r="K266" s="504" t="s">
        <v>712</v>
      </c>
      <c r="L266" s="24">
        <f>H266</f>
        <v>-250</v>
      </c>
      <c r="M266" s="24" t="s">
        <v>705</v>
      </c>
      <c r="N266" s="25"/>
      <c r="O266" s="38"/>
    </row>
    <row r="267" spans="1:17" ht="33.75" customHeight="1">
      <c r="B267" s="513" t="s">
        <v>515</v>
      </c>
      <c r="C267" s="165"/>
      <c r="D267" s="166"/>
      <c r="E267" s="166"/>
      <c r="F267" s="24"/>
      <c r="G267" s="166"/>
      <c r="H267" s="24"/>
      <c r="I267" s="134"/>
      <c r="K267" s="25"/>
      <c r="L267" s="25"/>
      <c r="M267" s="175" t="s">
        <v>701</v>
      </c>
      <c r="N267" s="24">
        <f>1140/1.05/1.02</f>
        <v>1064.4257703081232</v>
      </c>
      <c r="O267" s="137"/>
    </row>
    <row r="268" spans="1:17" s="19" customFormat="1" ht="26.25" customHeight="1">
      <c r="B268" s="513" t="s">
        <v>453</v>
      </c>
      <c r="C268" s="165" t="s">
        <v>4</v>
      </c>
      <c r="D268" s="166">
        <f>15+2.5+32+15+40+22+10+10+15+5</f>
        <v>166.5</v>
      </c>
      <c r="E268" s="166">
        <v>95000</v>
      </c>
      <c r="F268" s="24">
        <f>D268*E268/10^5</f>
        <v>158.17500000000001</v>
      </c>
      <c r="G268" s="166"/>
      <c r="H268" s="24"/>
      <c r="I268" s="134"/>
      <c r="K268" s="24"/>
      <c r="L268" s="24"/>
      <c r="M268" s="24" t="s">
        <v>702</v>
      </c>
      <c r="N268" s="24">
        <f>40</f>
        <v>40</v>
      </c>
      <c r="O268" s="137"/>
    </row>
    <row r="269" spans="1:17" ht="30.75" customHeight="1">
      <c r="B269" s="513" t="s">
        <v>516</v>
      </c>
      <c r="C269" s="165" t="s">
        <v>329</v>
      </c>
      <c r="D269" s="166">
        <v>1</v>
      </c>
      <c r="E269" s="166"/>
      <c r="F269" s="24">
        <f>13+8+20+25+7+7+5+5</f>
        <v>90</v>
      </c>
      <c r="G269" s="166"/>
      <c r="H269" s="24"/>
      <c r="I269" s="134"/>
      <c r="K269" s="25"/>
      <c r="L269" s="25"/>
      <c r="M269" s="175" t="s">
        <v>703</v>
      </c>
      <c r="N269" s="24">
        <f>F295+F296</f>
        <v>206</v>
      </c>
      <c r="O269" s="137"/>
    </row>
    <row r="270" spans="1:17" ht="31.5" customHeight="1">
      <c r="B270" s="513" t="s">
        <v>61</v>
      </c>
      <c r="C270" s="165" t="s">
        <v>329</v>
      </c>
      <c r="D270" s="166">
        <v>1</v>
      </c>
      <c r="E270" s="166"/>
      <c r="F270" s="24"/>
      <c r="G270" s="166"/>
      <c r="H270" s="24"/>
      <c r="I270" s="171" t="s">
        <v>517</v>
      </c>
      <c r="K270" s="25"/>
      <c r="L270" s="25"/>
      <c r="M270" s="175" t="s">
        <v>704</v>
      </c>
      <c r="N270" s="24" t="e">
        <f>SUM(F336:F348)</f>
        <v>#REF!</v>
      </c>
      <c r="O270" s="137"/>
    </row>
    <row r="271" spans="1:17" ht="30.75" customHeight="1">
      <c r="B271" s="513" t="s">
        <v>518</v>
      </c>
      <c r="C271" s="165" t="s">
        <v>329</v>
      </c>
      <c r="D271" s="166">
        <v>1</v>
      </c>
      <c r="E271" s="166"/>
      <c r="F271" s="24"/>
      <c r="G271" s="166"/>
      <c r="H271" s="24"/>
      <c r="I271" s="171" t="s">
        <v>517</v>
      </c>
      <c r="K271" s="25"/>
      <c r="L271" s="408" t="e">
        <f>SUM(L265:L270)</f>
        <v>#REF!</v>
      </c>
      <c r="M271" s="175" t="s">
        <v>72</v>
      </c>
      <c r="N271" s="408" t="e">
        <f>SUM(N265:N270)</f>
        <v>#REF!</v>
      </c>
      <c r="O271" s="834"/>
    </row>
    <row r="272" spans="1:17">
      <c r="B272" s="513" t="s">
        <v>519</v>
      </c>
      <c r="C272" s="165"/>
      <c r="D272" s="166"/>
      <c r="E272" s="166"/>
      <c r="F272" s="24"/>
      <c r="G272" s="166"/>
      <c r="H272" s="24"/>
      <c r="I272" s="134"/>
    </row>
    <row r="273" spans="1:9">
      <c r="B273" s="566" t="s">
        <v>520</v>
      </c>
      <c r="C273" s="165" t="s">
        <v>321</v>
      </c>
      <c r="D273" s="166">
        <v>2</v>
      </c>
      <c r="E273" s="166">
        <f>350*10^5</f>
        <v>35000000</v>
      </c>
      <c r="F273" s="24">
        <f>D273*E273/10^5</f>
        <v>700</v>
      </c>
      <c r="G273" s="166"/>
      <c r="H273" s="24"/>
      <c r="I273" s="134"/>
    </row>
    <row r="274" spans="1:9">
      <c r="B274" s="513" t="s">
        <v>521</v>
      </c>
      <c r="C274" s="165" t="s">
        <v>4</v>
      </c>
      <c r="D274" s="166">
        <f>15+8+1+1.5+3</f>
        <v>28.5</v>
      </c>
      <c r="E274" s="166">
        <v>95000</v>
      </c>
      <c r="F274" s="24">
        <f>D274*E274/10^5</f>
        <v>27.074999999999999</v>
      </c>
      <c r="G274" s="166"/>
      <c r="H274" s="24"/>
      <c r="I274" s="134"/>
    </row>
    <row r="275" spans="1:9">
      <c r="B275" s="513" t="s">
        <v>516</v>
      </c>
      <c r="C275" s="165" t="s">
        <v>62</v>
      </c>
      <c r="D275" s="166">
        <v>1</v>
      </c>
      <c r="E275" s="166"/>
      <c r="F275" s="24">
        <f>2.2+6+3+0.25+5</f>
        <v>16.45</v>
      </c>
      <c r="G275" s="166"/>
      <c r="H275" s="24"/>
      <c r="I275" s="134"/>
    </row>
    <row r="276" spans="1:9">
      <c r="B276" s="513" t="s">
        <v>461</v>
      </c>
      <c r="C276" s="165" t="s">
        <v>321</v>
      </c>
      <c r="D276" s="166">
        <v>1</v>
      </c>
      <c r="E276" s="166"/>
      <c r="F276" s="24">
        <v>8</v>
      </c>
      <c r="G276" s="166"/>
      <c r="H276" s="24"/>
      <c r="I276" s="134"/>
    </row>
    <row r="277" spans="1:9" ht="30">
      <c r="B277" s="632" t="s">
        <v>847</v>
      </c>
      <c r="C277" s="556" t="s">
        <v>18</v>
      </c>
      <c r="D277" s="567">
        <v>1</v>
      </c>
      <c r="E277" s="165"/>
      <c r="F277" s="634">
        <v>30</v>
      </c>
      <c r="G277" s="166"/>
      <c r="H277" s="24"/>
      <c r="I277" s="134"/>
    </row>
    <row r="278" spans="1:9">
      <c r="B278" s="632" t="s">
        <v>841</v>
      </c>
      <c r="C278" s="556" t="s">
        <v>742</v>
      </c>
      <c r="D278" s="567">
        <v>1</v>
      </c>
      <c r="E278" s="165"/>
      <c r="F278" s="634">
        <v>10</v>
      </c>
      <c r="G278" s="166"/>
      <c r="H278" s="24"/>
      <c r="I278" s="134"/>
    </row>
    <row r="279" spans="1:9">
      <c r="B279" s="632" t="s">
        <v>846</v>
      </c>
      <c r="C279" s="556" t="s">
        <v>329</v>
      </c>
      <c r="D279" s="567">
        <v>1</v>
      </c>
      <c r="E279" s="165"/>
      <c r="F279" s="634">
        <v>10</v>
      </c>
      <c r="G279" s="166"/>
      <c r="H279" s="24"/>
      <c r="I279" s="134"/>
    </row>
    <row r="280" spans="1:9">
      <c r="B280" s="632" t="s">
        <v>854</v>
      </c>
      <c r="C280" s="556" t="s">
        <v>329</v>
      </c>
      <c r="D280" s="567"/>
      <c r="E280" s="165"/>
      <c r="F280" s="634">
        <v>8</v>
      </c>
      <c r="G280" s="166"/>
      <c r="H280" s="24"/>
      <c r="I280" s="134"/>
    </row>
    <row r="281" spans="1:9" ht="45">
      <c r="B281" s="513" t="s">
        <v>522</v>
      </c>
      <c r="C281" s="165" t="s">
        <v>329</v>
      </c>
      <c r="D281" s="166">
        <v>1</v>
      </c>
      <c r="E281" s="166"/>
      <c r="F281" s="1074">
        <v>277</v>
      </c>
      <c r="G281" s="166"/>
      <c r="H281" s="24"/>
      <c r="I281" s="782" t="s">
        <v>984</v>
      </c>
    </row>
    <row r="282" spans="1:9">
      <c r="B282" s="513" t="s">
        <v>741</v>
      </c>
      <c r="C282" s="165" t="s">
        <v>742</v>
      </c>
      <c r="D282" s="166">
        <v>1</v>
      </c>
      <c r="E282" s="166"/>
      <c r="F282" s="24">
        <v>45</v>
      </c>
      <c r="G282" s="166"/>
      <c r="H282" s="24"/>
      <c r="I282" s="134"/>
    </row>
    <row r="283" spans="1:9">
      <c r="B283" s="513" t="s">
        <v>743</v>
      </c>
      <c r="C283" s="165" t="s">
        <v>321</v>
      </c>
      <c r="D283" s="166">
        <v>4</v>
      </c>
      <c r="E283" s="166"/>
      <c r="F283" s="24">
        <f>4*30*210000/10^5</f>
        <v>252</v>
      </c>
      <c r="G283" s="166"/>
      <c r="H283" s="24"/>
      <c r="I283" s="134"/>
    </row>
    <row r="284" spans="1:9" ht="15.6">
      <c r="B284" s="283" t="s">
        <v>498</v>
      </c>
      <c r="C284" s="30"/>
      <c r="D284" s="130"/>
      <c r="E284" s="130"/>
      <c r="F284" s="313">
        <f>SUM(F265:F283)</f>
        <v>1631.7</v>
      </c>
      <c r="G284" s="165"/>
      <c r="H284" s="313" t="e">
        <f>SUM(H265:H283)</f>
        <v>#REF!</v>
      </c>
      <c r="I284" s="134"/>
    </row>
    <row r="285" spans="1:9" ht="9.75" customHeight="1"/>
    <row r="286" spans="1:9" ht="15.6">
      <c r="A286" s="201"/>
      <c r="B286" s="22"/>
      <c r="C286" s="165"/>
      <c r="D286" s="287"/>
      <c r="E286" s="1708" t="s">
        <v>139</v>
      </c>
      <c r="F286" s="1709"/>
      <c r="G286" s="1710" t="s">
        <v>101</v>
      </c>
      <c r="H286" s="1711"/>
      <c r="I286" s="183"/>
    </row>
    <row r="287" spans="1:9" ht="31.2">
      <c r="A287" s="201"/>
      <c r="B287" s="689" t="s">
        <v>885</v>
      </c>
      <c r="C287" s="163" t="s">
        <v>2</v>
      </c>
      <c r="D287" s="169" t="s">
        <v>224</v>
      </c>
      <c r="E287" s="270" t="s">
        <v>886</v>
      </c>
      <c r="F287" s="688" t="s">
        <v>887</v>
      </c>
      <c r="G287" s="270" t="s">
        <v>886</v>
      </c>
      <c r="H287" s="688" t="s">
        <v>887</v>
      </c>
      <c r="I287" s="183"/>
    </row>
    <row r="288" spans="1:9" ht="33.75" customHeight="1">
      <c r="B288" s="566" t="s">
        <v>889</v>
      </c>
      <c r="C288" s="556" t="s">
        <v>742</v>
      </c>
      <c r="D288" s="166">
        <v>2</v>
      </c>
      <c r="E288" s="166">
        <v>200000</v>
      </c>
      <c r="F288" s="24">
        <f>D288*E288/10^5</f>
        <v>4</v>
      </c>
      <c r="G288" s="166"/>
      <c r="H288" s="24"/>
      <c r="I288" s="134"/>
    </row>
    <row r="289" spans="2:13" ht="20.25" customHeight="1">
      <c r="B289" s="513" t="s">
        <v>890</v>
      </c>
      <c r="C289" s="556" t="s">
        <v>742</v>
      </c>
      <c r="D289" s="166">
        <v>2</v>
      </c>
      <c r="E289" s="166">
        <v>100000</v>
      </c>
      <c r="F289" s="24">
        <f>D289*E289/10^5</f>
        <v>2</v>
      </c>
      <c r="G289" s="166"/>
      <c r="H289" s="24"/>
      <c r="I289" s="134"/>
    </row>
    <row r="290" spans="2:13" ht="20.25" customHeight="1">
      <c r="B290" s="513" t="s">
        <v>891</v>
      </c>
      <c r="C290" s="556" t="s">
        <v>742</v>
      </c>
      <c r="D290" s="166">
        <v>1</v>
      </c>
      <c r="E290" s="166">
        <v>2600000</v>
      </c>
      <c r="F290" s="24">
        <f>D290*E290/10^5</f>
        <v>26</v>
      </c>
      <c r="G290" s="166"/>
      <c r="H290" s="24"/>
      <c r="I290" s="134"/>
    </row>
    <row r="291" spans="2:13" s="690" customFormat="1" ht="21.75" customHeight="1">
      <c r="B291" s="691" t="s">
        <v>888</v>
      </c>
      <c r="C291" s="599"/>
      <c r="D291" s="693"/>
      <c r="E291" s="694"/>
      <c r="F291" s="692">
        <f>SUM(F288:F290)</f>
        <v>32</v>
      </c>
      <c r="G291" s="599"/>
      <c r="H291" s="692">
        <f>SUM(H288:H290)</f>
        <v>0</v>
      </c>
      <c r="I291" s="695"/>
    </row>
    <row r="292" spans="2:13" ht="9.75" customHeight="1"/>
    <row r="293" spans="2:13" ht="15.6">
      <c r="B293" s="14" t="s">
        <v>415</v>
      </c>
      <c r="C293" s="3"/>
      <c r="D293" s="6"/>
      <c r="E293" s="6"/>
      <c r="F293" s="6"/>
      <c r="G293" s="6"/>
      <c r="H293" s="3"/>
      <c r="I293" s="4"/>
    </row>
    <row r="294" spans="2:13" ht="90">
      <c r="B294" s="542" t="s">
        <v>766</v>
      </c>
      <c r="C294" s="3"/>
      <c r="D294" s="6"/>
      <c r="E294" s="6"/>
      <c r="F294" s="24" t="e">
        <f>42*10^6*$F$2/1.05/1.06/1.15/10^5*0.15</f>
        <v>#REF!</v>
      </c>
      <c r="G294" s="6"/>
      <c r="H294" s="3"/>
      <c r="I294" s="8" t="s">
        <v>1054</v>
      </c>
    </row>
    <row r="295" spans="2:13">
      <c r="B295" s="542" t="s">
        <v>416</v>
      </c>
      <c r="C295" s="10" t="s">
        <v>4</v>
      </c>
      <c r="D295" s="6">
        <v>245</v>
      </c>
      <c r="E295" s="125">
        <f>E160</f>
        <v>70000</v>
      </c>
      <c r="F295" s="298">
        <f>D295*E295/10^5</f>
        <v>171.5</v>
      </c>
      <c r="G295" s="6"/>
      <c r="H295" s="3"/>
      <c r="I295" s="4" t="s">
        <v>1028</v>
      </c>
    </row>
    <row r="296" spans="2:13">
      <c r="B296" s="542" t="s">
        <v>524</v>
      </c>
      <c r="C296" s="10" t="s">
        <v>15</v>
      </c>
      <c r="D296" s="6">
        <v>2300</v>
      </c>
      <c r="E296" s="125">
        <f>E161</f>
        <v>1500</v>
      </c>
      <c r="F296" s="298">
        <f>D296*E296/10^5</f>
        <v>34.5</v>
      </c>
      <c r="G296" s="6"/>
      <c r="H296" s="3"/>
      <c r="I296" s="4"/>
    </row>
    <row r="297" spans="2:13" ht="15.6">
      <c r="B297" s="283" t="s">
        <v>497</v>
      </c>
      <c r="C297" s="165"/>
      <c r="D297" s="111"/>
      <c r="E297" s="130"/>
      <c r="F297" s="313" t="e">
        <f>SUM(F294:F296)</f>
        <v>#REF!</v>
      </c>
      <c r="G297" s="165"/>
      <c r="H297" s="313">
        <f>SUM(H295:H296)</f>
        <v>0</v>
      </c>
      <c r="I297" s="183"/>
    </row>
    <row r="298" spans="2:13" ht="9" customHeight="1"/>
    <row r="299" spans="2:13" ht="15.6">
      <c r="B299" s="318" t="s">
        <v>420</v>
      </c>
    </row>
    <row r="300" spans="2:13" ht="15.6">
      <c r="B300" s="318" t="s">
        <v>857</v>
      </c>
    </row>
    <row r="301" spans="2:13" ht="41.25" customHeight="1">
      <c r="B301" s="644" t="s">
        <v>767</v>
      </c>
      <c r="C301" s="651"/>
      <c r="D301" s="652"/>
      <c r="E301" s="652"/>
      <c r="F301" s="643" t="e">
        <f>42*10^6*$F$2/1.05/1.06/1.1/10^5/1.1*0.05*0</f>
        <v>#REF!</v>
      </c>
      <c r="I301" s="171" t="s">
        <v>768</v>
      </c>
    </row>
    <row r="302" spans="2:13">
      <c r="B302" s="653" t="s">
        <v>421</v>
      </c>
      <c r="C302" s="653" t="s">
        <v>335</v>
      </c>
      <c r="D302" s="654">
        <f>3758*0+18590-4050</f>
        <v>14540</v>
      </c>
      <c r="E302" s="166" t="e">
        <f>E200</f>
        <v>#REF!</v>
      </c>
      <c r="F302" s="298" t="e">
        <f t="shared" ref="F302:F336" si="4">D302*E302/10^5</f>
        <v>#REF!</v>
      </c>
      <c r="J302" s="493"/>
      <c r="K302" s="493"/>
      <c r="L302" s="168"/>
      <c r="M302" s="494"/>
    </row>
    <row r="303" spans="2:13">
      <c r="B303" s="515" t="s">
        <v>422</v>
      </c>
      <c r="C303" s="514" t="s">
        <v>15</v>
      </c>
      <c r="D303" s="514">
        <v>20000</v>
      </c>
      <c r="E303" s="166" t="e">
        <f>#REF!</f>
        <v>#REF!</v>
      </c>
      <c r="F303" s="298" t="e">
        <f t="shared" si="4"/>
        <v>#REF!</v>
      </c>
      <c r="J303" s="493"/>
      <c r="K303" s="493"/>
      <c r="L303" s="168"/>
      <c r="M303" s="494"/>
    </row>
    <row r="304" spans="2:13">
      <c r="B304" s="653" t="s">
        <v>326</v>
      </c>
      <c r="C304" s="653" t="s">
        <v>335</v>
      </c>
      <c r="D304" s="653">
        <f>580-280</f>
        <v>300</v>
      </c>
      <c r="E304" s="166" t="e">
        <f>#REF!</f>
        <v>#REF!</v>
      </c>
      <c r="F304" s="298" t="e">
        <f t="shared" si="4"/>
        <v>#REF!</v>
      </c>
      <c r="J304" s="493"/>
      <c r="K304" s="493"/>
      <c r="L304" s="168"/>
      <c r="M304" s="494"/>
    </row>
    <row r="305" spans="2:13">
      <c r="B305" s="516" t="s">
        <v>423</v>
      </c>
      <c r="C305" s="296" t="s">
        <v>335</v>
      </c>
      <c r="D305" s="296">
        <v>590</v>
      </c>
      <c r="E305" s="166" t="e">
        <f>#REF!</f>
        <v>#REF!</v>
      </c>
      <c r="F305" s="298" t="e">
        <f t="shared" si="4"/>
        <v>#REF!</v>
      </c>
      <c r="J305" s="493"/>
      <c r="K305" s="493"/>
      <c r="L305" s="168"/>
      <c r="M305" s="494"/>
    </row>
    <row r="306" spans="2:13" s="19" customFormat="1" ht="36" customHeight="1">
      <c r="B306" s="655" t="s">
        <v>424</v>
      </c>
      <c r="C306" s="656" t="s">
        <v>335</v>
      </c>
      <c r="D306" s="656">
        <f>4010-1400</f>
        <v>2610</v>
      </c>
      <c r="E306" s="166" t="e">
        <f>#REF!</f>
        <v>#REF!</v>
      </c>
      <c r="F306" s="298" t="e">
        <f t="shared" si="4"/>
        <v>#REF!</v>
      </c>
      <c r="G306" s="168"/>
      <c r="I306" s="138"/>
      <c r="J306" s="581"/>
      <c r="K306" s="136"/>
      <c r="L306" s="168"/>
      <c r="M306" s="494"/>
    </row>
    <row r="307" spans="2:13">
      <c r="B307" s="516" t="s">
        <v>425</v>
      </c>
      <c r="C307" s="296" t="s">
        <v>335</v>
      </c>
      <c r="D307" s="296">
        <v>1380</v>
      </c>
      <c r="E307" s="166" t="e">
        <f>#REF!</f>
        <v>#REF!</v>
      </c>
      <c r="F307" s="298" t="e">
        <f t="shared" si="4"/>
        <v>#REF!</v>
      </c>
      <c r="J307" s="493"/>
      <c r="K307" s="493"/>
      <c r="L307" s="168"/>
      <c r="M307" s="494"/>
    </row>
    <row r="308" spans="2:13">
      <c r="B308" s="654" t="s">
        <v>307</v>
      </c>
      <c r="C308" s="653" t="s">
        <v>335</v>
      </c>
      <c r="D308" s="653">
        <f>10-10</f>
        <v>0</v>
      </c>
      <c r="E308" s="166" t="e">
        <f>#REF!</f>
        <v>#REF!</v>
      </c>
      <c r="F308" s="298" t="e">
        <f t="shared" si="4"/>
        <v>#REF!</v>
      </c>
      <c r="J308" s="493"/>
      <c r="K308" s="493"/>
      <c r="L308" s="168"/>
      <c r="M308" s="494"/>
    </row>
    <row r="309" spans="2:13">
      <c r="B309" s="517" t="s">
        <v>78</v>
      </c>
      <c r="C309" s="323" t="s">
        <v>15</v>
      </c>
      <c r="D309" s="6">
        <v>1000</v>
      </c>
      <c r="E309" s="784" t="e">
        <f>#REF!</f>
        <v>#REF!</v>
      </c>
      <c r="F309" s="130" t="e">
        <f t="shared" si="4"/>
        <v>#REF!</v>
      </c>
      <c r="J309" s="493"/>
      <c r="K309" s="493"/>
      <c r="L309" s="168"/>
      <c r="M309" s="494"/>
    </row>
    <row r="310" spans="2:13">
      <c r="B310" s="517" t="s">
        <v>308</v>
      </c>
      <c r="C310" s="323" t="s">
        <v>335</v>
      </c>
      <c r="D310" s="6">
        <v>30</v>
      </c>
      <c r="E310" s="784" t="e">
        <f>#REF!</f>
        <v>#REF!</v>
      </c>
      <c r="F310" s="130" t="e">
        <f t="shared" si="4"/>
        <v>#REF!</v>
      </c>
      <c r="J310" s="493"/>
      <c r="K310" s="493"/>
      <c r="L310" s="168"/>
      <c r="M310" s="494"/>
    </row>
    <row r="311" spans="2:13">
      <c r="B311" s="653" t="s">
        <v>74</v>
      </c>
      <c r="C311" s="653" t="s">
        <v>429</v>
      </c>
      <c r="D311" s="653">
        <f>490-200</f>
        <v>290</v>
      </c>
      <c r="E311" s="166" t="e">
        <f>#REF!</f>
        <v>#REF!</v>
      </c>
      <c r="F311" s="298" t="e">
        <f t="shared" si="4"/>
        <v>#REF!</v>
      </c>
      <c r="J311" s="493"/>
      <c r="K311" s="493"/>
      <c r="L311" s="168"/>
      <c r="M311" s="494"/>
    </row>
    <row r="312" spans="2:13">
      <c r="B312" s="648" t="s">
        <v>309</v>
      </c>
      <c r="C312" s="649" t="s">
        <v>58</v>
      </c>
      <c r="D312" s="653">
        <f>100-10</f>
        <v>90</v>
      </c>
      <c r="E312" s="166" t="e">
        <f>#REF!</f>
        <v>#REF!</v>
      </c>
      <c r="F312" s="298" t="e">
        <f t="shared" si="4"/>
        <v>#REF!</v>
      </c>
      <c r="J312" s="493"/>
      <c r="K312" s="493"/>
      <c r="L312" s="168"/>
      <c r="M312" s="494"/>
    </row>
    <row r="313" spans="2:13">
      <c r="B313" s="653" t="s">
        <v>19</v>
      </c>
      <c r="C313" s="653" t="s">
        <v>429</v>
      </c>
      <c r="D313" s="653">
        <f>10-10</f>
        <v>0</v>
      </c>
      <c r="E313" s="166" t="e">
        <f>#REF!</f>
        <v>#REF!</v>
      </c>
      <c r="F313" s="298" t="e">
        <f t="shared" si="4"/>
        <v>#REF!</v>
      </c>
      <c r="J313" s="493"/>
      <c r="K313" s="493"/>
      <c r="L313" s="168"/>
      <c r="M313" s="494"/>
    </row>
    <row r="314" spans="2:13">
      <c r="B314" s="516" t="s">
        <v>430</v>
      </c>
      <c r="C314" s="296" t="s">
        <v>431</v>
      </c>
      <c r="D314" s="296">
        <v>50</v>
      </c>
      <c r="E314" s="166" t="e">
        <f>#REF!</f>
        <v>#REF!</v>
      </c>
      <c r="F314" s="298" t="e">
        <f t="shared" si="4"/>
        <v>#REF!</v>
      </c>
      <c r="J314" s="493"/>
      <c r="K314" s="493"/>
      <c r="L314" s="168"/>
      <c r="M314" s="494"/>
    </row>
    <row r="315" spans="2:13">
      <c r="B315" s="516" t="s">
        <v>310</v>
      </c>
      <c r="C315" s="296" t="s">
        <v>15</v>
      </c>
      <c r="D315" s="296">
        <v>7260</v>
      </c>
      <c r="E315" s="166" t="e">
        <f>#REF!</f>
        <v>#REF!</v>
      </c>
      <c r="F315" s="298" t="e">
        <f t="shared" si="4"/>
        <v>#REF!</v>
      </c>
      <c r="J315" s="582"/>
      <c r="K315" s="493"/>
      <c r="L315" s="168"/>
      <c r="M315" s="494"/>
    </row>
    <row r="316" spans="2:13">
      <c r="B316" s="518" t="s">
        <v>433</v>
      </c>
      <c r="C316" s="149" t="s">
        <v>335</v>
      </c>
      <c r="D316" s="149">
        <v>1410</v>
      </c>
      <c r="E316" s="166" t="e">
        <f>#REF!</f>
        <v>#REF!</v>
      </c>
      <c r="F316" s="298" t="e">
        <f t="shared" si="4"/>
        <v>#REF!</v>
      </c>
      <c r="J316" s="493"/>
      <c r="K316" s="493"/>
      <c r="L316" s="168"/>
      <c r="M316" s="494"/>
    </row>
    <row r="317" spans="2:13">
      <c r="B317" s="516" t="s">
        <v>311</v>
      </c>
      <c r="C317" s="296" t="s">
        <v>15</v>
      </c>
      <c r="D317" s="296">
        <v>7320</v>
      </c>
      <c r="E317" s="166" t="e">
        <f>#REF!</f>
        <v>#REF!</v>
      </c>
      <c r="F317" s="298" t="e">
        <f t="shared" si="4"/>
        <v>#REF!</v>
      </c>
      <c r="J317" s="493"/>
      <c r="K317" s="493"/>
      <c r="L317" s="168"/>
      <c r="M317" s="494"/>
    </row>
    <row r="318" spans="2:13">
      <c r="B318" s="516" t="s">
        <v>312</v>
      </c>
      <c r="C318" s="296" t="s">
        <v>15</v>
      </c>
      <c r="D318" s="296">
        <v>4200</v>
      </c>
      <c r="E318" s="166" t="e">
        <f>#REF!</f>
        <v>#REF!</v>
      </c>
      <c r="F318" s="298" t="e">
        <f t="shared" si="4"/>
        <v>#REF!</v>
      </c>
      <c r="J318" s="493"/>
      <c r="K318" s="493"/>
      <c r="L318" s="168"/>
      <c r="M318" s="494"/>
    </row>
    <row r="319" spans="2:13">
      <c r="B319" s="515" t="s">
        <v>434</v>
      </c>
      <c r="C319" s="296" t="s">
        <v>15</v>
      </c>
      <c r="D319" s="296">
        <v>7110</v>
      </c>
      <c r="E319" s="166" t="e">
        <f>#REF!</f>
        <v>#REF!</v>
      </c>
      <c r="F319" s="298" t="e">
        <f t="shared" si="4"/>
        <v>#REF!</v>
      </c>
      <c r="J319" s="583"/>
      <c r="K319" s="493"/>
      <c r="L319" s="168"/>
      <c r="M319" s="494"/>
    </row>
    <row r="320" spans="2:13">
      <c r="B320" s="516" t="s">
        <v>435</v>
      </c>
      <c r="C320" s="296" t="s">
        <v>15</v>
      </c>
      <c r="D320" s="296">
        <v>5610</v>
      </c>
      <c r="E320" s="166" t="e">
        <f>#REF!</f>
        <v>#REF!</v>
      </c>
      <c r="F320" s="298" t="e">
        <f t="shared" si="4"/>
        <v>#REF!</v>
      </c>
      <c r="J320" s="493"/>
      <c r="K320" s="493"/>
      <c r="L320" s="168"/>
      <c r="M320" s="494"/>
    </row>
    <row r="321" spans="1:13">
      <c r="B321" s="516" t="s">
        <v>320</v>
      </c>
      <c r="C321" s="296" t="s">
        <v>15</v>
      </c>
      <c r="D321" s="296">
        <v>13010</v>
      </c>
      <c r="E321" s="166" t="e">
        <f>#REF!</f>
        <v>#REF!</v>
      </c>
      <c r="F321" s="298" t="e">
        <f t="shared" si="4"/>
        <v>#REF!</v>
      </c>
      <c r="J321" s="493"/>
      <c r="K321" s="493"/>
      <c r="L321" s="168"/>
      <c r="M321" s="494"/>
    </row>
    <row r="322" spans="1:13">
      <c r="B322" s="516" t="s">
        <v>304</v>
      </c>
      <c r="C322" s="296" t="s">
        <v>335</v>
      </c>
      <c r="D322" s="296">
        <v>920</v>
      </c>
      <c r="E322" s="166" t="e">
        <f>#REF!</f>
        <v>#REF!</v>
      </c>
      <c r="F322" s="298" t="e">
        <f t="shared" si="4"/>
        <v>#REF!</v>
      </c>
      <c r="J322" s="493"/>
      <c r="K322" s="493"/>
      <c r="L322" s="168"/>
      <c r="M322" s="494"/>
    </row>
    <row r="323" spans="1:13">
      <c r="B323" s="515" t="s">
        <v>313</v>
      </c>
      <c r="C323" s="296" t="s">
        <v>15</v>
      </c>
      <c r="D323" s="296">
        <v>3270</v>
      </c>
      <c r="E323" s="166" t="e">
        <f>#REF!</f>
        <v>#REF!</v>
      </c>
      <c r="F323" s="298" t="e">
        <f t="shared" si="4"/>
        <v>#REF!</v>
      </c>
      <c r="J323" s="493"/>
      <c r="K323" s="493"/>
      <c r="L323" s="168"/>
      <c r="M323" s="494"/>
    </row>
    <row r="324" spans="1:13">
      <c r="B324" s="515" t="s">
        <v>314</v>
      </c>
      <c r="C324" s="514" t="s">
        <v>58</v>
      </c>
      <c r="D324" s="296">
        <v>70</v>
      </c>
      <c r="E324" s="588" t="e">
        <f>#REF!</f>
        <v>#REF!</v>
      </c>
      <c r="F324" s="298" t="e">
        <f t="shared" si="4"/>
        <v>#REF!</v>
      </c>
      <c r="J324" s="493"/>
      <c r="K324" s="493"/>
      <c r="L324" s="168"/>
      <c r="M324" s="494"/>
    </row>
    <row r="325" spans="1:13">
      <c r="B325" s="516" t="s">
        <v>315</v>
      </c>
      <c r="C325" s="296" t="s">
        <v>15</v>
      </c>
      <c r="D325" s="296">
        <v>70</v>
      </c>
      <c r="E325" s="166" t="e">
        <f>#REF!</f>
        <v>#REF!</v>
      </c>
      <c r="F325" s="298" t="e">
        <f t="shared" si="4"/>
        <v>#REF!</v>
      </c>
      <c r="J325" s="493"/>
      <c r="K325" s="493"/>
      <c r="L325" s="168"/>
      <c r="M325" s="494"/>
    </row>
    <row r="326" spans="1:13">
      <c r="B326" s="516" t="s">
        <v>316</v>
      </c>
      <c r="C326" s="296" t="s">
        <v>15</v>
      </c>
      <c r="D326" s="296">
        <v>220</v>
      </c>
      <c r="E326" s="166" t="e">
        <f>#REF!</f>
        <v>#REF!</v>
      </c>
      <c r="F326" s="298" t="e">
        <f t="shared" si="4"/>
        <v>#REF!</v>
      </c>
      <c r="J326" s="493"/>
      <c r="K326" s="493"/>
      <c r="L326" s="168"/>
      <c r="M326" s="494"/>
    </row>
    <row r="327" spans="1:13">
      <c r="B327" s="515" t="s">
        <v>317</v>
      </c>
      <c r="C327" s="296" t="s">
        <v>15</v>
      </c>
      <c r="D327" s="296">
        <v>60</v>
      </c>
      <c r="E327" s="166" t="e">
        <f>#REF!</f>
        <v>#REF!</v>
      </c>
      <c r="F327" s="298" t="e">
        <f t="shared" si="4"/>
        <v>#REF!</v>
      </c>
      <c r="J327" s="493"/>
      <c r="K327" s="493"/>
      <c r="L327" s="168"/>
      <c r="M327" s="494"/>
    </row>
    <row r="328" spans="1:13">
      <c r="B328" s="516" t="s">
        <v>436</v>
      </c>
      <c r="C328" s="296" t="s">
        <v>335</v>
      </c>
      <c r="D328" s="296">
        <v>350</v>
      </c>
      <c r="E328" s="166" t="e">
        <f>#REF!</f>
        <v>#REF!</v>
      </c>
      <c r="F328" s="298" t="e">
        <f t="shared" si="4"/>
        <v>#REF!</v>
      </c>
      <c r="J328" s="493"/>
      <c r="K328" s="493"/>
      <c r="L328" s="168"/>
      <c r="M328" s="494"/>
    </row>
    <row r="329" spans="1:13">
      <c r="B329" s="516" t="s">
        <v>437</v>
      </c>
      <c r="C329" s="296" t="s">
        <v>335</v>
      </c>
      <c r="D329" s="296">
        <v>350</v>
      </c>
      <c r="E329" s="166" t="e">
        <f>#REF!</f>
        <v>#REF!</v>
      </c>
      <c r="F329" s="298" t="e">
        <f t="shared" si="4"/>
        <v>#REF!</v>
      </c>
      <c r="J329" s="493"/>
      <c r="K329" s="493"/>
      <c r="L329" s="168"/>
      <c r="M329" s="494"/>
    </row>
    <row r="330" spans="1:13">
      <c r="B330" s="516" t="s">
        <v>438</v>
      </c>
      <c r="C330" s="296" t="s">
        <v>335</v>
      </c>
      <c r="D330" s="296">
        <v>460</v>
      </c>
      <c r="E330" s="166" t="e">
        <f>#REF!</f>
        <v>#REF!</v>
      </c>
      <c r="F330" s="298" t="e">
        <f t="shared" si="4"/>
        <v>#REF!</v>
      </c>
      <c r="J330" s="493"/>
      <c r="K330" s="493"/>
      <c r="L330" s="168"/>
      <c r="M330" s="494"/>
    </row>
    <row r="331" spans="1:13">
      <c r="B331" s="516" t="s">
        <v>439</v>
      </c>
      <c r="C331" s="296" t="s">
        <v>15</v>
      </c>
      <c r="D331" s="296">
        <v>4590</v>
      </c>
      <c r="E331" s="166" t="e">
        <f>#REF!</f>
        <v>#REF!</v>
      </c>
      <c r="F331" s="298" t="e">
        <f t="shared" si="4"/>
        <v>#REF!</v>
      </c>
      <c r="J331" s="582"/>
      <c r="K331" s="493"/>
      <c r="L331" s="168"/>
      <c r="M331" s="494"/>
    </row>
    <row r="332" spans="1:13" ht="15.6">
      <c r="B332" s="516" t="s">
        <v>443</v>
      </c>
      <c r="C332" s="296" t="s">
        <v>15</v>
      </c>
      <c r="D332" s="296">
        <v>460</v>
      </c>
      <c r="E332" s="166" t="e">
        <f>#REF!</f>
        <v>#REF!</v>
      </c>
      <c r="F332" s="298" t="e">
        <f t="shared" si="4"/>
        <v>#REF!</v>
      </c>
      <c r="J332" s="38"/>
      <c r="K332" s="176"/>
      <c r="L332" s="176"/>
      <c r="M332" s="584"/>
    </row>
    <row r="333" spans="1:13">
      <c r="B333" s="516" t="s">
        <v>318</v>
      </c>
      <c r="C333" s="296" t="s">
        <v>15</v>
      </c>
      <c r="D333" s="296">
        <v>100</v>
      </c>
      <c r="E333" s="166" t="e">
        <f>#REF!</f>
        <v>#REF!</v>
      </c>
      <c r="F333" s="298" t="e">
        <f t="shared" si="4"/>
        <v>#REF!</v>
      </c>
      <c r="K333" s="493"/>
      <c r="L333" s="168"/>
      <c r="M333" s="494"/>
    </row>
    <row r="334" spans="1:13">
      <c r="B334" s="516" t="s">
        <v>319</v>
      </c>
      <c r="C334" s="296" t="s">
        <v>15</v>
      </c>
      <c r="D334" s="296">
        <v>3150</v>
      </c>
      <c r="E334" s="166" t="e">
        <f>#REF!</f>
        <v>#REF!</v>
      </c>
      <c r="F334" s="298" t="e">
        <f t="shared" si="4"/>
        <v>#REF!</v>
      </c>
      <c r="K334" s="493"/>
      <c r="L334" s="168"/>
      <c r="M334" s="494"/>
    </row>
    <row r="335" spans="1:13" s="173" customFormat="1" ht="22.5" customHeight="1">
      <c r="A335" s="322"/>
      <c r="B335" s="517" t="s">
        <v>862</v>
      </c>
      <c r="C335" s="323" t="s">
        <v>329</v>
      </c>
      <c r="D335" s="4"/>
      <c r="E335" s="4"/>
      <c r="F335" s="308">
        <v>2</v>
      </c>
      <c r="G335" s="113"/>
      <c r="H335" s="113"/>
      <c r="I335" s="113"/>
      <c r="J335" s="320"/>
      <c r="K335" s="320"/>
      <c r="L335" s="320"/>
      <c r="M335" s="321"/>
    </row>
    <row r="336" spans="1:13" s="117" customFormat="1" hidden="1">
      <c r="B336" s="564" t="s">
        <v>744</v>
      </c>
      <c r="C336" s="564" t="s">
        <v>18</v>
      </c>
      <c r="D336" s="565">
        <f>1*0</f>
        <v>0</v>
      </c>
      <c r="E336" s="577">
        <v>300000</v>
      </c>
      <c r="F336" s="578">
        <f t="shared" si="4"/>
        <v>0</v>
      </c>
      <c r="G336" s="585"/>
      <c r="H336" s="119"/>
      <c r="I336" s="119"/>
      <c r="K336" s="586"/>
      <c r="L336" s="585"/>
      <c r="M336" s="587"/>
    </row>
    <row r="337" spans="1:13" ht="15.6">
      <c r="B337" s="313" t="s">
        <v>860</v>
      </c>
      <c r="C337" s="165"/>
      <c r="D337" s="165"/>
      <c r="E337" s="165"/>
      <c r="F337" s="313" t="e">
        <f>SUM(F301:F336)</f>
        <v>#REF!</v>
      </c>
    </row>
    <row r="338" spans="1:13" ht="8.25" customHeight="1"/>
    <row r="339" spans="1:13" s="126" customFormat="1" ht="15.6">
      <c r="A339" s="317"/>
      <c r="B339" s="318" t="s">
        <v>858</v>
      </c>
      <c r="C339" s="319"/>
      <c r="D339" s="6"/>
      <c r="E339" s="291"/>
      <c r="F339" s="290"/>
      <c r="G339" s="290"/>
      <c r="H339" s="290"/>
      <c r="I339" s="290"/>
      <c r="J339" s="290"/>
      <c r="K339" s="290"/>
      <c r="L339" s="290"/>
      <c r="M339" s="290"/>
    </row>
    <row r="340" spans="1:13" ht="111" customHeight="1">
      <c r="B340" s="644" t="s">
        <v>767</v>
      </c>
      <c r="C340" s="651"/>
      <c r="D340" s="652"/>
      <c r="E340" s="162"/>
      <c r="F340" s="134" t="e">
        <f>42*10^6*$F$2/1.05/1.06/1.15/10^5*0.05</f>
        <v>#REF!</v>
      </c>
      <c r="I340" s="171" t="s">
        <v>768</v>
      </c>
    </row>
    <row r="341" spans="1:13">
      <c r="B341" s="653" t="s">
        <v>421</v>
      </c>
      <c r="C341" s="653" t="s">
        <v>335</v>
      </c>
      <c r="D341" s="654">
        <f>4050</f>
        <v>4050</v>
      </c>
      <c r="E341" s="166" t="e">
        <f>E302</f>
        <v>#REF!</v>
      </c>
      <c r="F341" s="298" t="e">
        <f t="shared" ref="F341:F347" si="5">D341*E341/10^5</f>
        <v>#REF!</v>
      </c>
      <c r="J341" s="493"/>
      <c r="K341" s="493"/>
      <c r="L341" s="168"/>
      <c r="M341" s="494"/>
    </row>
    <row r="342" spans="1:13">
      <c r="B342" s="653" t="s">
        <v>326</v>
      </c>
      <c r="C342" s="653" t="s">
        <v>335</v>
      </c>
      <c r="D342" s="653">
        <f>280</f>
        <v>280</v>
      </c>
      <c r="E342" s="166" t="e">
        <f>E304</f>
        <v>#REF!</v>
      </c>
      <c r="F342" s="298" t="e">
        <f t="shared" si="5"/>
        <v>#REF!</v>
      </c>
      <c r="J342" s="493"/>
      <c r="K342" s="493"/>
      <c r="L342" s="168"/>
      <c r="M342" s="494"/>
    </row>
    <row r="343" spans="1:13" s="19" customFormat="1" ht="36" customHeight="1">
      <c r="B343" s="655" t="s">
        <v>424</v>
      </c>
      <c r="C343" s="656" t="s">
        <v>335</v>
      </c>
      <c r="D343" s="656">
        <f>1400</f>
        <v>1400</v>
      </c>
      <c r="E343" s="166" t="e">
        <f>E306</f>
        <v>#REF!</v>
      </c>
      <c r="F343" s="298" t="e">
        <f t="shared" si="5"/>
        <v>#REF!</v>
      </c>
      <c r="G343" s="168"/>
      <c r="I343" s="138"/>
      <c r="J343" s="581"/>
      <c r="K343" s="136"/>
      <c r="L343" s="168"/>
      <c r="M343" s="494"/>
    </row>
    <row r="344" spans="1:13">
      <c r="B344" s="654" t="s">
        <v>307</v>
      </c>
      <c r="C344" s="653" t="s">
        <v>335</v>
      </c>
      <c r="D344" s="653">
        <f>10</f>
        <v>10</v>
      </c>
      <c r="E344" s="166" t="e">
        <f>E308</f>
        <v>#REF!</v>
      </c>
      <c r="F344" s="298" t="e">
        <f t="shared" si="5"/>
        <v>#REF!</v>
      </c>
      <c r="J344" s="493"/>
      <c r="K344" s="493"/>
      <c r="L344" s="168"/>
      <c r="M344" s="494"/>
    </row>
    <row r="345" spans="1:13">
      <c r="B345" s="653" t="s">
        <v>74</v>
      </c>
      <c r="C345" s="653" t="s">
        <v>429</v>
      </c>
      <c r="D345" s="653">
        <f>200</f>
        <v>200</v>
      </c>
      <c r="E345" s="166" t="e">
        <f>E311</f>
        <v>#REF!</v>
      </c>
      <c r="F345" s="298" t="e">
        <f t="shared" si="5"/>
        <v>#REF!</v>
      </c>
      <c r="J345" s="493"/>
      <c r="K345" s="493"/>
      <c r="L345" s="168"/>
      <c r="M345" s="494"/>
    </row>
    <row r="346" spans="1:13">
      <c r="B346" s="648" t="s">
        <v>309</v>
      </c>
      <c r="C346" s="649" t="s">
        <v>58</v>
      </c>
      <c r="D346" s="653">
        <f>10</f>
        <v>10</v>
      </c>
      <c r="E346" s="166" t="e">
        <f>E312</f>
        <v>#REF!</v>
      </c>
      <c r="F346" s="298" t="e">
        <f t="shared" si="5"/>
        <v>#REF!</v>
      </c>
      <c r="J346" s="493"/>
      <c r="K346" s="493"/>
      <c r="L346" s="168"/>
      <c r="M346" s="494"/>
    </row>
    <row r="347" spans="1:13">
      <c r="B347" s="653" t="s">
        <v>19</v>
      </c>
      <c r="C347" s="653" t="s">
        <v>429</v>
      </c>
      <c r="D347" s="653">
        <f>10</f>
        <v>10</v>
      </c>
      <c r="E347" s="166" t="e">
        <f>E313</f>
        <v>#REF!</v>
      </c>
      <c r="F347" s="298" t="e">
        <f t="shared" si="5"/>
        <v>#REF!</v>
      </c>
      <c r="J347" s="493"/>
      <c r="K347" s="493"/>
      <c r="L347" s="168"/>
      <c r="M347" s="494"/>
    </row>
    <row r="348" spans="1:13" ht="15.6">
      <c r="A348" s="201"/>
      <c r="B348" s="313" t="s">
        <v>859</v>
      </c>
      <c r="C348" s="165"/>
      <c r="D348" s="179"/>
      <c r="E348" s="165"/>
      <c r="F348" s="313" t="e">
        <f>SUM(F340:F347)</f>
        <v>#REF!</v>
      </c>
      <c r="G348" s="165"/>
      <c r="H348" s="165"/>
      <c r="I348" s="183"/>
      <c r="K348" s="385"/>
    </row>
    <row r="349" spans="1:13" ht="8.25" customHeight="1"/>
    <row r="350" spans="1:13" ht="15.6">
      <c r="B350" s="131" t="s">
        <v>513</v>
      </c>
    </row>
    <row r="351" spans="1:13">
      <c r="B351" s="555" t="s">
        <v>514</v>
      </c>
      <c r="C351" s="165" t="s">
        <v>4</v>
      </c>
      <c r="D351" s="166">
        <v>40</v>
      </c>
      <c r="E351" s="148">
        <v>20000</v>
      </c>
      <c r="F351" s="298">
        <f>D351*E351/10^5</f>
        <v>8</v>
      </c>
    </row>
    <row r="352" spans="1:13" ht="18.75" customHeight="1">
      <c r="B352" s="555" t="s">
        <v>75</v>
      </c>
      <c r="C352" s="165" t="s">
        <v>4</v>
      </c>
      <c r="D352" s="166">
        <v>15</v>
      </c>
      <c r="E352" s="146">
        <v>10000</v>
      </c>
      <c r="F352" s="298">
        <f>D352*E352/10^5</f>
        <v>1.5</v>
      </c>
    </row>
    <row r="353" spans="1:13" ht="15.6">
      <c r="B353" s="283" t="s">
        <v>504</v>
      </c>
      <c r="C353" s="165"/>
      <c r="D353" s="166"/>
      <c r="E353" s="166"/>
      <c r="F353" s="313">
        <f>SUM(F351:F352)</f>
        <v>9.5</v>
      </c>
    </row>
    <row r="354" spans="1:13" ht="15.6">
      <c r="B354" s="283"/>
      <c r="C354" s="165"/>
      <c r="D354" s="166"/>
      <c r="E354" s="166"/>
      <c r="F354" s="327"/>
    </row>
    <row r="355" spans="1:13" s="114" customFormat="1" ht="15.6">
      <c r="A355" s="311"/>
      <c r="B355" s="579" t="s">
        <v>698</v>
      </c>
      <c r="C355" s="165" t="s">
        <v>495</v>
      </c>
      <c r="D355" s="3">
        <f>45*25</f>
        <v>1125</v>
      </c>
      <c r="E355" s="30"/>
      <c r="F355" s="30"/>
      <c r="G355" s="325" t="e">
        <f>G259</f>
        <v>#REF!</v>
      </c>
      <c r="H355" s="313" t="e">
        <f>D355*G355/10^5</f>
        <v>#REF!</v>
      </c>
      <c r="I355" s="183"/>
    </row>
    <row r="356" spans="1:13" s="114" customFormat="1" ht="15.6">
      <c r="A356" s="311"/>
      <c r="B356" s="579" t="s">
        <v>697</v>
      </c>
      <c r="C356" s="165" t="s">
        <v>495</v>
      </c>
      <c r="D356" s="3">
        <v>100</v>
      </c>
      <c r="E356" s="30"/>
      <c r="F356" s="30"/>
      <c r="G356" s="325" t="e">
        <f>G260</f>
        <v>#REF!</v>
      </c>
      <c r="H356" s="313" t="e">
        <f>D356*G356/10^5</f>
        <v>#REF!</v>
      </c>
      <c r="I356" s="183"/>
    </row>
    <row r="357" spans="1:13" ht="9.75" customHeight="1"/>
    <row r="358" spans="1:13" ht="15.6">
      <c r="A358" s="315">
        <v>4</v>
      </c>
      <c r="B358" s="202" t="s">
        <v>525</v>
      </c>
      <c r="C358" s="203"/>
      <c r="D358" s="204"/>
      <c r="E358" s="203"/>
      <c r="F358" s="203"/>
      <c r="G358" s="203"/>
      <c r="H358" s="203"/>
      <c r="I358" s="332"/>
      <c r="J358" s="17" t="s">
        <v>527</v>
      </c>
      <c r="K358" s="17" t="s">
        <v>529</v>
      </c>
      <c r="L358" s="17" t="s">
        <v>528</v>
      </c>
      <c r="M358" s="144" t="s">
        <v>530</v>
      </c>
    </row>
    <row r="359" spans="1:13" ht="180">
      <c r="B359" s="566" t="s">
        <v>526</v>
      </c>
      <c r="C359" s="165" t="s">
        <v>62</v>
      </c>
      <c r="D359" s="166">
        <v>1</v>
      </c>
      <c r="E359" s="166"/>
      <c r="F359" s="109">
        <f>(28736/1.17)/1.2</f>
        <v>20467.236467236467</v>
      </c>
      <c r="G359" s="166"/>
      <c r="H359" s="1075" t="e">
        <f>(4996184*I2/10^5)/1.2</f>
        <v>#REF!</v>
      </c>
      <c r="I359" s="171" t="s">
        <v>987</v>
      </c>
      <c r="J359" s="328" t="e">
        <f>(4996184*I2/10^5+28736/1.17+7481/1.13+2431/1.25)</f>
        <v>#REF!</v>
      </c>
      <c r="K359" s="328" t="e">
        <f>50000*I2/74/1.05/1.06/1.1*0</f>
        <v>#REF!</v>
      </c>
      <c r="L359" s="328" t="e">
        <f>54800*I2/74/1.05/1.06/1.1*0</f>
        <v>#REF!</v>
      </c>
      <c r="M359" s="328" t="e">
        <f>65000000*I2/10^5</f>
        <v>#REF!</v>
      </c>
    </row>
    <row r="360" spans="1:13" ht="51" customHeight="1">
      <c r="B360" s="640" t="s">
        <v>849</v>
      </c>
      <c r="C360" s="165" t="s">
        <v>62</v>
      </c>
      <c r="D360" s="166">
        <v>1</v>
      </c>
      <c r="E360" s="166"/>
      <c r="F360" s="639">
        <f>-500</f>
        <v>-500</v>
      </c>
      <c r="G360" s="166"/>
      <c r="H360" s="148"/>
      <c r="I360" s="1712" t="s">
        <v>839</v>
      </c>
      <c r="J360" s="328"/>
      <c r="K360" s="328"/>
      <c r="L360" s="328"/>
      <c r="M360" s="328"/>
    </row>
    <row r="361" spans="1:13" ht="45">
      <c r="B361" s="632" t="s">
        <v>850</v>
      </c>
      <c r="C361" s="165" t="s">
        <v>62</v>
      </c>
      <c r="D361" s="166">
        <v>1</v>
      </c>
      <c r="E361" s="166"/>
      <c r="F361" s="639">
        <f>200</f>
        <v>200</v>
      </c>
      <c r="G361" s="166"/>
      <c r="H361" s="148"/>
      <c r="I361" s="1713"/>
      <c r="J361" s="328"/>
      <c r="K361" s="328"/>
      <c r="L361" s="328"/>
      <c r="M361" s="328"/>
    </row>
    <row r="362" spans="1:13" ht="45">
      <c r="B362" s="632" t="s">
        <v>851</v>
      </c>
      <c r="C362" s="165" t="s">
        <v>62</v>
      </c>
      <c r="D362" s="166">
        <v>1</v>
      </c>
      <c r="E362" s="166"/>
      <c r="F362" s="639">
        <f>150</f>
        <v>150</v>
      </c>
      <c r="G362" s="166"/>
      <c r="H362" s="148"/>
      <c r="I362" s="1714"/>
      <c r="J362" s="328"/>
      <c r="K362" s="328"/>
      <c r="L362" s="328"/>
      <c r="M362" s="328"/>
    </row>
    <row r="363" spans="1:13" ht="30">
      <c r="A363" s="201"/>
      <c r="B363" s="632" t="s">
        <v>847</v>
      </c>
      <c r="C363" s="556" t="s">
        <v>18</v>
      </c>
      <c r="D363" s="567">
        <v>1</v>
      </c>
      <c r="E363" s="165"/>
      <c r="F363" s="634">
        <v>30</v>
      </c>
      <c r="G363" s="165"/>
      <c r="H363" s="165"/>
      <c r="I363" s="636" t="s">
        <v>839</v>
      </c>
    </row>
    <row r="364" spans="1:13" ht="30">
      <c r="A364" s="635"/>
      <c r="B364" s="632" t="s">
        <v>855</v>
      </c>
      <c r="C364" s="556" t="s">
        <v>329</v>
      </c>
      <c r="D364" s="567"/>
      <c r="E364" s="165"/>
      <c r="F364" s="634">
        <v>55</v>
      </c>
      <c r="G364" s="165"/>
      <c r="H364" s="165"/>
      <c r="I364" s="637"/>
    </row>
    <row r="365" spans="1:13" ht="15.6">
      <c r="A365" s="635"/>
      <c r="B365" s="674" t="s">
        <v>881</v>
      </c>
      <c r="C365" s="683" t="s">
        <v>329</v>
      </c>
      <c r="D365" s="685"/>
      <c r="E365" s="165"/>
      <c r="F365" s="673">
        <v>500</v>
      </c>
      <c r="G365" s="165"/>
      <c r="H365" s="165"/>
      <c r="I365" s="686" t="s">
        <v>871</v>
      </c>
    </row>
    <row r="366" spans="1:13" s="114" customFormat="1">
      <c r="B366" s="513" t="s">
        <v>523</v>
      </c>
      <c r="C366" s="30" t="s">
        <v>329</v>
      </c>
      <c r="D366" s="162">
        <v>1</v>
      </c>
      <c r="E366" s="162"/>
      <c r="F366" s="134">
        <v>20.149999999999999</v>
      </c>
      <c r="G366" s="162"/>
      <c r="H366" s="134"/>
      <c r="I366" s="134"/>
    </row>
    <row r="367" spans="1:13" ht="15.6">
      <c r="B367" s="283" t="s">
        <v>498</v>
      </c>
      <c r="C367" s="30"/>
      <c r="D367" s="130"/>
      <c r="E367" s="130"/>
      <c r="F367" s="313">
        <f>SUM(F359:F366)</f>
        <v>20922.386467236469</v>
      </c>
      <c r="G367" s="165"/>
      <c r="H367" s="313" t="e">
        <f>SUM(H359:H366)</f>
        <v>#REF!</v>
      </c>
      <c r="I367" s="134"/>
    </row>
    <row r="368" spans="1:13" ht="9.75" customHeight="1">
      <c r="B368" s="24"/>
      <c r="C368" s="165"/>
      <c r="D368" s="166"/>
      <c r="E368" s="166"/>
      <c r="F368" s="24"/>
      <c r="G368" s="166"/>
      <c r="H368" s="24"/>
      <c r="I368" s="134"/>
    </row>
    <row r="369" spans="2:13" ht="15.6">
      <c r="B369" s="14" t="s">
        <v>415</v>
      </c>
      <c r="C369" s="3"/>
      <c r="D369" s="6"/>
      <c r="E369" s="6"/>
      <c r="F369" s="6"/>
      <c r="G369" s="6"/>
      <c r="H369" s="3"/>
      <c r="I369" s="4"/>
    </row>
    <row r="370" spans="2:13" ht="180">
      <c r="B370" s="566" t="s">
        <v>526</v>
      </c>
      <c r="C370" s="165" t="s">
        <v>62</v>
      </c>
      <c r="D370" s="166">
        <v>1</v>
      </c>
      <c r="E370" s="166"/>
      <c r="F370" s="109">
        <f>(2431/1.25)/1.2</f>
        <v>1620.6666666666667</v>
      </c>
      <c r="G370" s="166"/>
      <c r="H370" s="109"/>
      <c r="I370" s="171" t="s">
        <v>987</v>
      </c>
      <c r="J370" s="328"/>
      <c r="K370" s="328"/>
      <c r="L370" s="328"/>
      <c r="M370" s="328"/>
    </row>
    <row r="371" spans="2:13">
      <c r="B371" s="542" t="s">
        <v>416</v>
      </c>
      <c r="C371" s="10" t="s">
        <v>4</v>
      </c>
      <c r="D371" s="6">
        <v>425</v>
      </c>
      <c r="E371" s="125">
        <f>E295</f>
        <v>70000</v>
      </c>
      <c r="F371" s="298">
        <f>D371*E371/10^5</f>
        <v>297.5</v>
      </c>
      <c r="G371" s="6"/>
      <c r="H371" s="3"/>
      <c r="I371" s="4"/>
    </row>
    <row r="372" spans="2:13">
      <c r="B372" s="542" t="s">
        <v>524</v>
      </c>
      <c r="C372" s="10" t="s">
        <v>15</v>
      </c>
      <c r="D372" s="6">
        <v>2700</v>
      </c>
      <c r="E372" s="125">
        <f>E296</f>
        <v>1500</v>
      </c>
      <c r="F372" s="298">
        <f>D372*E372/10^5</f>
        <v>40.5</v>
      </c>
      <c r="G372" s="6"/>
      <c r="H372" s="3"/>
      <c r="I372" s="4"/>
    </row>
    <row r="373" spans="2:13" ht="15.6">
      <c r="B373" s="283" t="s">
        <v>497</v>
      </c>
      <c r="C373" s="165"/>
      <c r="D373" s="111"/>
      <c r="E373" s="130"/>
      <c r="F373" s="313">
        <f>SUM(F370:F372)</f>
        <v>1958.6666666666667</v>
      </c>
      <c r="G373" s="165"/>
      <c r="H373" s="313">
        <f>SUM(H371:H372)</f>
        <v>0</v>
      </c>
      <c r="I373" s="183"/>
    </row>
    <row r="374" spans="2:13" ht="9" customHeight="1"/>
    <row r="375" spans="2:13" ht="15.6">
      <c r="B375" s="318" t="s">
        <v>420</v>
      </c>
    </row>
    <row r="376" spans="2:13" ht="15.6">
      <c r="B376" s="318" t="s">
        <v>861</v>
      </c>
    </row>
    <row r="377" spans="2:13" ht="53.25" customHeight="1">
      <c r="B377" s="632" t="s">
        <v>526</v>
      </c>
      <c r="C377" s="651" t="s">
        <v>62</v>
      </c>
      <c r="D377" s="652">
        <v>1</v>
      </c>
      <c r="E377" s="652"/>
      <c r="F377" s="639">
        <f>(7481/1.13)/1.3*0</f>
        <v>0</v>
      </c>
      <c r="G377" s="166"/>
      <c r="H377" s="109"/>
      <c r="I377" s="171" t="s">
        <v>694</v>
      </c>
      <c r="J377" s="328"/>
      <c r="K377" s="328"/>
      <c r="L377" s="328"/>
      <c r="M377" s="328" t="e">
        <f>65000000*#REF!/10^5</f>
        <v>#REF!</v>
      </c>
    </row>
    <row r="378" spans="2:13">
      <c r="B378" s="653" t="s">
        <v>421</v>
      </c>
      <c r="C378" s="653" t="s">
        <v>335</v>
      </c>
      <c r="D378" s="653">
        <f>3880-970</f>
        <v>2910</v>
      </c>
      <c r="E378" s="166" t="e">
        <f>#REF!</f>
        <v>#REF!</v>
      </c>
      <c r="F378" s="24" t="e">
        <f>D378*E378/10^5</f>
        <v>#REF!</v>
      </c>
      <c r="G378" s="166"/>
      <c r="H378" s="24"/>
      <c r="I378" s="134"/>
    </row>
    <row r="379" spans="2:13">
      <c r="B379" s="515" t="s">
        <v>422</v>
      </c>
      <c r="C379" s="514" t="s">
        <v>15</v>
      </c>
      <c r="D379" s="514">
        <v>15000</v>
      </c>
      <c r="E379" s="166" t="e">
        <f>#REF!</f>
        <v>#REF!</v>
      </c>
      <c r="F379" s="298" t="e">
        <f>D379*E379/10^5</f>
        <v>#REF!</v>
      </c>
      <c r="G379" s="166"/>
      <c r="H379" s="24"/>
      <c r="I379" s="134"/>
    </row>
    <row r="380" spans="2:13">
      <c r="B380" s="653" t="s">
        <v>326</v>
      </c>
      <c r="C380" s="653" t="s">
        <v>335</v>
      </c>
      <c r="D380" s="653">
        <f>260-60</f>
        <v>200</v>
      </c>
      <c r="E380" s="166" t="e">
        <f>#REF!</f>
        <v>#REF!</v>
      </c>
      <c r="F380" s="24" t="e">
        <f t="shared" ref="F380:F424" si="6">D380*E380/10^5</f>
        <v>#REF!</v>
      </c>
      <c r="G380" s="166"/>
      <c r="H380" s="24"/>
      <c r="I380" s="134"/>
    </row>
    <row r="381" spans="2:13">
      <c r="B381" s="515" t="s">
        <v>423</v>
      </c>
      <c r="C381" s="296" t="s">
        <v>335</v>
      </c>
      <c r="D381" s="296">
        <v>220</v>
      </c>
      <c r="E381" s="166" t="e">
        <f>#REF!</f>
        <v>#REF!</v>
      </c>
      <c r="F381" s="24" t="e">
        <f t="shared" si="6"/>
        <v>#REF!</v>
      </c>
      <c r="G381" s="166"/>
      <c r="H381" s="24"/>
      <c r="I381" s="134"/>
    </row>
    <row r="382" spans="2:13" ht="30">
      <c r="B382" s="657" t="s">
        <v>424</v>
      </c>
      <c r="C382" s="653" t="s">
        <v>335</v>
      </c>
      <c r="D382" s="653">
        <f>2210-530</f>
        <v>1680</v>
      </c>
      <c r="E382" s="166" t="e">
        <f>#REF!</f>
        <v>#REF!</v>
      </c>
      <c r="F382" s="24" t="e">
        <f t="shared" si="6"/>
        <v>#REF!</v>
      </c>
      <c r="G382" s="166"/>
      <c r="H382" s="24"/>
      <c r="I382" s="134"/>
    </row>
    <row r="383" spans="2:13">
      <c r="B383" s="516" t="s">
        <v>425</v>
      </c>
      <c r="C383" s="296" t="s">
        <v>335</v>
      </c>
      <c r="D383" s="296">
        <v>210</v>
      </c>
      <c r="E383" s="166" t="e">
        <f>#REF!</f>
        <v>#REF!</v>
      </c>
      <c r="F383" s="24" t="e">
        <f t="shared" si="6"/>
        <v>#REF!</v>
      </c>
      <c r="G383" s="166"/>
      <c r="H383" s="24"/>
      <c r="I383" s="134"/>
    </row>
    <row r="384" spans="2:13">
      <c r="B384" s="653" t="s">
        <v>307</v>
      </c>
      <c r="C384" s="653" t="s">
        <v>335</v>
      </c>
      <c r="D384" s="653">
        <f>10-10</f>
        <v>0</v>
      </c>
      <c r="E384" s="166" t="e">
        <f>#REF!</f>
        <v>#REF!</v>
      </c>
      <c r="F384" s="24" t="e">
        <f t="shared" si="6"/>
        <v>#REF!</v>
      </c>
      <c r="G384" s="166"/>
      <c r="H384" s="24"/>
      <c r="I384" s="134"/>
    </row>
    <row r="385" spans="2:9">
      <c r="B385" s="515" t="s">
        <v>308</v>
      </c>
      <c r="C385" s="295" t="s">
        <v>335</v>
      </c>
      <c r="D385" s="296">
        <v>20</v>
      </c>
      <c r="E385" s="166" t="e">
        <f>#REF!</f>
        <v>#REF!</v>
      </c>
      <c r="F385" s="24" t="e">
        <f t="shared" si="6"/>
        <v>#REF!</v>
      </c>
      <c r="G385" s="166"/>
      <c r="H385" s="24"/>
      <c r="I385" s="134"/>
    </row>
    <row r="386" spans="2:9">
      <c r="B386" s="653" t="s">
        <v>74</v>
      </c>
      <c r="C386" s="653" t="s">
        <v>429</v>
      </c>
      <c r="D386" s="653">
        <f>270-70</f>
        <v>200</v>
      </c>
      <c r="E386" s="166" t="e">
        <f>#REF!</f>
        <v>#REF!</v>
      </c>
      <c r="F386" s="24" t="e">
        <f t="shared" si="6"/>
        <v>#REF!</v>
      </c>
      <c r="G386" s="166"/>
      <c r="H386" s="24"/>
      <c r="I386" s="134"/>
    </row>
    <row r="387" spans="2:9">
      <c r="B387" s="648" t="s">
        <v>309</v>
      </c>
      <c r="C387" s="649" t="s">
        <v>58</v>
      </c>
      <c r="D387" s="653">
        <f>100-10</f>
        <v>90</v>
      </c>
      <c r="E387" s="166" t="e">
        <f>#REF!</f>
        <v>#REF!</v>
      </c>
      <c r="F387" s="24" t="e">
        <f t="shared" si="6"/>
        <v>#REF!</v>
      </c>
      <c r="G387" s="166"/>
      <c r="H387" s="24"/>
      <c r="I387" s="134"/>
    </row>
    <row r="388" spans="2:9">
      <c r="B388" s="653" t="s">
        <v>19</v>
      </c>
      <c r="C388" s="653" t="s">
        <v>429</v>
      </c>
      <c r="D388" s="653">
        <f>10-10</f>
        <v>0</v>
      </c>
      <c r="E388" s="166" t="e">
        <f>#REF!</f>
        <v>#REF!</v>
      </c>
      <c r="F388" s="24" t="e">
        <f t="shared" si="6"/>
        <v>#REF!</v>
      </c>
      <c r="G388" s="166"/>
      <c r="H388" s="24"/>
      <c r="I388" s="134"/>
    </row>
    <row r="389" spans="2:9">
      <c r="B389" s="516" t="s">
        <v>430</v>
      </c>
      <c r="C389" s="296" t="s">
        <v>431</v>
      </c>
      <c r="D389" s="296">
        <v>50</v>
      </c>
      <c r="E389" s="166" t="e">
        <f>#REF!</f>
        <v>#REF!</v>
      </c>
      <c r="F389" s="24" t="e">
        <f t="shared" si="6"/>
        <v>#REF!</v>
      </c>
      <c r="G389" s="166"/>
      <c r="H389" s="24"/>
      <c r="I389" s="134"/>
    </row>
    <row r="390" spans="2:9">
      <c r="B390" s="516" t="s">
        <v>310</v>
      </c>
      <c r="C390" s="296" t="s">
        <v>15</v>
      </c>
      <c r="D390" s="296">
        <v>4800</v>
      </c>
      <c r="E390" s="166" t="e">
        <f>#REF!</f>
        <v>#REF!</v>
      </c>
      <c r="F390" s="24" t="e">
        <f t="shared" si="6"/>
        <v>#REF!</v>
      </c>
      <c r="G390" s="166"/>
      <c r="H390" s="24"/>
      <c r="I390" s="134"/>
    </row>
    <row r="391" spans="2:9">
      <c r="B391" s="518" t="s">
        <v>433</v>
      </c>
      <c r="C391" s="149" t="s">
        <v>335</v>
      </c>
      <c r="D391" s="149">
        <v>630</v>
      </c>
      <c r="E391" s="166" t="e">
        <f>#REF!</f>
        <v>#REF!</v>
      </c>
      <c r="F391" s="24" t="e">
        <f t="shared" si="6"/>
        <v>#REF!</v>
      </c>
      <c r="G391" s="166"/>
      <c r="H391" s="24"/>
      <c r="I391" s="134"/>
    </row>
    <row r="392" spans="2:9">
      <c r="B392" s="516" t="s">
        <v>311</v>
      </c>
      <c r="C392" s="296" t="s">
        <v>15</v>
      </c>
      <c r="D392" s="149">
        <v>2520</v>
      </c>
      <c r="E392" s="166" t="e">
        <f>#REF!</f>
        <v>#REF!</v>
      </c>
      <c r="F392" s="24" t="e">
        <f t="shared" si="6"/>
        <v>#REF!</v>
      </c>
      <c r="G392" s="166"/>
      <c r="H392" s="24"/>
      <c r="I392" s="134"/>
    </row>
    <row r="393" spans="2:9">
      <c r="B393" s="516" t="s">
        <v>312</v>
      </c>
      <c r="C393" s="296" t="s">
        <v>15</v>
      </c>
      <c r="D393" s="149">
        <v>2520</v>
      </c>
      <c r="E393" s="166" t="e">
        <f>#REF!</f>
        <v>#REF!</v>
      </c>
      <c r="F393" s="24" t="e">
        <f t="shared" si="6"/>
        <v>#REF!</v>
      </c>
      <c r="G393" s="166"/>
      <c r="H393" s="24"/>
      <c r="I393" s="134"/>
    </row>
    <row r="394" spans="2:9">
      <c r="B394" s="515" t="s">
        <v>434</v>
      </c>
      <c r="C394" s="296" t="s">
        <v>15</v>
      </c>
      <c r="D394" s="149">
        <v>4800</v>
      </c>
      <c r="E394" s="166" t="e">
        <f>#REF!</f>
        <v>#REF!</v>
      </c>
      <c r="F394" s="24" t="e">
        <f t="shared" si="6"/>
        <v>#REF!</v>
      </c>
      <c r="G394" s="166"/>
      <c r="H394" s="24"/>
      <c r="I394" s="134"/>
    </row>
    <row r="395" spans="2:9">
      <c r="B395" s="516" t="s">
        <v>435</v>
      </c>
      <c r="C395" s="296" t="s">
        <v>15</v>
      </c>
      <c r="D395" s="149">
        <v>2520</v>
      </c>
      <c r="E395" s="166" t="e">
        <f>#REF!</f>
        <v>#REF!</v>
      </c>
      <c r="F395" s="24" t="e">
        <f t="shared" si="6"/>
        <v>#REF!</v>
      </c>
      <c r="G395" s="166"/>
      <c r="H395" s="24"/>
      <c r="I395" s="134"/>
    </row>
    <row r="396" spans="2:9">
      <c r="B396" s="516" t="s">
        <v>320</v>
      </c>
      <c r="C396" s="296" t="s">
        <v>15</v>
      </c>
      <c r="D396" s="149">
        <v>7320</v>
      </c>
      <c r="E396" s="166" t="e">
        <f>#REF!</f>
        <v>#REF!</v>
      </c>
      <c r="F396" s="24" t="e">
        <f t="shared" si="6"/>
        <v>#REF!</v>
      </c>
      <c r="G396" s="166"/>
      <c r="H396" s="24"/>
      <c r="I396" s="134"/>
    </row>
    <row r="397" spans="2:9">
      <c r="B397" s="516" t="s">
        <v>304</v>
      </c>
      <c r="C397" s="296" t="s">
        <v>335</v>
      </c>
      <c r="D397" s="149">
        <v>300</v>
      </c>
      <c r="E397" s="166" t="e">
        <f>#REF!</f>
        <v>#REF!</v>
      </c>
      <c r="F397" s="24" t="e">
        <f t="shared" si="6"/>
        <v>#REF!</v>
      </c>
      <c r="G397" s="166"/>
      <c r="H397" s="24"/>
      <c r="I397" s="134"/>
    </row>
    <row r="398" spans="2:9">
      <c r="B398" s="515" t="s">
        <v>313</v>
      </c>
      <c r="C398" s="296" t="s">
        <v>15</v>
      </c>
      <c r="D398" s="149">
        <v>1200</v>
      </c>
      <c r="E398" s="166" t="e">
        <f>#REF!</f>
        <v>#REF!</v>
      </c>
      <c r="F398" s="24" t="e">
        <f t="shared" si="6"/>
        <v>#REF!</v>
      </c>
      <c r="G398" s="166"/>
      <c r="H398" s="24"/>
      <c r="I398" s="134"/>
    </row>
    <row r="399" spans="2:9">
      <c r="B399" s="515" t="s">
        <v>314</v>
      </c>
      <c r="C399" s="514" t="s">
        <v>58</v>
      </c>
      <c r="D399" s="149">
        <v>70</v>
      </c>
      <c r="E399" s="166" t="e">
        <f>#REF!</f>
        <v>#REF!</v>
      </c>
      <c r="F399" s="24" t="e">
        <f t="shared" si="6"/>
        <v>#REF!</v>
      </c>
      <c r="G399" s="166"/>
      <c r="H399" s="24"/>
      <c r="I399" s="134"/>
    </row>
    <row r="400" spans="2:9">
      <c r="B400" s="516" t="s">
        <v>315</v>
      </c>
      <c r="C400" s="296" t="s">
        <v>15</v>
      </c>
      <c r="D400" s="149">
        <v>30</v>
      </c>
      <c r="E400" s="166" t="e">
        <f>#REF!</f>
        <v>#REF!</v>
      </c>
      <c r="F400" s="24" t="e">
        <f t="shared" si="6"/>
        <v>#REF!</v>
      </c>
      <c r="G400" s="166"/>
      <c r="H400" s="24"/>
      <c r="I400" s="134"/>
    </row>
    <row r="401" spans="1:13">
      <c r="B401" s="516" t="s">
        <v>316</v>
      </c>
      <c r="C401" s="296" t="s">
        <v>15</v>
      </c>
      <c r="D401" s="149">
        <v>80</v>
      </c>
      <c r="E401" s="166" t="e">
        <f>#REF!</f>
        <v>#REF!</v>
      </c>
      <c r="F401" s="24" t="e">
        <f t="shared" si="6"/>
        <v>#REF!</v>
      </c>
      <c r="G401" s="166"/>
      <c r="H401" s="24"/>
      <c r="I401" s="134"/>
    </row>
    <row r="402" spans="1:13">
      <c r="B402" s="516" t="s">
        <v>436</v>
      </c>
      <c r="C402" s="296" t="s">
        <v>335</v>
      </c>
      <c r="D402" s="296">
        <v>60</v>
      </c>
      <c r="E402" s="166" t="e">
        <f>#REF!</f>
        <v>#REF!</v>
      </c>
      <c r="F402" s="24" t="e">
        <f t="shared" si="6"/>
        <v>#REF!</v>
      </c>
      <c r="G402" s="166"/>
      <c r="H402" s="24"/>
      <c r="I402" s="134"/>
    </row>
    <row r="403" spans="1:13">
      <c r="B403" s="516" t="s">
        <v>437</v>
      </c>
      <c r="C403" s="296" t="s">
        <v>335</v>
      </c>
      <c r="D403" s="296">
        <v>60</v>
      </c>
      <c r="E403" s="166" t="e">
        <f>#REF!</f>
        <v>#REF!</v>
      </c>
      <c r="F403" s="24" t="e">
        <f t="shared" si="6"/>
        <v>#REF!</v>
      </c>
      <c r="G403" s="166"/>
      <c r="H403" s="24"/>
      <c r="I403" s="134"/>
    </row>
    <row r="404" spans="1:13">
      <c r="B404" s="516" t="s">
        <v>438</v>
      </c>
      <c r="C404" s="296" t="s">
        <v>335</v>
      </c>
      <c r="D404" s="296">
        <v>70</v>
      </c>
      <c r="E404" s="166" t="e">
        <f>#REF!</f>
        <v>#REF!</v>
      </c>
      <c r="F404" s="24" t="e">
        <f t="shared" si="6"/>
        <v>#REF!</v>
      </c>
      <c r="G404" s="166"/>
      <c r="H404" s="24"/>
      <c r="I404" s="134"/>
    </row>
    <row r="405" spans="1:13">
      <c r="B405" s="516" t="s">
        <v>439</v>
      </c>
      <c r="C405" s="296" t="s">
        <v>15</v>
      </c>
      <c r="D405" s="296">
        <v>700</v>
      </c>
      <c r="E405" s="166" t="e">
        <f>#REF!</f>
        <v>#REF!</v>
      </c>
      <c r="F405" s="24" t="e">
        <f t="shared" si="6"/>
        <v>#REF!</v>
      </c>
      <c r="G405" s="166"/>
      <c r="H405" s="24"/>
      <c r="I405" s="134"/>
    </row>
    <row r="406" spans="1:13">
      <c r="B406" s="516" t="s">
        <v>443</v>
      </c>
      <c r="C406" s="296" t="s">
        <v>15</v>
      </c>
      <c r="D406" s="296">
        <v>270</v>
      </c>
      <c r="E406" s="166" t="e">
        <f>#REF!</f>
        <v>#REF!</v>
      </c>
      <c r="F406" s="24" t="e">
        <f t="shared" si="6"/>
        <v>#REF!</v>
      </c>
      <c r="G406" s="166"/>
      <c r="H406" s="24"/>
      <c r="I406" s="134"/>
    </row>
    <row r="407" spans="1:13">
      <c r="B407" s="516" t="s">
        <v>318</v>
      </c>
      <c r="C407" s="296" t="s">
        <v>15</v>
      </c>
      <c r="D407" s="296">
        <v>40</v>
      </c>
      <c r="E407" s="166" t="e">
        <f>#REF!</f>
        <v>#REF!</v>
      </c>
      <c r="F407" s="24" t="e">
        <f t="shared" si="6"/>
        <v>#REF!</v>
      </c>
      <c r="H407" s="137"/>
      <c r="I407" s="519"/>
    </row>
    <row r="408" spans="1:13">
      <c r="B408" s="516" t="s">
        <v>319</v>
      </c>
      <c r="C408" s="296" t="s">
        <v>15</v>
      </c>
      <c r="D408" s="296">
        <v>1200</v>
      </c>
      <c r="E408" s="166" t="e">
        <f>#REF!</f>
        <v>#REF!</v>
      </c>
      <c r="F408" s="24" t="e">
        <f t="shared" si="6"/>
        <v>#REF!</v>
      </c>
      <c r="H408" s="137"/>
      <c r="I408" s="519"/>
    </row>
    <row r="409" spans="1:13" s="173" customFormat="1" ht="18.75" customHeight="1">
      <c r="A409" s="322"/>
      <c r="B409" s="517" t="s">
        <v>862</v>
      </c>
      <c r="C409" s="323" t="s">
        <v>329</v>
      </c>
      <c r="D409" s="4"/>
      <c r="E409" s="4"/>
      <c r="F409" s="308">
        <v>2</v>
      </c>
      <c r="G409" s="113"/>
      <c r="H409" s="113"/>
      <c r="I409" s="113"/>
      <c r="J409" s="320"/>
      <c r="K409" s="320"/>
      <c r="L409" s="320"/>
      <c r="M409" s="321"/>
    </row>
    <row r="410" spans="1:13" s="173" customFormat="1" ht="19.5" customHeight="1">
      <c r="A410" s="582"/>
      <c r="B410" s="674" t="s">
        <v>874</v>
      </c>
      <c r="C410" s="323"/>
      <c r="D410" s="4"/>
      <c r="E410" s="4"/>
      <c r="F410" s="308"/>
      <c r="G410" s="320"/>
      <c r="H410" s="320"/>
      <c r="I410" s="320"/>
      <c r="J410" s="320"/>
      <c r="K410" s="320"/>
      <c r="L410" s="320"/>
      <c r="M410" s="321"/>
    </row>
    <row r="411" spans="1:13" s="173" customFormat="1" ht="22.5" customHeight="1">
      <c r="A411" s="677"/>
      <c r="B411" s="680" t="s">
        <v>421</v>
      </c>
      <c r="C411" s="679" t="s">
        <v>335</v>
      </c>
      <c r="D411" s="679">
        <v>1200</v>
      </c>
      <c r="E411" s="110" t="e">
        <f>E378</f>
        <v>#REF!</v>
      </c>
      <c r="F411" s="24" t="e">
        <f>D411*E411/10^5</f>
        <v>#REF!</v>
      </c>
      <c r="G411" s="320"/>
      <c r="H411" s="320"/>
      <c r="I411" s="675" t="s">
        <v>871</v>
      </c>
      <c r="J411" s="320"/>
      <c r="K411" s="320"/>
      <c r="L411" s="320"/>
      <c r="M411" s="678"/>
    </row>
    <row r="412" spans="1:13" s="173" customFormat="1" ht="22.5" customHeight="1">
      <c r="A412" s="582"/>
      <c r="B412" s="680" t="s">
        <v>326</v>
      </c>
      <c r="C412" s="679" t="s">
        <v>335</v>
      </c>
      <c r="D412" s="679">
        <v>100</v>
      </c>
      <c r="E412" s="166" t="e">
        <f>E380</f>
        <v>#REF!</v>
      </c>
      <c r="F412" s="24" t="e">
        <f t="shared" ref="F412:F423" si="7">D412*E412/10^5</f>
        <v>#REF!</v>
      </c>
      <c r="G412" s="320"/>
      <c r="H412" s="320"/>
      <c r="I412" s="320"/>
      <c r="J412" s="320"/>
      <c r="K412" s="320"/>
      <c r="L412" s="320"/>
      <c r="M412" s="321"/>
    </row>
    <row r="413" spans="1:13" s="173" customFormat="1" ht="22.5" customHeight="1">
      <c r="A413" s="582"/>
      <c r="B413" s="681" t="s">
        <v>875</v>
      </c>
      <c r="C413" s="679" t="s">
        <v>335</v>
      </c>
      <c r="D413" s="679">
        <v>750</v>
      </c>
      <c r="E413" s="166" t="e">
        <f>E382</f>
        <v>#REF!</v>
      </c>
      <c r="F413" s="24" t="e">
        <f t="shared" si="7"/>
        <v>#REF!</v>
      </c>
      <c r="G413" s="320"/>
      <c r="H413" s="320"/>
      <c r="I413" s="320"/>
      <c r="J413" s="320"/>
      <c r="K413" s="320"/>
      <c r="L413" s="320"/>
      <c r="M413" s="321"/>
    </row>
    <row r="414" spans="1:13" s="173" customFormat="1" ht="22.5" customHeight="1">
      <c r="A414" s="582"/>
      <c r="B414" s="681" t="s">
        <v>74</v>
      </c>
      <c r="C414" s="679" t="s">
        <v>429</v>
      </c>
      <c r="D414" s="679">
        <v>90</v>
      </c>
      <c r="E414" s="166" t="e">
        <f>E386</f>
        <v>#REF!</v>
      </c>
      <c r="F414" s="24" t="e">
        <f t="shared" si="7"/>
        <v>#REF!</v>
      </c>
      <c r="G414" s="320"/>
      <c r="H414" s="320"/>
      <c r="I414" s="320"/>
      <c r="J414" s="320"/>
      <c r="K414" s="320"/>
      <c r="L414" s="320"/>
      <c r="M414" s="321"/>
    </row>
    <row r="415" spans="1:13" s="173" customFormat="1" ht="22.5" customHeight="1">
      <c r="A415" s="582"/>
      <c r="B415" s="681" t="s">
        <v>433</v>
      </c>
      <c r="C415" s="679" t="s">
        <v>335</v>
      </c>
      <c r="D415" s="679">
        <v>520</v>
      </c>
      <c r="E415" s="166" t="e">
        <f>E391</f>
        <v>#REF!</v>
      </c>
      <c r="F415" s="24" t="e">
        <f t="shared" si="7"/>
        <v>#REF!</v>
      </c>
      <c r="G415" s="320"/>
      <c r="H415" s="320"/>
      <c r="I415" s="320"/>
      <c r="J415" s="320"/>
      <c r="K415" s="320"/>
      <c r="L415" s="320"/>
      <c r="M415" s="321"/>
    </row>
    <row r="416" spans="1:13" s="173" customFormat="1" ht="22.5" customHeight="1">
      <c r="A416" s="582"/>
      <c r="B416" s="681" t="s">
        <v>311</v>
      </c>
      <c r="C416" s="679" t="s">
        <v>15</v>
      </c>
      <c r="D416" s="679">
        <v>2000</v>
      </c>
      <c r="E416" s="166" t="e">
        <f>E392</f>
        <v>#REF!</v>
      </c>
      <c r="F416" s="24" t="e">
        <f t="shared" si="7"/>
        <v>#REF!</v>
      </c>
      <c r="G416" s="320"/>
      <c r="H416" s="320"/>
      <c r="I416" s="320"/>
      <c r="J416" s="320"/>
      <c r="K416" s="320"/>
      <c r="L416" s="320"/>
      <c r="M416" s="321"/>
    </row>
    <row r="417" spans="1:13" s="173" customFormat="1" ht="22.5" customHeight="1">
      <c r="A417" s="582"/>
      <c r="B417" s="681" t="s">
        <v>312</v>
      </c>
      <c r="C417" s="679" t="s">
        <v>15</v>
      </c>
      <c r="D417" s="679">
        <v>2000</v>
      </c>
      <c r="E417" s="166" t="e">
        <f>E393</f>
        <v>#REF!</v>
      </c>
      <c r="F417" s="24" t="e">
        <f t="shared" si="7"/>
        <v>#REF!</v>
      </c>
      <c r="G417" s="320"/>
      <c r="H417" s="320"/>
      <c r="I417" s="320"/>
      <c r="J417" s="320"/>
      <c r="K417" s="320"/>
      <c r="L417" s="320"/>
      <c r="M417" s="321"/>
    </row>
    <row r="418" spans="1:13" s="173" customFormat="1" ht="22.5" customHeight="1">
      <c r="A418" s="582"/>
      <c r="B418" s="681" t="s">
        <v>434</v>
      </c>
      <c r="C418" s="679" t="s">
        <v>15</v>
      </c>
      <c r="D418" s="679">
        <v>1200</v>
      </c>
      <c r="E418" s="166" t="e">
        <f>E394</f>
        <v>#REF!</v>
      </c>
      <c r="F418" s="24" t="e">
        <f t="shared" si="7"/>
        <v>#REF!</v>
      </c>
      <c r="G418" s="320"/>
      <c r="H418" s="320"/>
      <c r="I418" s="320"/>
      <c r="J418" s="320"/>
      <c r="K418" s="320"/>
      <c r="L418" s="320"/>
      <c r="M418" s="321"/>
    </row>
    <row r="419" spans="1:13" s="173" customFormat="1" ht="22.5" customHeight="1">
      <c r="A419" s="582"/>
      <c r="B419" s="681" t="s">
        <v>435</v>
      </c>
      <c r="C419" s="679" t="s">
        <v>15</v>
      </c>
      <c r="D419" s="679">
        <v>2000</v>
      </c>
      <c r="E419" s="166" t="e">
        <f>E395</f>
        <v>#REF!</v>
      </c>
      <c r="F419" s="24" t="e">
        <f t="shared" si="7"/>
        <v>#REF!</v>
      </c>
      <c r="G419" s="320"/>
      <c r="H419" s="320"/>
      <c r="I419" s="320"/>
      <c r="J419" s="320"/>
      <c r="K419" s="320"/>
      <c r="L419" s="320"/>
      <c r="M419" s="321"/>
    </row>
    <row r="420" spans="1:13" s="173" customFormat="1" ht="22.5" customHeight="1">
      <c r="A420" s="582"/>
      <c r="B420" s="681" t="s">
        <v>876</v>
      </c>
      <c r="C420" s="679" t="s">
        <v>15</v>
      </c>
      <c r="D420" s="679">
        <v>2000</v>
      </c>
      <c r="E420" s="166">
        <v>200</v>
      </c>
      <c r="F420" s="24">
        <f t="shared" si="7"/>
        <v>4</v>
      </c>
      <c r="G420" s="320"/>
      <c r="H420" s="320"/>
      <c r="I420" s="320"/>
      <c r="J420" s="320"/>
      <c r="K420" s="320"/>
      <c r="L420" s="320"/>
      <c r="M420" s="321"/>
    </row>
    <row r="421" spans="1:13" s="173" customFormat="1" ht="22.5" customHeight="1">
      <c r="A421" s="582"/>
      <c r="B421" s="681" t="s">
        <v>877</v>
      </c>
      <c r="C421" s="682" t="s">
        <v>15</v>
      </c>
      <c r="D421" s="681">
        <v>150</v>
      </c>
      <c r="E421" s="166" t="e">
        <f>#REF!</f>
        <v>#REF!</v>
      </c>
      <c r="F421" s="24" t="e">
        <f t="shared" si="7"/>
        <v>#REF!</v>
      </c>
      <c r="G421" s="320"/>
      <c r="H421" s="320"/>
      <c r="I421" s="320"/>
      <c r="J421" s="320"/>
      <c r="K421" s="320"/>
      <c r="L421" s="320"/>
      <c r="M421" s="321"/>
    </row>
    <row r="422" spans="1:13" s="173" customFormat="1" ht="22.5" customHeight="1">
      <c r="A422" s="582"/>
      <c r="B422" s="681" t="s">
        <v>313</v>
      </c>
      <c r="C422" s="682" t="s">
        <v>15</v>
      </c>
      <c r="D422" s="681">
        <v>650</v>
      </c>
      <c r="E422" s="166" t="e">
        <f>E398</f>
        <v>#REF!</v>
      </c>
      <c r="F422" s="24" t="e">
        <f t="shared" si="7"/>
        <v>#REF!</v>
      </c>
      <c r="G422" s="320"/>
      <c r="H422" s="320"/>
      <c r="I422" s="320"/>
      <c r="J422" s="320"/>
      <c r="K422" s="320"/>
      <c r="L422" s="320"/>
      <c r="M422" s="321"/>
    </row>
    <row r="423" spans="1:13" s="173" customFormat="1" ht="22.5" customHeight="1">
      <c r="A423" s="582"/>
      <c r="B423" s="681" t="s">
        <v>319</v>
      </c>
      <c r="C423" s="682" t="s">
        <v>15</v>
      </c>
      <c r="D423" s="681">
        <v>100</v>
      </c>
      <c r="E423" s="166" t="e">
        <f>E408</f>
        <v>#REF!</v>
      </c>
      <c r="F423" s="24" t="e">
        <f t="shared" si="7"/>
        <v>#REF!</v>
      </c>
      <c r="G423" s="320"/>
      <c r="H423" s="320"/>
      <c r="I423" s="320"/>
      <c r="J423" s="320"/>
      <c r="K423" s="320"/>
      <c r="L423" s="320"/>
      <c r="M423" s="321"/>
    </row>
    <row r="424" spans="1:13" s="117" customFormat="1" hidden="1">
      <c r="B424" s="564" t="s">
        <v>744</v>
      </c>
      <c r="C424" s="564" t="s">
        <v>18</v>
      </c>
      <c r="D424" s="565">
        <f>1*0</f>
        <v>0</v>
      </c>
      <c r="E424" s="577">
        <v>300000</v>
      </c>
      <c r="F424" s="563">
        <f t="shared" si="6"/>
        <v>0</v>
      </c>
      <c r="G424" s="585"/>
      <c r="H424" s="120"/>
      <c r="I424" s="120"/>
    </row>
    <row r="425" spans="1:13" ht="15.6">
      <c r="B425" s="313" t="s">
        <v>860</v>
      </c>
      <c r="C425" s="165"/>
      <c r="D425" s="165"/>
      <c r="E425" s="165"/>
      <c r="F425" s="313" t="e">
        <f>SUM(F377:F424)</f>
        <v>#REF!</v>
      </c>
    </row>
    <row r="426" spans="1:13" s="114" customFormat="1" ht="9.75" customHeight="1">
      <c r="B426" s="327"/>
      <c r="C426" s="30"/>
      <c r="D426" s="30"/>
      <c r="E426" s="30"/>
      <c r="F426" s="327"/>
      <c r="G426" s="167"/>
      <c r="H426" s="138"/>
      <c r="I426" s="138"/>
    </row>
    <row r="427" spans="1:13" s="126" customFormat="1" ht="15.6">
      <c r="A427" s="317"/>
      <c r="B427" s="318" t="s">
        <v>858</v>
      </c>
      <c r="C427" s="319"/>
      <c r="D427" s="6"/>
      <c r="E427" s="291"/>
      <c r="F427" s="290"/>
      <c r="G427" s="290"/>
      <c r="H427" s="290"/>
      <c r="I427" s="290"/>
      <c r="J427" s="290"/>
      <c r="K427" s="290"/>
      <c r="L427" s="290"/>
      <c r="M427" s="290"/>
    </row>
    <row r="428" spans="1:13" ht="183" customHeight="1">
      <c r="B428" s="632" t="s">
        <v>526</v>
      </c>
      <c r="C428" s="651" t="s">
        <v>62</v>
      </c>
      <c r="D428" s="652">
        <v>1</v>
      </c>
      <c r="E428" s="162"/>
      <c r="F428" s="658">
        <f>(7481/1.13)/1.2</f>
        <v>5516.9616519174051</v>
      </c>
      <c r="G428" s="166"/>
      <c r="H428" s="109"/>
      <c r="I428" s="171" t="s">
        <v>987</v>
      </c>
      <c r="J428" s="328"/>
      <c r="K428" s="328"/>
      <c r="L428" s="328"/>
      <c r="M428" s="328" t="e">
        <f>65000000*#REF!/10^5</f>
        <v>#REF!</v>
      </c>
    </row>
    <row r="429" spans="1:13">
      <c r="B429" s="653" t="s">
        <v>421</v>
      </c>
      <c r="C429" s="653" t="s">
        <v>335</v>
      </c>
      <c r="D429" s="653">
        <f>970</f>
        <v>970</v>
      </c>
      <c r="E429" s="166" t="e">
        <f>E411</f>
        <v>#REF!</v>
      </c>
      <c r="F429" s="659" t="e">
        <f>D429*E429/10^5</f>
        <v>#REF!</v>
      </c>
      <c r="G429" s="166"/>
      <c r="H429" s="24"/>
      <c r="I429" s="134"/>
    </row>
    <row r="430" spans="1:13">
      <c r="B430" s="653" t="s">
        <v>326</v>
      </c>
      <c r="C430" s="653" t="s">
        <v>335</v>
      </c>
      <c r="D430" s="653">
        <f>60</f>
        <v>60</v>
      </c>
      <c r="E430" s="166" t="e">
        <f>E412</f>
        <v>#REF!</v>
      </c>
      <c r="F430" s="659" t="e">
        <f t="shared" ref="F430:F435" si="8">D430*E430/10^5</f>
        <v>#REF!</v>
      </c>
      <c r="G430" s="166"/>
      <c r="H430" s="24"/>
      <c r="I430" s="134"/>
    </row>
    <row r="431" spans="1:13" s="19" customFormat="1" ht="30">
      <c r="B431" s="655" t="s">
        <v>424</v>
      </c>
      <c r="C431" s="656" t="s">
        <v>335</v>
      </c>
      <c r="D431" s="656">
        <f>530</f>
        <v>530</v>
      </c>
      <c r="E431" s="166" t="e">
        <f>E413</f>
        <v>#REF!</v>
      </c>
      <c r="F431" s="659" t="e">
        <f t="shared" si="8"/>
        <v>#REF!</v>
      </c>
      <c r="G431" s="166"/>
      <c r="H431" s="24"/>
      <c r="I431" s="134"/>
    </row>
    <row r="432" spans="1:13">
      <c r="B432" s="653" t="s">
        <v>307</v>
      </c>
      <c r="C432" s="653" t="s">
        <v>335</v>
      </c>
      <c r="D432" s="653">
        <f>10</f>
        <v>10</v>
      </c>
      <c r="E432" s="166" t="e">
        <f>E384</f>
        <v>#REF!</v>
      </c>
      <c r="F432" s="659" t="e">
        <f t="shared" si="8"/>
        <v>#REF!</v>
      </c>
      <c r="G432" s="166"/>
      <c r="H432" s="24"/>
      <c r="I432" s="134"/>
    </row>
    <row r="433" spans="1:13">
      <c r="B433" s="653" t="s">
        <v>74</v>
      </c>
      <c r="C433" s="653" t="s">
        <v>429</v>
      </c>
      <c r="D433" s="653">
        <f>70</f>
        <v>70</v>
      </c>
      <c r="E433" s="166" t="e">
        <f>E414</f>
        <v>#REF!</v>
      </c>
      <c r="F433" s="659" t="e">
        <f t="shared" si="8"/>
        <v>#REF!</v>
      </c>
      <c r="G433" s="166"/>
      <c r="H433" s="24"/>
      <c r="I433" s="134"/>
    </row>
    <row r="434" spans="1:13">
      <c r="B434" s="648" t="s">
        <v>309</v>
      </c>
      <c r="C434" s="649" t="s">
        <v>58</v>
      </c>
      <c r="D434" s="653">
        <f>10</f>
        <v>10</v>
      </c>
      <c r="E434" s="166" t="e">
        <f>E387</f>
        <v>#REF!</v>
      </c>
      <c r="F434" s="659" t="e">
        <f t="shared" si="8"/>
        <v>#REF!</v>
      </c>
      <c r="G434" s="166"/>
      <c r="H434" s="24"/>
      <c r="I434" s="134"/>
    </row>
    <row r="435" spans="1:13">
      <c r="B435" s="653" t="s">
        <v>19</v>
      </c>
      <c r="C435" s="653" t="s">
        <v>429</v>
      </c>
      <c r="D435" s="653">
        <f>10</f>
        <v>10</v>
      </c>
      <c r="E435" s="166" t="e">
        <f>E388</f>
        <v>#REF!</v>
      </c>
      <c r="F435" s="659" t="e">
        <f t="shared" si="8"/>
        <v>#REF!</v>
      </c>
      <c r="G435" s="166"/>
      <c r="H435" s="24"/>
      <c r="I435" s="134"/>
    </row>
    <row r="436" spans="1:13" ht="15.6">
      <c r="A436" s="201"/>
      <c r="B436" s="313" t="s">
        <v>859</v>
      </c>
      <c r="C436" s="165"/>
      <c r="D436" s="179"/>
      <c r="E436" s="165"/>
      <c r="F436" s="313" t="e">
        <f>SUM(F428:F435)</f>
        <v>#REF!</v>
      </c>
      <c r="G436" s="165"/>
      <c r="H436" s="165"/>
      <c r="I436" s="183"/>
      <c r="K436" s="385"/>
    </row>
    <row r="437" spans="1:13" s="114" customFormat="1" ht="15.6">
      <c r="B437" s="327"/>
      <c r="C437" s="30"/>
      <c r="D437" s="30"/>
      <c r="E437" s="30"/>
      <c r="F437" s="327"/>
      <c r="G437" s="167"/>
      <c r="H437" s="138"/>
      <c r="I437" s="138"/>
    </row>
    <row r="438" spans="1:13" s="114" customFormat="1" ht="15.6">
      <c r="A438" s="311"/>
      <c r="B438" s="579" t="s">
        <v>698</v>
      </c>
      <c r="C438" s="165" t="s">
        <v>495</v>
      </c>
      <c r="D438" s="3">
        <f>48*25</f>
        <v>1200</v>
      </c>
      <c r="E438" s="30"/>
      <c r="F438" s="30"/>
      <c r="G438" s="146" t="e">
        <f>G355</f>
        <v>#REF!</v>
      </c>
      <c r="H438" s="313" t="e">
        <f>D438*G438/10^5</f>
        <v>#REF!</v>
      </c>
      <c r="I438" s="183"/>
    </row>
    <row r="439" spans="1:13" s="114" customFormat="1" ht="15.6">
      <c r="A439" s="311"/>
      <c r="B439" s="579" t="s">
        <v>697</v>
      </c>
      <c r="C439" s="165" t="s">
        <v>495</v>
      </c>
      <c r="D439" s="3">
        <v>100</v>
      </c>
      <c r="E439" s="30"/>
      <c r="F439" s="30"/>
      <c r="G439" s="146" t="e">
        <f>G356</f>
        <v>#REF!</v>
      </c>
      <c r="H439" s="313" t="e">
        <f>D439*G439/10^5</f>
        <v>#REF!</v>
      </c>
      <c r="I439" s="183"/>
    </row>
    <row r="440" spans="1:13" ht="10.5" customHeight="1"/>
    <row r="441" spans="1:13" ht="15.6">
      <c r="A441" s="315">
        <v>5</v>
      </c>
      <c r="B441" s="202" t="s">
        <v>535</v>
      </c>
      <c r="C441" s="203"/>
      <c r="D441" s="204"/>
      <c r="E441" s="203"/>
      <c r="F441" s="203"/>
      <c r="G441" s="203"/>
      <c r="H441" s="203"/>
      <c r="I441" s="332"/>
      <c r="M441" s="144"/>
    </row>
    <row r="442" spans="1:13" s="150" customFormat="1" ht="82.5" customHeight="1">
      <c r="A442" s="333"/>
      <c r="B442" s="520" t="s">
        <v>674</v>
      </c>
      <c r="C442" s="333" t="s">
        <v>16</v>
      </c>
      <c r="D442" s="333">
        <v>2</v>
      </c>
      <c r="E442" s="369">
        <f>100*10^5/1.05/1.12</f>
        <v>8503401.3605442178</v>
      </c>
      <c r="F442" s="344">
        <f t="shared" ref="F442:F451" si="9">D442*E442/10^5</f>
        <v>170.06802721088437</v>
      </c>
      <c r="G442" s="149"/>
      <c r="H442" s="149"/>
      <c r="I442" s="370" t="s">
        <v>551</v>
      </c>
      <c r="J442" s="368"/>
    </row>
    <row r="443" spans="1:13" s="150" customFormat="1" ht="67.5" customHeight="1">
      <c r="A443" s="333"/>
      <c r="B443" s="521" t="s">
        <v>539</v>
      </c>
      <c r="C443" s="333" t="s">
        <v>16</v>
      </c>
      <c r="D443" s="371">
        <v>4</v>
      </c>
      <c r="E443" s="369">
        <f>25*10^5/1.05</f>
        <v>2380952.3809523811</v>
      </c>
      <c r="F443" s="344">
        <f t="shared" si="9"/>
        <v>95.238095238095241</v>
      </c>
      <c r="G443" s="149"/>
      <c r="H443" s="149"/>
      <c r="I443" s="370" t="s">
        <v>552</v>
      </c>
    </row>
    <row r="444" spans="1:13" s="150" customFormat="1" ht="21" customHeight="1">
      <c r="A444" s="333"/>
      <c r="B444" s="522" t="s">
        <v>745</v>
      </c>
      <c r="C444" s="333" t="s">
        <v>16</v>
      </c>
      <c r="D444" s="333">
        <v>4</v>
      </c>
      <c r="E444" s="334">
        <f>6*10^5</f>
        <v>600000</v>
      </c>
      <c r="F444" s="344">
        <f t="shared" si="9"/>
        <v>24</v>
      </c>
      <c r="G444" s="334"/>
      <c r="H444" s="350"/>
      <c r="I444" s="149"/>
    </row>
    <row r="445" spans="1:13" s="150" customFormat="1" ht="21.75" customHeight="1">
      <c r="A445" s="333"/>
      <c r="B445" s="522" t="s">
        <v>536</v>
      </c>
      <c r="C445" s="333" t="s">
        <v>16</v>
      </c>
      <c r="D445" s="333">
        <v>22</v>
      </c>
      <c r="E445" s="334">
        <f>0.5*10^5</f>
        <v>50000</v>
      </c>
      <c r="F445" s="344">
        <f t="shared" si="9"/>
        <v>11</v>
      </c>
      <c r="G445" s="346"/>
      <c r="H445" s="350"/>
      <c r="I445" s="149"/>
    </row>
    <row r="446" spans="1:13" s="150" customFormat="1" ht="21" customHeight="1">
      <c r="A446" s="333"/>
      <c r="B446" s="522" t="s">
        <v>537</v>
      </c>
      <c r="C446" s="333" t="s">
        <v>16</v>
      </c>
      <c r="D446" s="333">
        <v>8</v>
      </c>
      <c r="E446" s="334">
        <f>0.75*10^5</f>
        <v>75000</v>
      </c>
      <c r="F446" s="344">
        <f t="shared" si="9"/>
        <v>6</v>
      </c>
      <c r="G446" s="334"/>
      <c r="H446" s="350"/>
      <c r="I446" s="149"/>
    </row>
    <row r="447" spans="1:13" s="42" customFormat="1" ht="15.6">
      <c r="A447" s="333"/>
      <c r="B447" s="523" t="s">
        <v>746</v>
      </c>
      <c r="C447" s="333" t="s">
        <v>16</v>
      </c>
      <c r="D447" s="336">
        <v>4</v>
      </c>
      <c r="E447" s="337">
        <f>6*10^5</f>
        <v>600000</v>
      </c>
      <c r="F447" s="344">
        <f t="shared" si="9"/>
        <v>24</v>
      </c>
      <c r="G447" s="338"/>
      <c r="H447" s="351"/>
      <c r="I447" s="296"/>
    </row>
    <row r="448" spans="1:13" s="42" customFormat="1" ht="15.6">
      <c r="A448" s="333"/>
      <c r="B448" s="524" t="s">
        <v>538</v>
      </c>
      <c r="C448" s="333" t="s">
        <v>16</v>
      </c>
      <c r="D448" s="336">
        <v>4</v>
      </c>
      <c r="E448" s="337">
        <f>2.5*10^5</f>
        <v>250000</v>
      </c>
      <c r="F448" s="344">
        <f t="shared" si="9"/>
        <v>10</v>
      </c>
      <c r="G448" s="335"/>
      <c r="H448" s="351"/>
      <c r="I448" s="296"/>
    </row>
    <row r="449" spans="1:10" s="42" customFormat="1" ht="15.6">
      <c r="A449" s="333"/>
      <c r="B449" s="524" t="s">
        <v>540</v>
      </c>
      <c r="C449" s="333" t="s">
        <v>16</v>
      </c>
      <c r="D449" s="336">
        <v>4</v>
      </c>
      <c r="E449" s="337">
        <f>2.5*10^5</f>
        <v>250000</v>
      </c>
      <c r="F449" s="344">
        <f t="shared" si="9"/>
        <v>10</v>
      </c>
      <c r="G449" s="335"/>
      <c r="H449" s="351"/>
      <c r="I449" s="296"/>
    </row>
    <row r="450" spans="1:10" s="42" customFormat="1" ht="15.6">
      <c r="A450" s="333"/>
      <c r="B450" s="524" t="s">
        <v>541</v>
      </c>
      <c r="C450" s="333" t="s">
        <v>16</v>
      </c>
      <c r="D450" s="339">
        <v>8</v>
      </c>
      <c r="E450" s="337">
        <f>1.5*10^5</f>
        <v>150000</v>
      </c>
      <c r="F450" s="344">
        <f t="shared" si="9"/>
        <v>12</v>
      </c>
      <c r="G450" s="335"/>
      <c r="H450" s="351"/>
      <c r="I450" s="296"/>
    </row>
    <row r="451" spans="1:10" s="42" customFormat="1" ht="15.6">
      <c r="A451" s="333"/>
      <c r="B451" s="524" t="s">
        <v>542</v>
      </c>
      <c r="C451" s="333" t="s">
        <v>16</v>
      </c>
      <c r="D451" s="339">
        <v>2</v>
      </c>
      <c r="E451" s="337">
        <f>5*10^5</f>
        <v>500000</v>
      </c>
      <c r="F451" s="344">
        <f t="shared" si="9"/>
        <v>10</v>
      </c>
      <c r="G451" s="335"/>
      <c r="H451" s="351"/>
      <c r="I451" s="296"/>
    </row>
    <row r="452" spans="1:10" s="42" customFormat="1" ht="15.6">
      <c r="A452" s="347"/>
      <c r="B452" s="524" t="s">
        <v>543</v>
      </c>
      <c r="C452" s="333" t="s">
        <v>62</v>
      </c>
      <c r="D452" s="339">
        <v>1</v>
      </c>
      <c r="E452" s="337"/>
      <c r="F452" s="345">
        <v>50</v>
      </c>
      <c r="G452" s="335"/>
      <c r="H452" s="351"/>
      <c r="I452" s="296"/>
    </row>
    <row r="453" spans="1:10" s="42" customFormat="1" ht="31.2">
      <c r="A453" s="525"/>
      <c r="B453" s="524" t="s">
        <v>747</v>
      </c>
      <c r="C453" s="333" t="s">
        <v>62</v>
      </c>
      <c r="D453" s="371">
        <v>1</v>
      </c>
      <c r="E453" s="337"/>
      <c r="F453" s="345">
        <v>2500</v>
      </c>
      <c r="G453" s="335"/>
      <c r="H453" s="351"/>
      <c r="I453" s="296"/>
    </row>
    <row r="454" spans="1:10" s="42" customFormat="1" ht="15.6">
      <c r="B454" s="526" t="s">
        <v>748</v>
      </c>
      <c r="C454" s="340" t="s">
        <v>4</v>
      </c>
      <c r="D454" s="341">
        <v>800</v>
      </c>
      <c r="E454" s="348">
        <v>95000</v>
      </c>
      <c r="F454" s="344">
        <f>D454*E454/10^5</f>
        <v>760</v>
      </c>
      <c r="G454" s="296"/>
      <c r="H454" s="351"/>
      <c r="I454" s="296"/>
    </row>
    <row r="455" spans="1:10" ht="30">
      <c r="A455" s="201"/>
      <c r="B455" s="632" t="s">
        <v>847</v>
      </c>
      <c r="C455" s="556" t="s">
        <v>18</v>
      </c>
      <c r="D455" s="567">
        <v>1</v>
      </c>
      <c r="E455" s="165"/>
      <c r="F455" s="634">
        <v>30</v>
      </c>
      <c r="G455" s="165"/>
      <c r="H455" s="165"/>
      <c r="I455" s="1712" t="s">
        <v>839</v>
      </c>
    </row>
    <row r="456" spans="1:10" ht="15.6">
      <c r="A456" s="635"/>
      <c r="B456" s="632" t="s">
        <v>848</v>
      </c>
      <c r="C456" s="556" t="s">
        <v>18</v>
      </c>
      <c r="D456" s="567">
        <v>1</v>
      </c>
      <c r="E456" s="165"/>
      <c r="F456" s="634">
        <v>5</v>
      </c>
      <c r="G456" s="165"/>
      <c r="H456" s="638"/>
      <c r="I456" s="1713"/>
    </row>
    <row r="457" spans="1:10" ht="15.6">
      <c r="A457" s="635"/>
      <c r="B457" s="632" t="s">
        <v>852</v>
      </c>
      <c r="C457" s="556" t="s">
        <v>18</v>
      </c>
      <c r="D457" s="567">
        <v>1</v>
      </c>
      <c r="E457" s="165"/>
      <c r="F457" s="634">
        <v>16</v>
      </c>
      <c r="G457" s="165"/>
      <c r="H457" s="638"/>
      <c r="I457" s="1714"/>
    </row>
    <row r="458" spans="1:10" ht="30.75" customHeight="1">
      <c r="A458" s="201"/>
      <c r="B458" s="672" t="s">
        <v>869</v>
      </c>
      <c r="C458" s="556" t="s">
        <v>50</v>
      </c>
      <c r="D458" s="539">
        <v>1</v>
      </c>
      <c r="E458" s="111"/>
      <c r="F458" s="673">
        <v>50</v>
      </c>
      <c r="G458" s="165"/>
      <c r="H458" s="165"/>
      <c r="I458" s="674" t="s">
        <v>870</v>
      </c>
      <c r="J458" s="19"/>
    </row>
    <row r="459" spans="1:10" s="114" customFormat="1" ht="45">
      <c r="B459" s="513" t="s">
        <v>522</v>
      </c>
      <c r="C459" s="30" t="s">
        <v>329</v>
      </c>
      <c r="D459" s="162">
        <v>1</v>
      </c>
      <c r="E459" s="162"/>
      <c r="F459" s="1072">
        <v>615</v>
      </c>
      <c r="G459" s="162"/>
      <c r="H459" s="352"/>
      <c r="I459" s="777" t="s">
        <v>984</v>
      </c>
    </row>
    <row r="460" spans="1:10" ht="15.6">
      <c r="B460" s="283" t="s">
        <v>498</v>
      </c>
      <c r="C460" s="30"/>
      <c r="D460" s="130"/>
      <c r="E460" s="130"/>
      <c r="F460" s="313">
        <f>SUM(F442:F459)</f>
        <v>4398.3061224489793</v>
      </c>
      <c r="G460" s="165"/>
      <c r="H460" s="353">
        <f>SUM(H442:H459)</f>
        <v>0</v>
      </c>
      <c r="I460" s="134"/>
    </row>
    <row r="461" spans="1:10" s="42" customFormat="1" ht="9.75" customHeight="1">
      <c r="I461" s="296"/>
    </row>
    <row r="462" spans="1:10" ht="15.6">
      <c r="B462" s="14" t="s">
        <v>415</v>
      </c>
      <c r="C462" s="3"/>
      <c r="D462" s="6"/>
      <c r="E462" s="6"/>
      <c r="F462" s="6"/>
      <c r="G462" s="6"/>
      <c r="H462" s="13"/>
      <c r="I462" s="4"/>
    </row>
    <row r="463" spans="1:10">
      <c r="B463" s="542" t="s">
        <v>416</v>
      </c>
      <c r="C463" s="10" t="s">
        <v>4</v>
      </c>
      <c r="D463" s="6">
        <v>600</v>
      </c>
      <c r="E463" s="125">
        <f>E371</f>
        <v>70000</v>
      </c>
      <c r="F463" s="298">
        <f>D463*E463/10^5</f>
        <v>420</v>
      </c>
      <c r="G463" s="6"/>
      <c r="H463" s="13"/>
      <c r="I463" s="4"/>
    </row>
    <row r="464" spans="1:10">
      <c r="B464" s="542" t="s">
        <v>524</v>
      </c>
      <c r="C464" s="10" t="s">
        <v>15</v>
      </c>
      <c r="D464" s="6">
        <v>3500</v>
      </c>
      <c r="E464" s="125">
        <f>E372</f>
        <v>1500</v>
      </c>
      <c r="F464" s="298">
        <f>D464*E464/10^5</f>
        <v>52.5</v>
      </c>
      <c r="G464" s="6"/>
      <c r="H464" s="13"/>
      <c r="I464" s="4"/>
    </row>
    <row r="465" spans="1:10" ht="15.6">
      <c r="B465" s="283" t="s">
        <v>497</v>
      </c>
      <c r="C465" s="165"/>
      <c r="D465" s="111"/>
      <c r="E465" s="130"/>
      <c r="F465" s="313">
        <f>SUM(F463:F464)</f>
        <v>472.5</v>
      </c>
      <c r="G465" s="165"/>
      <c r="H465" s="353">
        <f>SUM(H463:H464)</f>
        <v>0</v>
      </c>
      <c r="I465" s="183"/>
    </row>
    <row r="466" spans="1:10" s="42" customFormat="1" ht="9.75" customHeight="1"/>
    <row r="467" spans="1:10" ht="15.6">
      <c r="B467" s="318" t="s">
        <v>420</v>
      </c>
      <c r="J467" s="17" t="s">
        <v>502</v>
      </c>
    </row>
    <row r="468" spans="1:10" ht="15.6">
      <c r="B468" s="318" t="s">
        <v>861</v>
      </c>
    </row>
    <row r="469" spans="1:10" s="42" customFormat="1">
      <c r="A469" s="342"/>
      <c r="B469" s="660" t="s">
        <v>421</v>
      </c>
      <c r="C469" s="661" t="s">
        <v>335</v>
      </c>
      <c r="D469" s="662">
        <v>13830</v>
      </c>
      <c r="E469" s="348" t="e">
        <f>#REF!</f>
        <v>#REF!</v>
      </c>
      <c r="F469" s="298" t="e">
        <f t="shared" ref="F469:F501" si="10">D469*E469/10^5</f>
        <v>#REF!</v>
      </c>
      <c r="G469" s="296"/>
      <c r="H469" s="296"/>
      <c r="I469" s="296"/>
    </row>
    <row r="470" spans="1:10" s="383" customFormat="1" ht="15.6">
      <c r="A470" s="380"/>
      <c r="B470" s="527" t="s">
        <v>533</v>
      </c>
      <c r="C470" s="381" t="s">
        <v>335</v>
      </c>
      <c r="D470" s="382">
        <v>9080</v>
      </c>
      <c r="E470" s="295" t="e">
        <f>#REF!</f>
        <v>#REF!</v>
      </c>
      <c r="F470" s="308" t="e">
        <f t="shared" si="10"/>
        <v>#REF!</v>
      </c>
      <c r="G470" s="295"/>
      <c r="H470" s="295"/>
      <c r="I470" s="295"/>
      <c r="J470" s="384" t="s">
        <v>555</v>
      </c>
    </row>
    <row r="471" spans="1:10" s="42" customFormat="1">
      <c r="A471" s="342"/>
      <c r="B471" s="527" t="s">
        <v>422</v>
      </c>
      <c r="C471" s="343" t="s">
        <v>15</v>
      </c>
      <c r="D471" s="349">
        <v>10000</v>
      </c>
      <c r="E471" s="348" t="e">
        <f>#REF!</f>
        <v>#REF!</v>
      </c>
      <c r="F471" s="298" t="e">
        <f t="shared" si="10"/>
        <v>#REF!</v>
      </c>
      <c r="G471" s="296"/>
      <c r="H471" s="296"/>
      <c r="I471" s="296"/>
    </row>
    <row r="472" spans="1:10" s="42" customFormat="1">
      <c r="A472" s="342"/>
      <c r="B472" s="660" t="s">
        <v>326</v>
      </c>
      <c r="C472" s="661" t="s">
        <v>335</v>
      </c>
      <c r="D472" s="662">
        <v>320</v>
      </c>
      <c r="E472" s="348" t="e">
        <f>#REF!</f>
        <v>#REF!</v>
      </c>
      <c r="F472" s="298" t="e">
        <f t="shared" si="10"/>
        <v>#REF!</v>
      </c>
      <c r="G472" s="296"/>
      <c r="H472" s="296"/>
      <c r="I472" s="296"/>
    </row>
    <row r="473" spans="1:10" s="42" customFormat="1">
      <c r="A473" s="342"/>
      <c r="B473" s="527" t="s">
        <v>423</v>
      </c>
      <c r="C473" s="343" t="s">
        <v>335</v>
      </c>
      <c r="D473" s="349">
        <v>120</v>
      </c>
      <c r="E473" s="348" t="e">
        <f>#REF!</f>
        <v>#REF!</v>
      </c>
      <c r="F473" s="298" t="e">
        <f t="shared" si="10"/>
        <v>#REF!</v>
      </c>
      <c r="G473" s="296"/>
      <c r="H473" s="296"/>
      <c r="I473" s="296"/>
    </row>
    <row r="474" spans="1:10" s="42" customFormat="1" ht="27.6">
      <c r="A474" s="342"/>
      <c r="B474" s="660" t="s">
        <v>424</v>
      </c>
      <c r="C474" s="663" t="s">
        <v>335</v>
      </c>
      <c r="D474" s="664">
        <v>4280</v>
      </c>
      <c r="E474" s="512" t="e">
        <f>#REF!</f>
        <v>#REF!</v>
      </c>
      <c r="F474" s="298" t="e">
        <f t="shared" si="10"/>
        <v>#REF!</v>
      </c>
      <c r="G474" s="296"/>
      <c r="H474" s="296"/>
      <c r="I474" s="296"/>
    </row>
    <row r="475" spans="1:10" s="42" customFormat="1">
      <c r="A475" s="342"/>
      <c r="B475" s="527" t="s">
        <v>425</v>
      </c>
      <c r="C475" s="343" t="s">
        <v>335</v>
      </c>
      <c r="D475" s="349">
        <v>210</v>
      </c>
      <c r="E475" s="348" t="e">
        <f>#REF!</f>
        <v>#REF!</v>
      </c>
      <c r="F475" s="298" t="e">
        <f t="shared" si="10"/>
        <v>#REF!</v>
      </c>
      <c r="G475" s="296"/>
      <c r="H475" s="296"/>
      <c r="I475" s="296"/>
    </row>
    <row r="476" spans="1:10" s="42" customFormat="1">
      <c r="A476" s="342"/>
      <c r="B476" s="660" t="s">
        <v>307</v>
      </c>
      <c r="C476" s="661" t="s">
        <v>335</v>
      </c>
      <c r="D476" s="662">
        <f>10-10</f>
        <v>0</v>
      </c>
      <c r="E476" s="348" t="e">
        <f>#REF!</f>
        <v>#REF!</v>
      </c>
      <c r="F476" s="298" t="e">
        <f t="shared" si="10"/>
        <v>#REF!</v>
      </c>
      <c r="G476" s="296"/>
      <c r="H476" s="296"/>
      <c r="I476" s="296"/>
    </row>
    <row r="477" spans="1:10" s="42" customFormat="1">
      <c r="A477" s="342"/>
      <c r="B477" s="527" t="s">
        <v>78</v>
      </c>
      <c r="C477" s="343" t="s">
        <v>15</v>
      </c>
      <c r="D477" s="349">
        <v>2040</v>
      </c>
      <c r="E477" s="1076" t="e">
        <f>#REF!</f>
        <v>#REF!</v>
      </c>
      <c r="F477" s="298" t="e">
        <f t="shared" si="10"/>
        <v>#REF!</v>
      </c>
      <c r="G477" s="296"/>
      <c r="H477" s="296"/>
      <c r="I477" s="296"/>
    </row>
    <row r="478" spans="1:10" s="42" customFormat="1">
      <c r="A478" s="342"/>
      <c r="B478" s="660" t="s">
        <v>74</v>
      </c>
      <c r="C478" s="661" t="s">
        <v>429</v>
      </c>
      <c r="D478" s="662">
        <v>490</v>
      </c>
      <c r="E478" s="348" t="e">
        <f>#REF!</f>
        <v>#REF!</v>
      </c>
      <c r="F478" s="298" t="e">
        <f t="shared" si="10"/>
        <v>#REF!</v>
      </c>
      <c r="G478" s="296"/>
      <c r="H478" s="296"/>
      <c r="I478" s="296"/>
    </row>
    <row r="479" spans="1:10" s="42" customFormat="1">
      <c r="A479" s="342"/>
      <c r="B479" s="660" t="s">
        <v>19</v>
      </c>
      <c r="C479" s="661" t="s">
        <v>429</v>
      </c>
      <c r="D479" s="662">
        <f>20-10</f>
        <v>10</v>
      </c>
      <c r="E479" s="348" t="e">
        <f>#REF!</f>
        <v>#REF!</v>
      </c>
      <c r="F479" s="298" t="e">
        <f t="shared" si="10"/>
        <v>#REF!</v>
      </c>
      <c r="G479" s="296"/>
      <c r="H479" s="296"/>
      <c r="I479" s="296"/>
    </row>
    <row r="480" spans="1:10" s="42" customFormat="1">
      <c r="A480" s="342"/>
      <c r="B480" s="527" t="s">
        <v>430</v>
      </c>
      <c r="C480" s="343" t="s">
        <v>431</v>
      </c>
      <c r="D480" s="349">
        <v>50</v>
      </c>
      <c r="E480" s="348" t="e">
        <f>#REF!</f>
        <v>#REF!</v>
      </c>
      <c r="F480" s="298" t="e">
        <f t="shared" si="10"/>
        <v>#REF!</v>
      </c>
      <c r="G480" s="296"/>
      <c r="H480" s="296"/>
      <c r="I480" s="296"/>
    </row>
    <row r="481" spans="1:10" s="42" customFormat="1" ht="15.6">
      <c r="A481" s="342"/>
      <c r="B481" s="527" t="s">
        <v>534</v>
      </c>
      <c r="C481" s="343" t="s">
        <v>431</v>
      </c>
      <c r="D481" s="349">
        <v>60</v>
      </c>
      <c r="E481" s="296" t="e">
        <f>#REF!</f>
        <v>#REF!</v>
      </c>
      <c r="F481" s="298" t="e">
        <f t="shared" si="10"/>
        <v>#REF!</v>
      </c>
      <c r="G481" s="296"/>
      <c r="H481" s="296"/>
      <c r="I481" s="296"/>
      <c r="J481" s="384" t="s">
        <v>560</v>
      </c>
    </row>
    <row r="482" spans="1:10" s="42" customFormat="1">
      <c r="A482" s="342"/>
      <c r="B482" s="527" t="s">
        <v>310</v>
      </c>
      <c r="C482" s="343" t="s">
        <v>15</v>
      </c>
      <c r="D482" s="349">
        <v>620</v>
      </c>
      <c r="E482" s="348" t="e">
        <f>#REF!</f>
        <v>#REF!</v>
      </c>
      <c r="F482" s="298" t="e">
        <f t="shared" si="10"/>
        <v>#REF!</v>
      </c>
      <c r="G482" s="296"/>
      <c r="H482" s="296"/>
      <c r="I482" s="296"/>
    </row>
    <row r="483" spans="1:10" s="42" customFormat="1">
      <c r="A483" s="342"/>
      <c r="B483" s="527" t="s">
        <v>433</v>
      </c>
      <c r="C483" s="343" t="s">
        <v>335</v>
      </c>
      <c r="D483" s="349">
        <v>440</v>
      </c>
      <c r="E483" s="348" t="e">
        <f>#REF!</f>
        <v>#REF!</v>
      </c>
      <c r="F483" s="298" t="e">
        <f t="shared" si="10"/>
        <v>#REF!</v>
      </c>
      <c r="G483" s="296"/>
      <c r="H483" s="296"/>
      <c r="I483" s="296"/>
    </row>
    <row r="484" spans="1:10" s="42" customFormat="1">
      <c r="A484" s="342"/>
      <c r="B484" s="527" t="s">
        <v>311</v>
      </c>
      <c r="C484" s="343" t="s">
        <v>15</v>
      </c>
      <c r="D484" s="349">
        <v>1360</v>
      </c>
      <c r="E484" s="348" t="e">
        <f>#REF!</f>
        <v>#REF!</v>
      </c>
      <c r="F484" s="298" t="e">
        <f t="shared" si="10"/>
        <v>#REF!</v>
      </c>
      <c r="G484" s="296"/>
      <c r="H484" s="296"/>
      <c r="I484" s="296"/>
    </row>
    <row r="485" spans="1:10" s="42" customFormat="1">
      <c r="A485" s="342"/>
      <c r="B485" s="527" t="s">
        <v>312</v>
      </c>
      <c r="C485" s="343" t="s">
        <v>15</v>
      </c>
      <c r="D485" s="349">
        <v>1870</v>
      </c>
      <c r="E485" s="348" t="e">
        <f>#REF!</f>
        <v>#REF!</v>
      </c>
      <c r="F485" s="298" t="e">
        <f t="shared" si="10"/>
        <v>#REF!</v>
      </c>
      <c r="G485" s="296"/>
      <c r="H485" s="296"/>
      <c r="I485" s="296"/>
    </row>
    <row r="486" spans="1:10" s="42" customFormat="1">
      <c r="A486" s="342"/>
      <c r="B486" s="527" t="s">
        <v>434</v>
      </c>
      <c r="C486" s="343" t="s">
        <v>15</v>
      </c>
      <c r="D486" s="349">
        <v>620</v>
      </c>
      <c r="E486" s="348" t="e">
        <f>#REF!</f>
        <v>#REF!</v>
      </c>
      <c r="F486" s="298" t="e">
        <f t="shared" si="10"/>
        <v>#REF!</v>
      </c>
      <c r="G486" s="296"/>
      <c r="H486" s="296"/>
      <c r="I486" s="296"/>
    </row>
    <row r="487" spans="1:10" s="42" customFormat="1">
      <c r="A487" s="342"/>
      <c r="B487" s="527" t="s">
        <v>435</v>
      </c>
      <c r="C487" s="343" t="s">
        <v>15</v>
      </c>
      <c r="D487" s="349">
        <v>1360</v>
      </c>
      <c r="E487" s="348" t="e">
        <f>#REF!</f>
        <v>#REF!</v>
      </c>
      <c r="F487" s="298" t="e">
        <f t="shared" si="10"/>
        <v>#REF!</v>
      </c>
      <c r="G487" s="296"/>
      <c r="H487" s="296"/>
      <c r="I487" s="296"/>
    </row>
    <row r="488" spans="1:10" s="42" customFormat="1">
      <c r="A488" s="342"/>
      <c r="B488" s="527" t="s">
        <v>320</v>
      </c>
      <c r="C488" s="343" t="s">
        <v>15</v>
      </c>
      <c r="D488" s="349">
        <v>1780</v>
      </c>
      <c r="E488" s="348" t="e">
        <f>#REF!</f>
        <v>#REF!</v>
      </c>
      <c r="F488" s="298" t="e">
        <f t="shared" si="10"/>
        <v>#REF!</v>
      </c>
      <c r="G488" s="296"/>
      <c r="H488" s="296"/>
      <c r="I488" s="296"/>
    </row>
    <row r="489" spans="1:10" s="42" customFormat="1">
      <c r="A489" s="342"/>
      <c r="B489" s="527" t="s">
        <v>304</v>
      </c>
      <c r="C489" s="343" t="s">
        <v>335</v>
      </c>
      <c r="D489" s="349">
        <v>410</v>
      </c>
      <c r="E489" s="348" t="e">
        <f>#REF!</f>
        <v>#REF!</v>
      </c>
      <c r="F489" s="298" t="e">
        <f t="shared" si="10"/>
        <v>#REF!</v>
      </c>
      <c r="G489" s="296"/>
      <c r="H489" s="296"/>
      <c r="I489" s="296"/>
    </row>
    <row r="490" spans="1:10" s="42" customFormat="1">
      <c r="A490" s="342"/>
      <c r="B490" s="527" t="s">
        <v>313</v>
      </c>
      <c r="C490" s="343" t="s">
        <v>15</v>
      </c>
      <c r="D490" s="349">
        <v>620</v>
      </c>
      <c r="E490" s="348" t="e">
        <f>#REF!</f>
        <v>#REF!</v>
      </c>
      <c r="F490" s="298" t="e">
        <f t="shared" si="10"/>
        <v>#REF!</v>
      </c>
      <c r="G490" s="296"/>
      <c r="H490" s="296"/>
      <c r="I490" s="296"/>
    </row>
    <row r="491" spans="1:10" s="42" customFormat="1">
      <c r="A491" s="342"/>
      <c r="B491" s="527" t="s">
        <v>315</v>
      </c>
      <c r="C491" s="343" t="s">
        <v>15</v>
      </c>
      <c r="D491" s="349">
        <v>30</v>
      </c>
      <c r="E491" s="348" t="e">
        <f>#REF!</f>
        <v>#REF!</v>
      </c>
      <c r="F491" s="298" t="e">
        <f t="shared" si="10"/>
        <v>#REF!</v>
      </c>
      <c r="G491" s="296"/>
      <c r="H491" s="296"/>
      <c r="I491" s="296"/>
    </row>
    <row r="492" spans="1:10" s="42" customFormat="1">
      <c r="A492" s="342"/>
      <c r="B492" s="527" t="s">
        <v>316</v>
      </c>
      <c r="C492" s="343" t="s">
        <v>15</v>
      </c>
      <c r="D492" s="349">
        <v>60</v>
      </c>
      <c r="E492" s="348" t="e">
        <f>#REF!</f>
        <v>#REF!</v>
      </c>
      <c r="F492" s="298" t="e">
        <f t="shared" si="10"/>
        <v>#REF!</v>
      </c>
      <c r="G492" s="296"/>
      <c r="H492" s="296"/>
      <c r="I492" s="296"/>
    </row>
    <row r="493" spans="1:10" s="42" customFormat="1">
      <c r="A493" s="342"/>
      <c r="B493" s="527" t="s">
        <v>436</v>
      </c>
      <c r="C493" s="343" t="s">
        <v>335</v>
      </c>
      <c r="D493" s="349">
        <v>60</v>
      </c>
      <c r="E493" s="348" t="e">
        <f>#REF!</f>
        <v>#REF!</v>
      </c>
      <c r="F493" s="298" t="e">
        <f t="shared" si="10"/>
        <v>#REF!</v>
      </c>
      <c r="G493" s="296"/>
      <c r="H493" s="296"/>
      <c r="I493" s="296"/>
    </row>
    <row r="494" spans="1:10" s="42" customFormat="1">
      <c r="A494" s="342"/>
      <c r="B494" s="527" t="s">
        <v>437</v>
      </c>
      <c r="C494" s="343" t="s">
        <v>335</v>
      </c>
      <c r="D494" s="349">
        <v>60</v>
      </c>
      <c r="E494" s="348" t="e">
        <f>#REF!</f>
        <v>#REF!</v>
      </c>
      <c r="F494" s="298" t="e">
        <f t="shared" si="10"/>
        <v>#REF!</v>
      </c>
      <c r="G494" s="296"/>
      <c r="H494" s="296"/>
      <c r="I494" s="296"/>
    </row>
    <row r="495" spans="1:10" s="42" customFormat="1">
      <c r="A495" s="342"/>
      <c r="B495" s="527" t="s">
        <v>438</v>
      </c>
      <c r="C495" s="343" t="s">
        <v>335</v>
      </c>
      <c r="D495" s="349">
        <v>70</v>
      </c>
      <c r="E495" s="348" t="e">
        <f>#REF!</f>
        <v>#REF!</v>
      </c>
      <c r="F495" s="298" t="e">
        <f t="shared" si="10"/>
        <v>#REF!</v>
      </c>
      <c r="G495" s="296"/>
      <c r="H495" s="296"/>
      <c r="I495" s="296"/>
    </row>
    <row r="496" spans="1:10" s="42" customFormat="1">
      <c r="A496" s="342"/>
      <c r="B496" s="527" t="s">
        <v>439</v>
      </c>
      <c r="C496" s="343" t="s">
        <v>15</v>
      </c>
      <c r="D496" s="349">
        <v>700</v>
      </c>
      <c r="E496" s="348" t="e">
        <f>#REF!</f>
        <v>#REF!</v>
      </c>
      <c r="F496" s="298" t="e">
        <f t="shared" si="10"/>
        <v>#REF!</v>
      </c>
      <c r="G496" s="296"/>
      <c r="H496" s="296"/>
      <c r="I496" s="296"/>
    </row>
    <row r="497" spans="1:13" s="42" customFormat="1">
      <c r="A497" s="342"/>
      <c r="B497" s="527" t="s">
        <v>443</v>
      </c>
      <c r="C497" s="343" t="s">
        <v>15</v>
      </c>
      <c r="D497" s="349">
        <v>70</v>
      </c>
      <c r="E497" s="348" t="e">
        <f>#REF!</f>
        <v>#REF!</v>
      </c>
      <c r="F497" s="298" t="e">
        <f t="shared" si="10"/>
        <v>#REF!</v>
      </c>
      <c r="G497" s="296"/>
      <c r="H497" s="296"/>
      <c r="I497" s="296"/>
    </row>
    <row r="498" spans="1:13" s="42" customFormat="1">
      <c r="A498" s="354"/>
      <c r="B498" s="528" t="s">
        <v>318</v>
      </c>
      <c r="C498" s="355" t="s">
        <v>15</v>
      </c>
      <c r="D498" s="356">
        <v>40</v>
      </c>
      <c r="E498" s="360" t="e">
        <f>#REF!</f>
        <v>#REF!</v>
      </c>
      <c r="F498" s="298" t="e">
        <f t="shared" si="10"/>
        <v>#REF!</v>
      </c>
      <c r="G498" s="357"/>
      <c r="H498" s="357"/>
      <c r="I498" s="357"/>
    </row>
    <row r="499" spans="1:13" s="296" customFormat="1">
      <c r="A499" s="358"/>
      <c r="B499" s="527" t="s">
        <v>319</v>
      </c>
      <c r="C499" s="343" t="s">
        <v>15</v>
      </c>
      <c r="D499" s="359">
        <v>620</v>
      </c>
      <c r="E499" s="348" t="e">
        <f>#REF!</f>
        <v>#REF!</v>
      </c>
      <c r="F499" s="111" t="e">
        <f t="shared" si="10"/>
        <v>#REF!</v>
      </c>
    </row>
    <row r="500" spans="1:13" s="173" customFormat="1" ht="22.5" customHeight="1">
      <c r="A500" s="322"/>
      <c r="B500" s="517" t="s">
        <v>862</v>
      </c>
      <c r="C500" s="323" t="s">
        <v>329</v>
      </c>
      <c r="D500" s="4"/>
      <c r="E500" s="4"/>
      <c r="F500" s="308">
        <v>30</v>
      </c>
      <c r="G500" s="113"/>
      <c r="H500" s="113"/>
      <c r="I500" s="113"/>
      <c r="J500" s="320"/>
      <c r="K500" s="320"/>
      <c r="L500" s="320"/>
      <c r="M500" s="321"/>
    </row>
    <row r="501" spans="1:13" s="565" customFormat="1" hidden="1">
      <c r="A501" s="589"/>
      <c r="B501" s="564" t="s">
        <v>744</v>
      </c>
      <c r="C501" s="564" t="s">
        <v>18</v>
      </c>
      <c r="D501" s="565">
        <f>1*0</f>
        <v>0</v>
      </c>
      <c r="E501" s="577">
        <v>300000</v>
      </c>
      <c r="F501" s="563">
        <f t="shared" si="10"/>
        <v>0</v>
      </c>
    </row>
    <row r="502" spans="1:13" s="25" customFormat="1" ht="15.6">
      <c r="B502" s="313" t="s">
        <v>860</v>
      </c>
      <c r="C502" s="165"/>
      <c r="D502" s="165"/>
      <c r="E502" s="165"/>
      <c r="F502" s="313" t="e">
        <f>SUM(F469:F501)</f>
        <v>#REF!</v>
      </c>
      <c r="G502" s="166"/>
      <c r="H502" s="24"/>
      <c r="I502" s="134"/>
    </row>
    <row r="503" spans="1:13" s="42" customFormat="1" ht="9.75" customHeight="1"/>
    <row r="504" spans="1:13" s="126" customFormat="1" ht="15.6">
      <c r="A504" s="317"/>
      <c r="B504" s="318" t="s">
        <v>858</v>
      </c>
      <c r="C504" s="319"/>
      <c r="D504" s="6"/>
      <c r="E504" s="291"/>
      <c r="F504" s="290"/>
      <c r="G504" s="290"/>
      <c r="H504" s="290"/>
      <c r="I504" s="290"/>
      <c r="J504" s="290"/>
      <c r="K504" s="290"/>
      <c r="L504" s="290"/>
      <c r="M504" s="290"/>
    </row>
    <row r="505" spans="1:13" s="42" customFormat="1">
      <c r="A505" s="342"/>
      <c r="B505" s="660" t="s">
        <v>421</v>
      </c>
      <c r="C505" s="661" t="s">
        <v>335</v>
      </c>
      <c r="D505" s="662">
        <f>4260</f>
        <v>4260</v>
      </c>
      <c r="E505" s="348" t="e">
        <f>E469</f>
        <v>#REF!</v>
      </c>
      <c r="F505" s="298" t="e">
        <f t="shared" ref="F505:F510" si="11">D505*E505/10^5</f>
        <v>#REF!</v>
      </c>
      <c r="G505" s="296"/>
      <c r="H505" s="296"/>
      <c r="I505" s="296"/>
    </row>
    <row r="506" spans="1:13" s="42" customFormat="1">
      <c r="A506" s="342"/>
      <c r="B506" s="660" t="s">
        <v>326</v>
      </c>
      <c r="C506" s="661" t="s">
        <v>335</v>
      </c>
      <c r="D506" s="662">
        <f>210</f>
        <v>210</v>
      </c>
      <c r="E506" s="348" t="e">
        <f>E472</f>
        <v>#REF!</v>
      </c>
      <c r="F506" s="298" t="e">
        <f t="shared" si="11"/>
        <v>#REF!</v>
      </c>
      <c r="G506" s="296"/>
      <c r="H506" s="296"/>
      <c r="I506" s="296"/>
    </row>
    <row r="507" spans="1:13" s="42" customFormat="1" ht="27.6">
      <c r="A507" s="342"/>
      <c r="B507" s="660" t="s">
        <v>424</v>
      </c>
      <c r="C507" s="663" t="s">
        <v>335</v>
      </c>
      <c r="D507" s="664">
        <f>1530</f>
        <v>1530</v>
      </c>
      <c r="E507" s="512" t="e">
        <f>E474</f>
        <v>#REF!</v>
      </c>
      <c r="F507" s="298" t="e">
        <f t="shared" si="11"/>
        <v>#REF!</v>
      </c>
      <c r="G507" s="296"/>
      <c r="H507" s="296"/>
      <c r="I507" s="296"/>
    </row>
    <row r="508" spans="1:13" s="42" customFormat="1">
      <c r="A508" s="342"/>
      <c r="B508" s="660" t="s">
        <v>307</v>
      </c>
      <c r="C508" s="661" t="s">
        <v>335</v>
      </c>
      <c r="D508" s="662">
        <f>10</f>
        <v>10</v>
      </c>
      <c r="E508" s="348" t="e">
        <f>E476</f>
        <v>#REF!</v>
      </c>
      <c r="F508" s="298" t="e">
        <f t="shared" si="11"/>
        <v>#REF!</v>
      </c>
      <c r="G508" s="296"/>
      <c r="H508" s="296"/>
      <c r="I508" s="296"/>
    </row>
    <row r="509" spans="1:13" s="42" customFormat="1">
      <c r="A509" s="342"/>
      <c r="B509" s="660" t="s">
        <v>74</v>
      </c>
      <c r="C509" s="661" t="s">
        <v>429</v>
      </c>
      <c r="D509" s="662">
        <f>170</f>
        <v>170</v>
      </c>
      <c r="E509" s="348" t="e">
        <f>E478</f>
        <v>#REF!</v>
      </c>
      <c r="F509" s="298" t="e">
        <f t="shared" si="11"/>
        <v>#REF!</v>
      </c>
      <c r="G509" s="296"/>
      <c r="H509" s="296"/>
      <c r="I509" s="296"/>
    </row>
    <row r="510" spans="1:13" s="42" customFormat="1">
      <c r="A510" s="342"/>
      <c r="B510" s="660" t="s">
        <v>19</v>
      </c>
      <c r="C510" s="661" t="s">
        <v>429</v>
      </c>
      <c r="D510" s="662">
        <f>10</f>
        <v>10</v>
      </c>
      <c r="E510" s="348" t="e">
        <f>E479</f>
        <v>#REF!</v>
      </c>
      <c r="F510" s="298" t="e">
        <f t="shared" si="11"/>
        <v>#REF!</v>
      </c>
      <c r="G510" s="296"/>
      <c r="H510" s="296"/>
      <c r="I510" s="296"/>
    </row>
    <row r="511" spans="1:13" ht="15.6">
      <c r="A511" s="201"/>
      <c r="B511" s="313" t="s">
        <v>859</v>
      </c>
      <c r="C511" s="165"/>
      <c r="D511" s="179"/>
      <c r="E511" s="165"/>
      <c r="F511" s="313" t="e">
        <f>SUM(F505:F510)</f>
        <v>#REF!</v>
      </c>
      <c r="G511" s="165"/>
      <c r="H511" s="165"/>
      <c r="I511" s="183"/>
      <c r="K511" s="385"/>
    </row>
    <row r="512" spans="1:13" s="42" customFormat="1"/>
    <row r="513" spans="1:13" ht="15.6">
      <c r="A513" s="315">
        <v>6</v>
      </c>
      <c r="B513" s="202" t="s">
        <v>544</v>
      </c>
      <c r="C513" s="203"/>
      <c r="D513" s="204"/>
      <c r="E513" s="203"/>
      <c r="F513" s="203"/>
      <c r="G513" s="203"/>
      <c r="H513" s="203"/>
      <c r="I513" s="332"/>
      <c r="K513" s="17" t="s">
        <v>684</v>
      </c>
      <c r="M513" s="144"/>
    </row>
    <row r="514" spans="1:13" s="42" customFormat="1" ht="84.75" customHeight="1">
      <c r="B514" s="521" t="s">
        <v>545</v>
      </c>
      <c r="C514" s="333" t="s">
        <v>16</v>
      </c>
      <c r="D514" s="333">
        <v>1</v>
      </c>
      <c r="E514" s="296"/>
      <c r="F514" s="369">
        <f>4320*(60/80)^0.6*0.9/1.05/1.12</f>
        <v>2781.9908198308817</v>
      </c>
      <c r="G514" s="296"/>
      <c r="H514" s="296"/>
      <c r="I514" s="361" t="s">
        <v>693</v>
      </c>
      <c r="K514" s="479">
        <f>5000*(60/75)^0.6/1.05</f>
        <v>4165.1888531172499</v>
      </c>
    </row>
    <row r="515" spans="1:13" ht="78">
      <c r="B515" s="521" t="s">
        <v>546</v>
      </c>
      <c r="C515" s="333" t="s">
        <v>16</v>
      </c>
      <c r="D515" s="333">
        <v>1</v>
      </c>
      <c r="E515" s="166"/>
      <c r="F515" s="369">
        <f>2100/1.05/1.12/1.02</f>
        <v>1750.7002801120445</v>
      </c>
      <c r="G515" s="166"/>
      <c r="H515" s="24"/>
      <c r="I515" s="361" t="s">
        <v>554</v>
      </c>
      <c r="K515" s="328">
        <f>650*(360/150)^0.6*1.02/1.05/1.12</f>
        <v>953.30737249058427</v>
      </c>
      <c r="L515" s="128" t="s">
        <v>685</v>
      </c>
    </row>
    <row r="516" spans="1:13" ht="21.75" customHeight="1">
      <c r="B516" s="520" t="s">
        <v>547</v>
      </c>
      <c r="C516" s="333" t="s">
        <v>16</v>
      </c>
      <c r="D516" s="333">
        <v>5</v>
      </c>
      <c r="E516" s="166">
        <f>9.5*10^5</f>
        <v>950000</v>
      </c>
      <c r="F516" s="24">
        <f>D516*E516/10^5*1.1</f>
        <v>52.250000000000007</v>
      </c>
      <c r="G516" s="166"/>
      <c r="H516" s="24"/>
      <c r="I516" s="1720" t="s">
        <v>1055</v>
      </c>
    </row>
    <row r="517" spans="1:13" ht="27.75" customHeight="1">
      <c r="B517" s="520" t="s">
        <v>548</v>
      </c>
      <c r="C517" s="333" t="s">
        <v>16</v>
      </c>
      <c r="D517" s="333">
        <v>50</v>
      </c>
      <c r="E517" s="166">
        <f>0.132*10^5</f>
        <v>13200</v>
      </c>
      <c r="F517" s="24">
        <f>D517*E517/10^5*1.1</f>
        <v>7.26</v>
      </c>
      <c r="G517" s="166"/>
      <c r="H517" s="24"/>
      <c r="I517" s="1721"/>
    </row>
    <row r="518" spans="1:13" ht="18" customHeight="1">
      <c r="B518" s="520" t="s">
        <v>549</v>
      </c>
      <c r="C518" s="333" t="s">
        <v>16</v>
      </c>
      <c r="D518" s="333">
        <v>50</v>
      </c>
      <c r="E518" s="166">
        <f>0.2*10^5</f>
        <v>20000</v>
      </c>
      <c r="F518" s="24">
        <f t="shared" ref="F518:F530" si="12">D518*E518/10^5</f>
        <v>10</v>
      </c>
      <c r="G518" s="166"/>
      <c r="H518" s="24"/>
      <c r="I518" s="134"/>
    </row>
    <row r="519" spans="1:13" s="19" customFormat="1" ht="30.75" customHeight="1">
      <c r="B519" s="520" t="s">
        <v>550</v>
      </c>
      <c r="C519" s="362" t="s">
        <v>4</v>
      </c>
      <c r="D519" s="835">
        <v>137</v>
      </c>
      <c r="E519" s="166">
        <f>1.5*10^5</f>
        <v>150000</v>
      </c>
      <c r="F519" s="24">
        <f t="shared" si="12"/>
        <v>205.5</v>
      </c>
      <c r="G519" s="166"/>
      <c r="H519" s="24"/>
      <c r="I519" s="134"/>
    </row>
    <row r="520" spans="1:13" s="19" customFormat="1" ht="22.5" customHeight="1">
      <c r="B520" s="520" t="s">
        <v>553</v>
      </c>
      <c r="C520" s="372" t="s">
        <v>4</v>
      </c>
      <c r="D520" s="836">
        <v>50</v>
      </c>
      <c r="E520" s="166">
        <v>100000</v>
      </c>
      <c r="F520" s="24">
        <f t="shared" si="12"/>
        <v>50</v>
      </c>
      <c r="G520" s="166"/>
      <c r="H520" s="24"/>
      <c r="I520" s="134"/>
    </row>
    <row r="521" spans="1:13" s="19" customFormat="1" ht="33.75" customHeight="1">
      <c r="B521" s="633" t="s">
        <v>838</v>
      </c>
      <c r="C521" s="372" t="s">
        <v>4</v>
      </c>
      <c r="D521" s="529">
        <v>400</v>
      </c>
      <c r="E521" s="166">
        <f>E454</f>
        <v>95000</v>
      </c>
      <c r="F521" s="24">
        <f t="shared" si="12"/>
        <v>380</v>
      </c>
      <c r="G521" s="166"/>
      <c r="H521" s="267"/>
      <c r="I521" s="1712" t="s">
        <v>839</v>
      </c>
    </row>
    <row r="522" spans="1:13" s="19" customFormat="1" ht="21" customHeight="1">
      <c r="B522" s="633" t="s">
        <v>840</v>
      </c>
      <c r="C522" s="372" t="s">
        <v>16</v>
      </c>
      <c r="D522" s="529">
        <v>4</v>
      </c>
      <c r="E522" s="166">
        <f>7*10^5</f>
        <v>700000</v>
      </c>
      <c r="F522" s="24">
        <f t="shared" si="12"/>
        <v>28</v>
      </c>
      <c r="G522" s="166"/>
      <c r="H522" s="267"/>
      <c r="I522" s="1713"/>
    </row>
    <row r="523" spans="1:13" s="19" customFormat="1" ht="21" customHeight="1">
      <c r="B523" s="633" t="s">
        <v>841</v>
      </c>
      <c r="C523" s="372" t="s">
        <v>16</v>
      </c>
      <c r="D523" s="529">
        <v>1</v>
      </c>
      <c r="E523" s="166">
        <f>10*10^5</f>
        <v>1000000</v>
      </c>
      <c r="F523" s="24">
        <f t="shared" si="12"/>
        <v>10</v>
      </c>
      <c r="G523" s="166"/>
      <c r="H523" s="267"/>
      <c r="I523" s="1713"/>
    </row>
    <row r="524" spans="1:13" s="19" customFormat="1" ht="21" customHeight="1">
      <c r="B524" s="633" t="s">
        <v>842</v>
      </c>
      <c r="C524" s="372" t="s">
        <v>16</v>
      </c>
      <c r="D524" s="529">
        <v>1</v>
      </c>
      <c r="E524" s="166">
        <f>2.5*10^5</f>
        <v>250000</v>
      </c>
      <c r="F524" s="24">
        <f t="shared" si="12"/>
        <v>2.5</v>
      </c>
      <c r="G524" s="166"/>
      <c r="H524" s="267"/>
      <c r="I524" s="1713"/>
    </row>
    <row r="525" spans="1:13" s="19" customFormat="1" ht="21" customHeight="1">
      <c r="B525" s="633" t="s">
        <v>843</v>
      </c>
      <c r="C525" s="372" t="s">
        <v>16</v>
      </c>
      <c r="D525" s="529">
        <v>1</v>
      </c>
      <c r="E525" s="166">
        <f>2.5*10^5</f>
        <v>250000</v>
      </c>
      <c r="F525" s="24">
        <f t="shared" si="12"/>
        <v>2.5</v>
      </c>
      <c r="G525" s="166"/>
      <c r="H525" s="267"/>
      <c r="I525" s="1713"/>
    </row>
    <row r="526" spans="1:13" s="19" customFormat="1" ht="21" customHeight="1">
      <c r="B526" s="633" t="s">
        <v>844</v>
      </c>
      <c r="C526" s="30" t="s">
        <v>329</v>
      </c>
      <c r="D526" s="529">
        <v>1</v>
      </c>
      <c r="E526" s="166">
        <f>50*10^5</f>
        <v>5000000</v>
      </c>
      <c r="F526" s="24">
        <f t="shared" si="12"/>
        <v>50</v>
      </c>
      <c r="G526" s="166"/>
      <c r="H526" s="267"/>
      <c r="I526" s="1713"/>
    </row>
    <row r="527" spans="1:13" s="19" customFormat="1" ht="21" customHeight="1">
      <c r="B527" s="633" t="s">
        <v>845</v>
      </c>
      <c r="C527" s="30" t="s">
        <v>329</v>
      </c>
      <c r="D527" s="529">
        <v>1</v>
      </c>
      <c r="E527" s="166">
        <f>50*10^5</f>
        <v>5000000</v>
      </c>
      <c r="F527" s="24">
        <f t="shared" si="12"/>
        <v>50</v>
      </c>
      <c r="G527" s="166"/>
      <c r="H527" s="267"/>
      <c r="I527" s="1713"/>
    </row>
    <row r="528" spans="1:13" s="19" customFormat="1" ht="21" customHeight="1">
      <c r="B528" s="633" t="s">
        <v>846</v>
      </c>
      <c r="C528" s="30" t="s">
        <v>329</v>
      </c>
      <c r="D528" s="529">
        <v>1</v>
      </c>
      <c r="E528" s="166">
        <f>10*10^5</f>
        <v>1000000</v>
      </c>
      <c r="F528" s="24">
        <f t="shared" si="12"/>
        <v>10</v>
      </c>
      <c r="G528" s="166"/>
      <c r="H528" s="267"/>
      <c r="I528" s="1713"/>
    </row>
    <row r="529" spans="1:11" s="19" customFormat="1" ht="33.75" customHeight="1">
      <c r="B529" s="633" t="s">
        <v>847</v>
      </c>
      <c r="C529" s="30" t="s">
        <v>329</v>
      </c>
      <c r="D529" s="529">
        <v>1</v>
      </c>
      <c r="E529" s="166">
        <f>30*10^5</f>
        <v>3000000</v>
      </c>
      <c r="F529" s="24">
        <f t="shared" si="12"/>
        <v>30</v>
      </c>
      <c r="G529" s="166"/>
      <c r="H529" s="267"/>
      <c r="I529" s="1714"/>
    </row>
    <row r="530" spans="1:11" s="19" customFormat="1" ht="22.5" customHeight="1">
      <c r="B530" s="520" t="s">
        <v>749</v>
      </c>
      <c r="C530" s="372" t="s">
        <v>16</v>
      </c>
      <c r="D530" s="836">
        <v>3</v>
      </c>
      <c r="E530" s="166">
        <f>4*10^5</f>
        <v>400000</v>
      </c>
      <c r="F530" s="24">
        <f t="shared" si="12"/>
        <v>12</v>
      </c>
      <c r="G530" s="166"/>
      <c r="H530" s="267"/>
      <c r="I530" s="134"/>
    </row>
    <row r="531" spans="1:11" s="114" customFormat="1" ht="45">
      <c r="B531" s="513" t="s">
        <v>522</v>
      </c>
      <c r="C531" s="30" t="s">
        <v>329</v>
      </c>
      <c r="D531" s="162">
        <v>1</v>
      </c>
      <c r="E531" s="162"/>
      <c r="F531" s="1072">
        <v>355</v>
      </c>
      <c r="G531" s="162"/>
      <c r="H531" s="352"/>
      <c r="I531" s="782" t="s">
        <v>984</v>
      </c>
    </row>
    <row r="532" spans="1:11">
      <c r="A532" s="29"/>
      <c r="B532" s="515" t="s">
        <v>466</v>
      </c>
      <c r="C532" s="165" t="s">
        <v>18</v>
      </c>
      <c r="D532" s="162">
        <v>1</v>
      </c>
      <c r="E532" s="130"/>
      <c r="F532" s="130">
        <v>9.18</v>
      </c>
      <c r="G532" s="165"/>
      <c r="H532" s="165"/>
      <c r="I532" s="171"/>
    </row>
    <row r="533" spans="1:11" ht="15.6">
      <c r="B533" s="283" t="s">
        <v>498</v>
      </c>
      <c r="C533" s="30"/>
      <c r="D533" s="130"/>
      <c r="E533" s="130"/>
      <c r="F533" s="313">
        <f>SUM(F514:F532)</f>
        <v>5796.881099942927</v>
      </c>
      <c r="G533" s="165"/>
      <c r="H533" s="313">
        <f>SUM(H514:H532)</f>
        <v>0</v>
      </c>
      <c r="I533" s="134"/>
    </row>
    <row r="534" spans="1:11" ht="12.75" customHeight="1"/>
    <row r="535" spans="1:11" ht="15.6">
      <c r="B535" s="14" t="s">
        <v>415</v>
      </c>
      <c r="C535" s="3"/>
      <c r="D535" s="6"/>
      <c r="E535" s="6"/>
      <c r="F535" s="6"/>
      <c r="G535" s="6"/>
      <c r="H535" s="13"/>
      <c r="I535" s="4"/>
    </row>
    <row r="536" spans="1:11">
      <c r="B536" s="542" t="s">
        <v>416</v>
      </c>
      <c r="C536" s="10" t="s">
        <v>4</v>
      </c>
      <c r="D536" s="6">
        <v>1300</v>
      </c>
      <c r="E536" s="125">
        <f>E463</f>
        <v>70000</v>
      </c>
      <c r="F536" s="298">
        <f>D536*E536/10^5</f>
        <v>910</v>
      </c>
      <c r="G536" s="6"/>
      <c r="H536" s="13"/>
      <c r="I536" s="4"/>
    </row>
    <row r="537" spans="1:11" ht="30">
      <c r="B537" s="644" t="s">
        <v>416</v>
      </c>
      <c r="C537" s="5" t="s">
        <v>4</v>
      </c>
      <c r="D537" s="646">
        <v>180</v>
      </c>
      <c r="E537" s="127">
        <f>E536</f>
        <v>70000</v>
      </c>
      <c r="F537" s="645">
        <f>D537*E537/10^5</f>
        <v>126</v>
      </c>
      <c r="G537" s="6"/>
      <c r="H537" s="13"/>
      <c r="I537" s="647" t="s">
        <v>839</v>
      </c>
    </row>
    <row r="538" spans="1:11">
      <c r="B538" s="542" t="s">
        <v>524</v>
      </c>
      <c r="C538" s="10" t="s">
        <v>15</v>
      </c>
      <c r="D538" s="6">
        <v>7000</v>
      </c>
      <c r="E538" s="125">
        <f>E464</f>
        <v>1500</v>
      </c>
      <c r="F538" s="298">
        <f>D538*E538/10^5</f>
        <v>105</v>
      </c>
      <c r="G538" s="6"/>
      <c r="H538" s="13"/>
      <c r="I538" s="4"/>
    </row>
    <row r="539" spans="1:11" ht="15.6">
      <c r="B539" s="283" t="s">
        <v>497</v>
      </c>
      <c r="C539" s="165"/>
      <c r="D539" s="111"/>
      <c r="E539" s="130"/>
      <c r="F539" s="313">
        <f>SUM(F536:F538)</f>
        <v>1141</v>
      </c>
      <c r="G539" s="165"/>
      <c r="H539" s="353">
        <f>SUM(H536:H538)</f>
        <v>0</v>
      </c>
      <c r="I539" s="183"/>
    </row>
    <row r="540" spans="1:11" ht="9.75" customHeight="1"/>
    <row r="541" spans="1:11" ht="15.6">
      <c r="B541" s="318" t="s">
        <v>420</v>
      </c>
    </row>
    <row r="542" spans="1:11" ht="15.6">
      <c r="B542" s="318" t="s">
        <v>861</v>
      </c>
    </row>
    <row r="543" spans="1:11" s="42" customFormat="1" ht="30.75" customHeight="1">
      <c r="B543" s="665" t="s">
        <v>545</v>
      </c>
      <c r="C543" s="666" t="s">
        <v>16</v>
      </c>
      <c r="D543" s="666">
        <v>1</v>
      </c>
      <c r="E543" s="653"/>
      <c r="F543" s="667">
        <f>4320*(60/80)^0.6*0.1/1.05/1.12*0</f>
        <v>0</v>
      </c>
      <c r="G543" s="296"/>
      <c r="H543" s="296"/>
      <c r="I543" s="361" t="s">
        <v>693</v>
      </c>
      <c r="K543" s="479"/>
    </row>
    <row r="544" spans="1:11" s="128" customFormat="1">
      <c r="B544" s="668" t="s">
        <v>421</v>
      </c>
      <c r="C544" s="668" t="s">
        <v>335</v>
      </c>
      <c r="D544" s="669">
        <f>7240+500-1120</f>
        <v>6620</v>
      </c>
      <c r="E544" s="166" t="e">
        <f>#REF!</f>
        <v>#REF!</v>
      </c>
      <c r="F544" s="375" t="e">
        <f t="shared" ref="F544:F567" si="13">D544*E544/10^5</f>
        <v>#REF!</v>
      </c>
      <c r="G544" s="168"/>
      <c r="I544" s="376"/>
    </row>
    <row r="545" spans="2:9" s="128" customFormat="1">
      <c r="B545" s="530" t="s">
        <v>422</v>
      </c>
      <c r="C545" s="373" t="s">
        <v>15</v>
      </c>
      <c r="D545" s="374">
        <v>10000</v>
      </c>
      <c r="E545" s="166" t="e">
        <f>#REF!</f>
        <v>#REF!</v>
      </c>
      <c r="F545" s="375" t="e">
        <f t="shared" si="13"/>
        <v>#REF!</v>
      </c>
      <c r="G545" s="168"/>
      <c r="I545" s="376"/>
    </row>
    <row r="546" spans="2:9" s="128" customFormat="1">
      <c r="B546" s="668" t="s">
        <v>326</v>
      </c>
      <c r="C546" s="668" t="s">
        <v>335</v>
      </c>
      <c r="D546" s="669">
        <f>620+20-110</f>
        <v>530</v>
      </c>
      <c r="E546" s="166" t="e">
        <f>#REF!</f>
        <v>#REF!</v>
      </c>
      <c r="F546" s="375" t="e">
        <f t="shared" si="13"/>
        <v>#REF!</v>
      </c>
      <c r="G546" s="168"/>
      <c r="I546" s="376"/>
    </row>
    <row r="547" spans="2:9" s="128" customFormat="1">
      <c r="B547" s="530" t="s">
        <v>423</v>
      </c>
      <c r="C547" s="373" t="s">
        <v>335</v>
      </c>
      <c r="D547" s="374">
        <v>860</v>
      </c>
      <c r="E547" s="166" t="e">
        <f>#REF!</f>
        <v>#REF!</v>
      </c>
      <c r="F547" s="375" t="e">
        <f t="shared" si="13"/>
        <v>#REF!</v>
      </c>
      <c r="G547" s="168"/>
      <c r="I547" s="376"/>
    </row>
    <row r="548" spans="2:9" s="128" customFormat="1" ht="27.6">
      <c r="B548" s="668" t="s">
        <v>424</v>
      </c>
      <c r="C548" s="668" t="s">
        <v>335</v>
      </c>
      <c r="D548" s="669">
        <v>2390</v>
      </c>
      <c r="E548" s="166" t="e">
        <f>#REF!</f>
        <v>#REF!</v>
      </c>
      <c r="F548" s="375" t="e">
        <f t="shared" si="13"/>
        <v>#REF!</v>
      </c>
      <c r="G548" s="168"/>
      <c r="I548" s="376"/>
    </row>
    <row r="549" spans="2:9" s="128" customFormat="1">
      <c r="B549" s="668" t="s">
        <v>307</v>
      </c>
      <c r="C549" s="668" t="s">
        <v>335</v>
      </c>
      <c r="D549" s="669">
        <f>20-20</f>
        <v>0</v>
      </c>
      <c r="E549" s="166" t="e">
        <f>#REF!</f>
        <v>#REF!</v>
      </c>
      <c r="F549" s="375" t="e">
        <f t="shared" si="13"/>
        <v>#REF!</v>
      </c>
      <c r="G549" s="168"/>
      <c r="I549" s="376"/>
    </row>
    <row r="550" spans="2:9" s="128" customFormat="1">
      <c r="B550" s="668" t="s">
        <v>74</v>
      </c>
      <c r="C550" s="668" t="s">
        <v>429</v>
      </c>
      <c r="D550" s="669">
        <v>360</v>
      </c>
      <c r="E550" s="166" t="e">
        <f>#REF!</f>
        <v>#REF!</v>
      </c>
      <c r="F550" s="375" t="e">
        <f t="shared" si="13"/>
        <v>#REF!</v>
      </c>
      <c r="G550" s="168"/>
      <c r="I550" s="376"/>
    </row>
    <row r="551" spans="2:9" s="128" customFormat="1">
      <c r="B551" s="668" t="s">
        <v>19</v>
      </c>
      <c r="C551" s="668" t="s">
        <v>429</v>
      </c>
      <c r="D551" s="669">
        <f>10+1-10</f>
        <v>1</v>
      </c>
      <c r="E551" s="166" t="e">
        <f>#REF!</f>
        <v>#REF!</v>
      </c>
      <c r="F551" s="375" t="e">
        <f t="shared" si="13"/>
        <v>#REF!</v>
      </c>
      <c r="G551" s="168"/>
      <c r="I551" s="376"/>
    </row>
    <row r="552" spans="2:9" s="128" customFormat="1">
      <c r="B552" s="530" t="s">
        <v>310</v>
      </c>
      <c r="C552" s="373" t="s">
        <v>15</v>
      </c>
      <c r="D552" s="374">
        <v>4440</v>
      </c>
      <c r="E552" s="166" t="e">
        <f>#REF!</f>
        <v>#REF!</v>
      </c>
      <c r="F552" s="375" t="e">
        <f t="shared" si="13"/>
        <v>#REF!</v>
      </c>
      <c r="G552" s="168"/>
      <c r="I552" s="376"/>
    </row>
    <row r="553" spans="2:9" s="128" customFormat="1" ht="22.5" customHeight="1">
      <c r="B553" s="530" t="s">
        <v>433</v>
      </c>
      <c r="C553" s="373" t="s">
        <v>335</v>
      </c>
      <c r="D553" s="374">
        <v>690</v>
      </c>
      <c r="E553" s="166" t="e">
        <f>#REF!</f>
        <v>#REF!</v>
      </c>
      <c r="F553" s="375" t="e">
        <f t="shared" si="13"/>
        <v>#REF!</v>
      </c>
      <c r="G553" s="168"/>
      <c r="I553" s="376"/>
    </row>
    <row r="554" spans="2:9" s="128" customFormat="1" ht="23.25" customHeight="1">
      <c r="B554" s="530" t="s">
        <v>311</v>
      </c>
      <c r="C554" s="373" t="s">
        <v>15</v>
      </c>
      <c r="D554" s="374">
        <v>2560</v>
      </c>
      <c r="E554" s="166" t="e">
        <f>#REF!</f>
        <v>#REF!</v>
      </c>
      <c r="F554" s="375" t="e">
        <f t="shared" si="13"/>
        <v>#REF!</v>
      </c>
      <c r="G554" s="168"/>
      <c r="I554" s="376"/>
    </row>
    <row r="555" spans="2:9" s="128" customFormat="1" ht="21.75" customHeight="1">
      <c r="B555" s="530" t="s">
        <v>312</v>
      </c>
      <c r="C555" s="373" t="s">
        <v>15</v>
      </c>
      <c r="D555" s="374">
        <v>2960</v>
      </c>
      <c r="E555" s="166" t="e">
        <f>#REF!</f>
        <v>#REF!</v>
      </c>
      <c r="F555" s="375" t="e">
        <f t="shared" si="13"/>
        <v>#REF!</v>
      </c>
      <c r="G555" s="168"/>
      <c r="I555" s="376"/>
    </row>
    <row r="556" spans="2:9" s="128" customFormat="1" ht="21" customHeight="1">
      <c r="B556" s="530" t="s">
        <v>434</v>
      </c>
      <c r="C556" s="373" t="s">
        <v>15</v>
      </c>
      <c r="D556" s="374">
        <v>4440</v>
      </c>
      <c r="E556" s="166" t="e">
        <f>#REF!</f>
        <v>#REF!</v>
      </c>
      <c r="F556" s="375" t="e">
        <f t="shared" si="13"/>
        <v>#REF!</v>
      </c>
      <c r="G556" s="168"/>
      <c r="I556" s="376"/>
    </row>
    <row r="557" spans="2:9" s="128" customFormat="1">
      <c r="B557" s="530" t="s">
        <v>435</v>
      </c>
      <c r="C557" s="373" t="s">
        <v>15</v>
      </c>
      <c r="D557" s="374">
        <v>2560</v>
      </c>
      <c r="E557" s="166" t="e">
        <f>#REF!</f>
        <v>#REF!</v>
      </c>
      <c r="F557" s="375" t="e">
        <f t="shared" si="13"/>
        <v>#REF!</v>
      </c>
      <c r="G557" s="168"/>
      <c r="I557" s="376"/>
    </row>
    <row r="558" spans="2:9" s="128" customFormat="1">
      <c r="B558" s="530" t="s">
        <v>320</v>
      </c>
      <c r="C558" s="373" t="s">
        <v>15</v>
      </c>
      <c r="D558" s="374">
        <v>7400</v>
      </c>
      <c r="E558" s="166" t="e">
        <f>#REF!</f>
        <v>#REF!</v>
      </c>
      <c r="F558" s="375" t="e">
        <f t="shared" si="13"/>
        <v>#REF!</v>
      </c>
      <c r="G558" s="168"/>
      <c r="I558" s="376"/>
    </row>
    <row r="559" spans="2:9" s="128" customFormat="1">
      <c r="B559" s="530" t="s">
        <v>304</v>
      </c>
      <c r="C559" s="373" t="s">
        <v>335</v>
      </c>
      <c r="D559" s="374">
        <v>1010</v>
      </c>
      <c r="E559" s="166" t="e">
        <f>#REF!</f>
        <v>#REF!</v>
      </c>
      <c r="F559" s="375" t="e">
        <f t="shared" si="13"/>
        <v>#REF!</v>
      </c>
      <c r="G559" s="168"/>
      <c r="I559" s="376"/>
    </row>
    <row r="560" spans="2:9" s="128" customFormat="1">
      <c r="B560" s="530" t="s">
        <v>313</v>
      </c>
      <c r="C560" s="373" t="s">
        <v>15</v>
      </c>
      <c r="D560" s="374">
        <v>4020</v>
      </c>
      <c r="E560" s="166" t="e">
        <f>#REF!</f>
        <v>#REF!</v>
      </c>
      <c r="F560" s="375" t="e">
        <f t="shared" si="13"/>
        <v>#REF!</v>
      </c>
      <c r="G560" s="168"/>
      <c r="I560" s="376"/>
    </row>
    <row r="561" spans="1:13" s="128" customFormat="1">
      <c r="B561" s="530" t="s">
        <v>314</v>
      </c>
      <c r="C561" s="373" t="s">
        <v>431</v>
      </c>
      <c r="D561" s="374">
        <v>40</v>
      </c>
      <c r="E561" s="166" t="e">
        <f>#REF!</f>
        <v>#REF!</v>
      </c>
      <c r="F561" s="375" t="e">
        <f t="shared" si="13"/>
        <v>#REF!</v>
      </c>
      <c r="G561" s="168"/>
      <c r="I561" s="376"/>
    </row>
    <row r="562" spans="1:13" s="128" customFormat="1">
      <c r="B562" s="530" t="s">
        <v>315</v>
      </c>
      <c r="C562" s="373" t="s">
        <v>15</v>
      </c>
      <c r="D562" s="374">
        <v>50</v>
      </c>
      <c r="E562" s="166" t="e">
        <f>#REF!</f>
        <v>#REF!</v>
      </c>
      <c r="F562" s="375" t="e">
        <f t="shared" si="13"/>
        <v>#REF!</v>
      </c>
      <c r="G562" s="168"/>
      <c r="I562" s="376"/>
    </row>
    <row r="563" spans="1:13" s="128" customFormat="1">
      <c r="B563" s="530" t="s">
        <v>316</v>
      </c>
      <c r="C563" s="373" t="s">
        <v>15</v>
      </c>
      <c r="D563" s="374">
        <v>200</v>
      </c>
      <c r="E563" s="166" t="e">
        <f>#REF!</f>
        <v>#REF!</v>
      </c>
      <c r="F563" s="375" t="e">
        <f t="shared" si="13"/>
        <v>#REF!</v>
      </c>
      <c r="G563" s="168"/>
      <c r="I563" s="376"/>
    </row>
    <row r="564" spans="1:13" s="128" customFormat="1">
      <c r="B564" s="530" t="s">
        <v>318</v>
      </c>
      <c r="C564" s="373" t="s">
        <v>15</v>
      </c>
      <c r="D564" s="374">
        <v>120</v>
      </c>
      <c r="E564" s="166" t="e">
        <f>#REF!</f>
        <v>#REF!</v>
      </c>
      <c r="F564" s="375" t="e">
        <f t="shared" si="13"/>
        <v>#REF!</v>
      </c>
      <c r="G564" s="168"/>
      <c r="I564" s="376"/>
    </row>
    <row r="565" spans="1:13" s="128" customFormat="1">
      <c r="B565" s="530" t="s">
        <v>319</v>
      </c>
      <c r="C565" s="373" t="s">
        <v>15</v>
      </c>
      <c r="D565" s="374">
        <v>600</v>
      </c>
      <c r="E565" s="166" t="e">
        <f>#REF!</f>
        <v>#REF!</v>
      </c>
      <c r="F565" s="379" t="e">
        <f t="shared" si="13"/>
        <v>#REF!</v>
      </c>
      <c r="G565" s="168"/>
      <c r="I565" s="376"/>
    </row>
    <row r="566" spans="1:13" s="173" customFormat="1" ht="22.5" customHeight="1">
      <c r="A566" s="322"/>
      <c r="B566" s="517" t="s">
        <v>862</v>
      </c>
      <c r="C566" s="323" t="s">
        <v>329</v>
      </c>
      <c r="D566" s="4"/>
      <c r="E566" s="4"/>
      <c r="F566" s="308">
        <v>2</v>
      </c>
      <c r="G566" s="113"/>
      <c r="H566" s="113"/>
      <c r="I566" s="113"/>
      <c r="J566" s="320"/>
      <c r="K566" s="320"/>
      <c r="L566" s="320"/>
      <c r="M566" s="321"/>
    </row>
    <row r="567" spans="1:13" s="590" customFormat="1" hidden="1">
      <c r="B567" s="564" t="s">
        <v>744</v>
      </c>
      <c r="C567" s="564" t="s">
        <v>18</v>
      </c>
      <c r="D567" s="565">
        <f>1*0</f>
        <v>0</v>
      </c>
      <c r="E567" s="577">
        <v>300000</v>
      </c>
      <c r="F567" s="563">
        <f t="shared" si="13"/>
        <v>0</v>
      </c>
      <c r="G567" s="585"/>
    </row>
    <row r="568" spans="1:13" s="25" customFormat="1" ht="15.6">
      <c r="B568" s="378" t="s">
        <v>860</v>
      </c>
      <c r="C568" s="377"/>
      <c r="D568" s="377"/>
      <c r="E568" s="377"/>
      <c r="F568" s="378" t="e">
        <f>SUM(F543:F567)</f>
        <v>#REF!</v>
      </c>
      <c r="G568" s="166"/>
      <c r="H568" s="24"/>
      <c r="I568" s="134"/>
    </row>
    <row r="569" spans="1:13" ht="9" customHeight="1"/>
    <row r="570" spans="1:13" s="126" customFormat="1" ht="15.6">
      <c r="A570" s="317"/>
      <c r="B570" s="318" t="s">
        <v>858</v>
      </c>
      <c r="C570" s="319"/>
      <c r="D570" s="6"/>
      <c r="E570" s="291"/>
      <c r="F570" s="290"/>
      <c r="G570" s="290"/>
      <c r="H570" s="290"/>
      <c r="I570" s="290"/>
      <c r="J570" s="290"/>
      <c r="K570" s="290"/>
      <c r="L570" s="290"/>
      <c r="M570" s="290"/>
    </row>
    <row r="571" spans="1:13" s="42" customFormat="1" ht="84.75" customHeight="1">
      <c r="B571" s="665" t="s">
        <v>545</v>
      </c>
      <c r="C571" s="666" t="s">
        <v>16</v>
      </c>
      <c r="D571" s="666">
        <v>1</v>
      </c>
      <c r="E571" s="295"/>
      <c r="F571" s="369">
        <f>4320*(60/80)^0.6*0.1/1.05/1.12</f>
        <v>309.1100910923202</v>
      </c>
      <c r="G571" s="296"/>
      <c r="H571" s="296"/>
      <c r="I571" s="361" t="s">
        <v>693</v>
      </c>
      <c r="K571" s="479"/>
    </row>
    <row r="572" spans="1:13" s="128" customFormat="1">
      <c r="B572" s="668" t="s">
        <v>421</v>
      </c>
      <c r="C572" s="668" t="s">
        <v>335</v>
      </c>
      <c r="D572" s="669">
        <f>1120</f>
        <v>1120</v>
      </c>
      <c r="E572" s="166" t="e">
        <f>E544</f>
        <v>#REF!</v>
      </c>
      <c r="F572" s="375" t="e">
        <f t="shared" ref="F572:F577" si="14">D572*E572/10^5</f>
        <v>#REF!</v>
      </c>
      <c r="G572" s="168"/>
      <c r="I572" s="376"/>
    </row>
    <row r="573" spans="1:13" s="128" customFormat="1">
      <c r="B573" s="668" t="s">
        <v>326</v>
      </c>
      <c r="C573" s="668" t="s">
        <v>335</v>
      </c>
      <c r="D573" s="669">
        <f>110</f>
        <v>110</v>
      </c>
      <c r="E573" s="166" t="e">
        <f>E546</f>
        <v>#REF!</v>
      </c>
      <c r="F573" s="375" t="e">
        <f t="shared" si="14"/>
        <v>#REF!</v>
      </c>
      <c r="G573" s="168"/>
      <c r="I573" s="376"/>
    </row>
    <row r="574" spans="1:13" s="128" customFormat="1" ht="27.6">
      <c r="B574" s="668" t="s">
        <v>424</v>
      </c>
      <c r="C574" s="668" t="s">
        <v>335</v>
      </c>
      <c r="D574" s="669">
        <f>1090</f>
        <v>1090</v>
      </c>
      <c r="E574" s="166" t="e">
        <f>E548</f>
        <v>#REF!</v>
      </c>
      <c r="F574" s="375" t="e">
        <f t="shared" si="14"/>
        <v>#REF!</v>
      </c>
      <c r="G574" s="168"/>
      <c r="I574" s="376"/>
    </row>
    <row r="575" spans="1:13" s="128" customFormat="1">
      <c r="B575" s="668" t="s">
        <v>307</v>
      </c>
      <c r="C575" s="668" t="s">
        <v>335</v>
      </c>
      <c r="D575" s="669">
        <f>20</f>
        <v>20</v>
      </c>
      <c r="E575" s="166" t="e">
        <f>E549</f>
        <v>#REF!</v>
      </c>
      <c r="F575" s="375" t="e">
        <f t="shared" si="14"/>
        <v>#REF!</v>
      </c>
      <c r="G575" s="168"/>
      <c r="I575" s="376"/>
    </row>
    <row r="576" spans="1:13" s="128" customFormat="1">
      <c r="B576" s="668" t="s">
        <v>74</v>
      </c>
      <c r="C576" s="668" t="s">
        <v>429</v>
      </c>
      <c r="D576" s="669">
        <f>130</f>
        <v>130</v>
      </c>
      <c r="E576" s="166" t="e">
        <f>E550</f>
        <v>#REF!</v>
      </c>
      <c r="F576" s="375" t="e">
        <f t="shared" si="14"/>
        <v>#REF!</v>
      </c>
      <c r="G576" s="168"/>
      <c r="I576" s="376"/>
    </row>
    <row r="577" spans="1:11" s="128" customFormat="1">
      <c r="B577" s="668" t="s">
        <v>19</v>
      </c>
      <c r="C577" s="668" t="s">
        <v>429</v>
      </c>
      <c r="D577" s="669">
        <f>10</f>
        <v>10</v>
      </c>
      <c r="E577" s="166" t="e">
        <f>E551</f>
        <v>#REF!</v>
      </c>
      <c r="F577" s="375" t="e">
        <f t="shared" si="14"/>
        <v>#REF!</v>
      </c>
      <c r="G577" s="168"/>
      <c r="I577" s="376"/>
    </row>
    <row r="578" spans="1:11" ht="15.6">
      <c r="A578" s="201"/>
      <c r="B578" s="313" t="s">
        <v>859</v>
      </c>
      <c r="C578" s="165"/>
      <c r="D578" s="179"/>
      <c r="E578" s="165"/>
      <c r="F578" s="313" t="e">
        <f>SUM(F571:F577)</f>
        <v>#REF!</v>
      </c>
      <c r="G578" s="165"/>
      <c r="H578" s="165"/>
      <c r="I578" s="183"/>
      <c r="K578" s="385"/>
    </row>
    <row r="581" spans="1:11" ht="16.5" customHeight="1"/>
    <row r="582" spans="1:11" ht="18.75" customHeight="1"/>
    <row r="588" spans="1:11" ht="18" customHeight="1"/>
    <row r="590" spans="1:11" ht="17.25" customHeight="1"/>
    <row r="599" ht="15.75" customHeight="1"/>
    <row r="605" ht="16.5" customHeight="1"/>
    <row r="606" ht="15.75" customHeight="1"/>
    <row r="608" ht="17.25" customHeight="1"/>
    <row r="610" ht="14.25" customHeight="1"/>
    <row r="612" ht="17.25" customHeight="1"/>
    <row r="613" ht="17.25" customHeight="1"/>
    <row r="614" ht="15" customHeight="1"/>
    <row r="615" ht="17.25" customHeight="1"/>
    <row r="616" ht="15" customHeight="1"/>
    <row r="617" ht="17.25" customHeight="1"/>
    <row r="618" ht="15.75" customHeight="1"/>
    <row r="619" ht="14.25" customHeight="1"/>
    <row r="620" ht="21" customHeight="1"/>
    <row r="621" ht="17.25" customHeight="1"/>
    <row r="622" ht="20.25" customHeight="1"/>
    <row r="623" ht="18" customHeight="1"/>
    <row r="624" ht="18.75" customHeight="1"/>
    <row r="625" ht="18.75" customHeight="1"/>
    <row r="636" ht="22.5" customHeight="1"/>
  </sheetData>
  <mergeCells count="22">
    <mergeCell ref="I455:I457"/>
    <mergeCell ref="I516:I517"/>
    <mergeCell ref="I521:I529"/>
    <mergeCell ref="J156:L156"/>
    <mergeCell ref="I191:I193"/>
    <mergeCell ref="P264:Q264"/>
    <mergeCell ref="E286:F286"/>
    <mergeCell ref="G286:H286"/>
    <mergeCell ref="I360:I362"/>
    <mergeCell ref="I32:I35"/>
    <mergeCell ref="J149:L149"/>
    <mergeCell ref="M151:M153"/>
    <mergeCell ref="N151:N155"/>
    <mergeCell ref="P151:P155"/>
    <mergeCell ref="M154:M155"/>
    <mergeCell ref="E15:F15"/>
    <mergeCell ref="G15:H15"/>
    <mergeCell ref="G2:H2"/>
    <mergeCell ref="D3:E3"/>
    <mergeCell ref="A4:I4"/>
    <mergeCell ref="E6:F6"/>
    <mergeCell ref="G6:H6"/>
  </mergeCells>
  <printOptions horizontalCentered="1" verticalCentered="1"/>
  <pageMargins left="0.31496062992125984" right="0.11811023622047245" top="0.35433070866141736" bottom="0.31496062992125984" header="0.11811023622047245" footer="0.11811023622047245"/>
  <pageSetup paperSize="9" scale="75" orientation="portrait" r:id="rId1"/>
  <headerFooter>
    <oddFooter>&amp;L&amp;F\&amp;A</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X149"/>
  <sheetViews>
    <sheetView showZeros="0" topLeftCell="AO25" zoomScale="120" zoomScaleNormal="120" workbookViewId="0">
      <selection activeCell="AP26" sqref="AP26"/>
    </sheetView>
  </sheetViews>
  <sheetFormatPr defaultColWidth="8.81640625" defaultRowHeight="15"/>
  <cols>
    <col min="1" max="1" width="5.6328125" style="900" customWidth="1"/>
    <col min="2" max="2" width="26.54296875" style="900" customWidth="1"/>
    <col min="3" max="4" width="11.453125" style="900" customWidth="1"/>
    <col min="5" max="5" width="9.1796875" style="900" customWidth="1"/>
    <col min="6" max="6" width="12.36328125" style="900" customWidth="1"/>
    <col min="7" max="7" width="11.81640625" style="900" customWidth="1"/>
    <col min="8" max="8" width="8.1796875" style="900" customWidth="1"/>
    <col min="9" max="9" width="12" style="900" customWidth="1"/>
    <col min="10" max="10" width="8.81640625" style="900" customWidth="1"/>
    <col min="11" max="11" width="11.08984375" style="900" customWidth="1"/>
    <col min="12" max="12" width="12.90625" style="900" customWidth="1"/>
    <col min="13" max="13" width="12.54296875" style="900" customWidth="1"/>
    <col min="14" max="14" width="9.6328125" style="900" customWidth="1"/>
    <col min="15" max="15" width="9.90625" style="900" customWidth="1"/>
    <col min="16" max="16" width="13.36328125" style="900" customWidth="1"/>
    <col min="17" max="17" width="11.54296875" style="900" customWidth="1"/>
    <col min="18" max="18" width="11.6328125" style="900" customWidth="1"/>
    <col min="19" max="19" width="10.36328125" style="900" customWidth="1"/>
    <col min="20" max="20" width="11.81640625" style="900" customWidth="1"/>
    <col min="21" max="21" width="12.08984375" style="900" customWidth="1"/>
    <col min="22" max="22" width="11" style="900" customWidth="1"/>
    <col min="23" max="23" width="12.08984375" style="900" customWidth="1"/>
    <col min="24" max="24" width="10.54296875" style="900" customWidth="1"/>
    <col min="25" max="25" width="9.90625" style="900" customWidth="1"/>
    <col min="26" max="26" width="10.81640625" style="900" customWidth="1"/>
    <col min="27" max="27" width="9.81640625" style="900" customWidth="1"/>
    <col min="28" max="28" width="11.1796875" style="900" customWidth="1"/>
    <col min="29" max="29" width="10.36328125" style="900" customWidth="1"/>
    <col min="30" max="30" width="11.90625" style="900" customWidth="1"/>
    <col min="31" max="31" width="9.6328125" style="900" customWidth="1"/>
    <col min="32" max="33" width="10.90625" style="900" customWidth="1"/>
    <col min="34" max="34" width="11.453125" style="900" customWidth="1"/>
    <col min="35" max="35" width="11.81640625" style="900" customWidth="1"/>
    <col min="36" max="36" width="11.08984375" style="900" customWidth="1"/>
    <col min="37" max="37" width="10.90625" style="900" customWidth="1"/>
    <col min="38" max="41" width="8.81640625" style="900"/>
    <col min="42" max="42" width="11.453125" style="900" bestFit="1" customWidth="1"/>
    <col min="43" max="43" width="10.1796875" style="900" customWidth="1"/>
    <col min="44" max="44" width="11.54296875" style="900" customWidth="1"/>
    <col min="45" max="45" width="12.08984375" style="900" customWidth="1"/>
    <col min="46" max="46" width="13.1796875" style="900" customWidth="1"/>
    <col min="47" max="47" width="14.08984375" style="900" customWidth="1"/>
    <col min="48" max="48" width="11.81640625" style="900" customWidth="1"/>
    <col min="49" max="49" width="9.6328125" style="900" customWidth="1"/>
    <col min="50" max="53" width="8.81640625" style="900"/>
    <col min="54" max="54" width="28.81640625" style="900" customWidth="1"/>
    <col min="55" max="55" width="11.81640625" style="900" customWidth="1"/>
    <col min="56" max="56" width="10" style="900" customWidth="1"/>
    <col min="57" max="57" width="10.453125" style="900" customWidth="1"/>
    <col min="58" max="59" width="8.81640625" style="900"/>
    <col min="60" max="60" width="9.36328125" style="900" customWidth="1"/>
    <col min="61" max="61" width="18.453125" style="900" customWidth="1"/>
    <col min="62" max="62" width="11" style="900" customWidth="1"/>
    <col min="63" max="63" width="9.54296875" style="900" customWidth="1"/>
    <col min="64" max="64" width="10.6328125" style="900" customWidth="1"/>
    <col min="65" max="65" width="9.90625" style="900" customWidth="1"/>
    <col min="66" max="66" width="11.453125" style="900" customWidth="1"/>
    <col min="67" max="67" width="9.90625" style="900" customWidth="1"/>
    <col min="68" max="68" width="10" style="900" customWidth="1"/>
    <col min="69" max="69" width="6.81640625" style="900" customWidth="1"/>
    <col min="70" max="70" width="12.54296875" style="900" customWidth="1"/>
    <col min="71" max="71" width="9.54296875" style="900" customWidth="1"/>
    <col min="72" max="72" width="10.36328125" style="900" customWidth="1"/>
    <col min="73" max="73" width="7.81640625" style="900" customWidth="1"/>
    <col min="74" max="74" width="7.1796875" style="900" customWidth="1"/>
    <col min="75" max="75" width="17.6328125" style="900" customWidth="1"/>
    <col min="76" max="76" width="8.81640625" style="900" customWidth="1"/>
    <col min="77" max="77" width="13.08984375" style="900" bestFit="1" customWidth="1"/>
    <col min="78" max="78" width="13.81640625" style="900" customWidth="1"/>
    <col min="79" max="80" width="8.81640625" style="900"/>
    <col min="81" max="81" width="9" style="900" bestFit="1" customWidth="1"/>
    <col min="82" max="90" width="8.81640625" style="900"/>
    <col min="91" max="91" width="13.08984375" style="900" customWidth="1"/>
    <col min="92" max="92" width="8.81640625" style="900"/>
    <col min="93" max="93" width="9.90625" style="900" customWidth="1"/>
    <col min="94" max="97" width="8.81640625" style="900"/>
    <col min="98" max="98" width="8.54296875" style="900" customWidth="1"/>
    <col min="99" max="99" width="30.36328125" style="900" customWidth="1"/>
    <col min="100" max="100" width="9" style="900" bestFit="1" customWidth="1"/>
    <col min="101" max="101" width="8.81640625" style="900"/>
    <col min="102" max="102" width="5.90625" style="900" customWidth="1"/>
    <col min="103" max="103" width="6.90625" style="900" customWidth="1"/>
    <col min="104" max="104" width="23.90625" style="900" customWidth="1"/>
    <col min="105" max="111" width="8.81640625" style="900"/>
    <col min="112" max="112" width="9" style="900" bestFit="1" customWidth="1"/>
    <col min="113" max="114" width="8.81640625" style="900"/>
    <col min="115" max="115" width="32.90625" style="900" customWidth="1"/>
    <col min="116" max="116" width="16.6328125" style="900" customWidth="1"/>
    <col min="117" max="117" width="10.1796875" style="900" customWidth="1"/>
    <col min="118" max="118" width="12.453125" style="900" customWidth="1"/>
    <col min="119" max="119" width="10" style="900" bestFit="1" customWidth="1"/>
    <col min="120" max="120" width="8.81640625" style="900"/>
    <col min="121" max="121" width="9" style="900" bestFit="1" customWidth="1"/>
    <col min="122" max="123" width="8.81640625" style="900"/>
    <col min="124" max="124" width="11.6328125" style="900" customWidth="1"/>
    <col min="125" max="125" width="8.81640625" style="900"/>
    <col min="126" max="126" width="28.81640625" style="900" customWidth="1"/>
    <col min="127" max="127" width="12.36328125" style="900" customWidth="1"/>
    <col min="128" max="128" width="11.1796875" style="900" customWidth="1"/>
    <col min="129" max="16384" width="8.81640625" style="900"/>
  </cols>
  <sheetData>
    <row r="1" spans="1:93" s="837" customFormat="1" ht="15.6">
      <c r="B1" s="838"/>
      <c r="C1" s="838"/>
      <c r="D1" s="838"/>
      <c r="E1" s="839" t="s">
        <v>81</v>
      </c>
      <c r="F1" s="839"/>
      <c r="G1" s="839"/>
      <c r="H1" s="839"/>
      <c r="I1" s="839"/>
      <c r="J1" s="839"/>
      <c r="K1" s="839"/>
      <c r="L1" s="838"/>
      <c r="M1" s="838"/>
      <c r="N1" s="838"/>
      <c r="O1" s="839" t="s">
        <v>776</v>
      </c>
      <c r="R1" s="838"/>
      <c r="T1" s="838"/>
      <c r="U1" s="838"/>
      <c r="V1" s="838"/>
      <c r="W1" s="838"/>
      <c r="X1" s="838"/>
      <c r="Y1" s="838"/>
      <c r="Z1" s="838"/>
      <c r="AA1" s="838"/>
      <c r="AB1" s="838"/>
      <c r="AC1" s="838"/>
      <c r="AD1" s="838"/>
      <c r="AE1" s="838"/>
      <c r="AF1" s="839" t="str">
        <f>+O1</f>
        <v>Annexure-6.1.1-2</v>
      </c>
      <c r="AG1" s="839"/>
      <c r="AH1" s="838"/>
      <c r="AI1" s="838"/>
      <c r="AJ1" s="838"/>
      <c r="AK1" s="838"/>
      <c r="AL1" s="838"/>
      <c r="AM1" s="838"/>
      <c r="AN1" s="838"/>
      <c r="AO1" s="838"/>
      <c r="AP1" s="838"/>
      <c r="AQ1" s="838"/>
      <c r="AR1" s="838"/>
      <c r="AS1" s="838"/>
      <c r="AT1" s="839" t="str">
        <f>+AF1</f>
        <v>Annexure-6.1.1-2</v>
      </c>
      <c r="AV1" s="838"/>
      <c r="AW1" s="838"/>
      <c r="AX1" s="838"/>
      <c r="AY1" s="838"/>
      <c r="AZ1" s="838"/>
      <c r="BA1" s="838" t="s">
        <v>82</v>
      </c>
      <c r="BB1" s="838"/>
      <c r="BC1" s="838"/>
      <c r="BD1" s="838"/>
      <c r="BE1" s="838"/>
      <c r="BF1" s="838"/>
      <c r="BG1" s="838"/>
      <c r="BI1" s="840" t="s">
        <v>777</v>
      </c>
      <c r="BJ1" s="841" t="e">
        <f>AU27</f>
        <v>#REF!</v>
      </c>
      <c r="BK1" s="840"/>
      <c r="BL1" s="840"/>
      <c r="BM1" s="840"/>
      <c r="BN1" s="840"/>
      <c r="BO1" s="838"/>
      <c r="BP1" s="838"/>
      <c r="BQ1" s="838"/>
      <c r="BR1" s="838"/>
      <c r="BS1" s="838"/>
      <c r="BT1" s="838"/>
      <c r="BU1" s="838"/>
      <c r="CK1" s="842"/>
    </row>
    <row r="2" spans="1:93" s="837" customFormat="1" ht="15.6">
      <c r="B2" s="838"/>
      <c r="C2" s="838"/>
      <c r="D2" s="838"/>
      <c r="E2" s="843" t="s">
        <v>509</v>
      </c>
      <c r="F2" s="844"/>
      <c r="G2" s="839"/>
      <c r="H2" s="839"/>
      <c r="I2" s="839"/>
      <c r="J2" s="839"/>
      <c r="K2" s="839"/>
      <c r="L2" s="838"/>
      <c r="M2" s="838"/>
      <c r="N2" s="838"/>
      <c r="O2" s="839"/>
      <c r="R2" s="838"/>
      <c r="T2" s="838"/>
      <c r="U2" s="838"/>
      <c r="V2" s="838"/>
      <c r="W2" s="838"/>
      <c r="X2" s="838"/>
      <c r="Y2" s="838"/>
      <c r="Z2" s="838"/>
      <c r="AA2" s="838"/>
      <c r="AB2" s="838"/>
      <c r="AC2" s="838"/>
      <c r="AD2" s="838"/>
      <c r="AE2" s="838"/>
      <c r="AF2" s="839"/>
      <c r="AG2" s="839"/>
      <c r="AH2" s="838"/>
      <c r="AI2" s="838"/>
      <c r="AJ2" s="838"/>
      <c r="AK2" s="838"/>
      <c r="AL2" s="838"/>
      <c r="AM2" s="838"/>
      <c r="AN2" s="838"/>
      <c r="AO2" s="838"/>
      <c r="AP2" s="838"/>
      <c r="AQ2" s="838"/>
      <c r="AR2" s="838"/>
      <c r="AS2" s="838"/>
      <c r="AT2" s="839"/>
      <c r="AV2" s="838"/>
      <c r="AW2" s="838"/>
      <c r="AX2" s="838"/>
      <c r="AY2" s="838"/>
      <c r="AZ2" s="838"/>
      <c r="BA2" s="838"/>
      <c r="BE2" s="838"/>
      <c r="BF2" s="838"/>
      <c r="BG2" s="838"/>
      <c r="BI2" s="840"/>
      <c r="BJ2" s="845"/>
      <c r="BK2" s="840"/>
      <c r="BL2" s="840"/>
      <c r="BM2" s="840"/>
      <c r="BN2" s="840"/>
      <c r="BO2" s="838"/>
      <c r="BP2" s="838"/>
      <c r="BQ2" s="838"/>
      <c r="BR2" s="838"/>
      <c r="BS2" s="838"/>
      <c r="BT2" s="838"/>
      <c r="BU2" s="838"/>
      <c r="CK2" s="842"/>
    </row>
    <row r="3" spans="1:93" s="846" customFormat="1" ht="15.6">
      <c r="B3" s="847"/>
      <c r="C3" s="847"/>
      <c r="D3" s="847"/>
      <c r="E3" s="848" t="s">
        <v>989</v>
      </c>
      <c r="F3" s="848"/>
      <c r="G3" s="848"/>
      <c r="H3" s="849"/>
      <c r="I3" s="849"/>
      <c r="J3" s="849"/>
      <c r="K3" s="849"/>
      <c r="L3" s="850"/>
      <c r="M3" s="847"/>
      <c r="N3" s="847"/>
      <c r="O3" s="847" t="s">
        <v>84</v>
      </c>
      <c r="R3" s="847"/>
      <c r="S3" s="847"/>
      <c r="T3" s="847"/>
      <c r="U3" s="847"/>
      <c r="V3" s="847"/>
      <c r="W3" s="847"/>
      <c r="X3" s="847"/>
      <c r="Y3" s="847"/>
      <c r="Z3" s="847"/>
      <c r="AA3" s="847"/>
      <c r="AB3" s="847"/>
      <c r="AC3" s="847"/>
      <c r="AD3" s="847"/>
      <c r="AE3" s="847"/>
      <c r="AF3" s="847" t="s">
        <v>85</v>
      </c>
      <c r="AG3" s="847"/>
      <c r="AH3" s="847"/>
      <c r="AI3" s="847"/>
      <c r="AJ3" s="847"/>
      <c r="AK3" s="847"/>
      <c r="AL3" s="847"/>
      <c r="AM3" s="847"/>
      <c r="AN3" s="847"/>
      <c r="AO3" s="847"/>
      <c r="AP3" s="847"/>
      <c r="AQ3" s="847"/>
      <c r="AR3" s="847"/>
      <c r="AS3" s="847"/>
      <c r="AT3" s="847" t="s">
        <v>86</v>
      </c>
      <c r="AV3" s="847"/>
      <c r="AW3" s="847"/>
      <c r="AX3" s="847"/>
      <c r="AY3" s="847"/>
      <c r="AZ3" s="847"/>
      <c r="BA3" s="847"/>
      <c r="BB3" s="851" t="s">
        <v>83</v>
      </c>
      <c r="BC3" s="852" t="s">
        <v>778</v>
      </c>
      <c r="BD3" s="853" t="s">
        <v>779</v>
      </c>
      <c r="BE3" s="847"/>
      <c r="BF3" s="847"/>
      <c r="BG3" s="847"/>
      <c r="BI3" s="854"/>
      <c r="BJ3" s="854"/>
      <c r="BK3" s="854"/>
      <c r="BL3" s="854"/>
      <c r="BM3" s="854"/>
      <c r="BN3" s="854" t="s">
        <v>780</v>
      </c>
      <c r="BO3" s="847"/>
      <c r="BP3" s="847"/>
      <c r="BQ3" s="847"/>
      <c r="BR3" s="847"/>
      <c r="BS3" s="847"/>
      <c r="BT3" s="847"/>
      <c r="BU3" s="847"/>
      <c r="BW3" s="855"/>
      <c r="BY3" s="855"/>
      <c r="BZ3" s="855"/>
      <c r="CC3" s="855"/>
      <c r="CK3" s="855"/>
    </row>
    <row r="4" spans="1:93" s="837" customFormat="1" ht="15.6">
      <c r="B4" s="838"/>
      <c r="D4" s="838"/>
      <c r="E4" s="838"/>
      <c r="F4" s="838"/>
      <c r="G4" s="838"/>
      <c r="H4" s="838"/>
      <c r="I4" s="838"/>
      <c r="J4" s="838"/>
      <c r="K4" s="838"/>
      <c r="L4" s="838"/>
      <c r="M4" s="838"/>
      <c r="N4" s="838"/>
      <c r="O4" s="838" t="s">
        <v>1056</v>
      </c>
      <c r="P4" s="840"/>
      <c r="Q4" s="840"/>
      <c r="R4" s="838"/>
      <c r="S4" s="838"/>
      <c r="T4" s="838"/>
      <c r="U4" s="838"/>
      <c r="V4" s="838"/>
      <c r="W4" s="838"/>
      <c r="X4" s="838"/>
      <c r="Y4" s="838"/>
      <c r="Z4" s="838"/>
      <c r="AA4" s="838"/>
      <c r="AB4" s="838"/>
      <c r="AC4" s="838"/>
      <c r="AD4" s="838"/>
      <c r="AE4" s="838"/>
      <c r="AF4" s="838"/>
      <c r="AG4" s="838"/>
      <c r="AH4" s="838"/>
      <c r="AI4" s="838"/>
      <c r="AJ4" s="838"/>
      <c r="AK4" s="838"/>
      <c r="AL4" s="838"/>
      <c r="AM4" s="838"/>
      <c r="AN4" s="838"/>
      <c r="AO4" s="838"/>
      <c r="AP4" s="838"/>
      <c r="AQ4" s="838"/>
      <c r="AR4" s="838"/>
      <c r="AS4" s="838"/>
      <c r="AT4" s="838"/>
      <c r="AV4" s="838"/>
      <c r="AW4" s="838"/>
      <c r="AX4" s="838"/>
      <c r="AY4" s="838"/>
      <c r="AZ4" s="838"/>
      <c r="BA4" s="838"/>
      <c r="BB4" s="856" t="s">
        <v>87</v>
      </c>
      <c r="BC4" s="856" t="s">
        <v>87</v>
      </c>
      <c r="BE4" s="838"/>
      <c r="BF4" s="838"/>
      <c r="BG4" s="838"/>
      <c r="BI4" s="857" t="s">
        <v>781</v>
      </c>
      <c r="BJ4" s="840"/>
      <c r="BK4" s="840"/>
      <c r="BL4" s="840"/>
      <c r="BM4" s="840"/>
      <c r="BN4" s="845"/>
      <c r="BO4" s="838"/>
      <c r="BP4" s="838"/>
      <c r="BQ4" s="838"/>
      <c r="BR4" s="838"/>
      <c r="BS4" s="838"/>
      <c r="BT4" s="838"/>
      <c r="BU4" s="838"/>
      <c r="BW4" s="842"/>
      <c r="BY4" s="842"/>
      <c r="CE4" s="842"/>
      <c r="CF4" s="842"/>
      <c r="CG4" s="842"/>
      <c r="CH4" s="842"/>
      <c r="CI4" s="842"/>
      <c r="CJ4" s="842"/>
      <c r="CK4" s="842"/>
      <c r="CL4" s="842"/>
      <c r="CM4" s="837" t="e">
        <f>+#REF!+#REF!</f>
        <v>#REF!</v>
      </c>
      <c r="CO4" s="837" t="e">
        <f>+#REF!+#REF!</f>
        <v>#REF!</v>
      </c>
    </row>
    <row r="5" spans="1:93" s="837" customFormat="1" ht="19.95" customHeight="1">
      <c r="B5" s="838"/>
      <c r="C5" s="838"/>
      <c r="D5" s="838"/>
      <c r="E5" s="838"/>
      <c r="F5" s="838"/>
      <c r="G5" s="838"/>
      <c r="H5" s="838"/>
      <c r="I5" s="838"/>
      <c r="J5" s="838"/>
      <c r="K5" s="838"/>
      <c r="L5" s="858"/>
      <c r="M5" s="838"/>
      <c r="N5" s="838"/>
      <c r="O5" s="838" t="s">
        <v>0</v>
      </c>
      <c r="R5" s="838"/>
      <c r="S5" s="838"/>
      <c r="T5" s="838"/>
      <c r="U5" s="838"/>
      <c r="V5" s="838"/>
      <c r="W5" s="838"/>
      <c r="X5" s="838"/>
      <c r="Y5" s="838"/>
      <c r="Z5" s="838"/>
      <c r="AA5" s="838"/>
      <c r="AB5" s="838"/>
      <c r="AC5" s="838"/>
      <c r="AD5" s="838"/>
      <c r="AE5" s="838"/>
      <c r="AF5" s="838"/>
      <c r="AG5" s="838"/>
      <c r="AH5" s="838"/>
      <c r="AI5" s="838"/>
      <c r="AJ5" s="838"/>
      <c r="AK5" s="838"/>
      <c r="AL5" s="838"/>
      <c r="AM5" s="838"/>
      <c r="AN5" s="838"/>
      <c r="AO5" s="838"/>
      <c r="AP5" s="838"/>
      <c r="AQ5" s="838"/>
      <c r="AR5" s="838"/>
      <c r="AS5" s="838"/>
      <c r="AT5" s="838"/>
      <c r="AV5" s="838"/>
      <c r="AW5" s="838"/>
      <c r="AX5" s="838"/>
      <c r="AY5" s="838"/>
      <c r="AZ5" s="838"/>
      <c r="BA5" s="838"/>
      <c r="BB5" s="859"/>
      <c r="BC5" s="859"/>
      <c r="BE5" s="1727" t="s">
        <v>782</v>
      </c>
      <c r="BF5" s="838"/>
      <c r="BG5" s="838"/>
      <c r="BH5" s="838"/>
      <c r="BI5" s="840"/>
      <c r="BJ5" s="840"/>
      <c r="BK5" s="840"/>
      <c r="BL5" s="840"/>
      <c r="BM5" s="840"/>
      <c r="BN5" s="840"/>
      <c r="BO5" s="860"/>
      <c r="BP5" s="860"/>
      <c r="BQ5" s="860"/>
      <c r="BR5" s="860"/>
      <c r="BS5" s="860"/>
      <c r="BT5" s="838"/>
      <c r="BU5" s="838"/>
      <c r="BW5" s="842"/>
      <c r="BY5" s="842"/>
      <c r="BZ5" s="842"/>
      <c r="CE5" s="842"/>
      <c r="CF5" s="842"/>
      <c r="CG5" s="842"/>
      <c r="CH5" s="842"/>
      <c r="CI5" s="842"/>
      <c r="CJ5" s="842"/>
      <c r="CK5" s="842"/>
      <c r="CL5" s="842"/>
    </row>
    <row r="6" spans="1:93" s="837" customFormat="1" ht="15.6">
      <c r="B6" s="838"/>
      <c r="C6" s="838"/>
      <c r="D6" s="838"/>
      <c r="E6" s="1728" t="s">
        <v>89</v>
      </c>
      <c r="F6" s="1728"/>
      <c r="G6" s="1728"/>
      <c r="H6" s="1728"/>
      <c r="I6" s="1728"/>
      <c r="J6" s="1728"/>
      <c r="K6" s="1728"/>
      <c r="L6" s="838"/>
      <c r="M6" s="838"/>
      <c r="N6" s="838"/>
      <c r="O6" s="845" t="s">
        <v>90</v>
      </c>
      <c r="P6" s="840"/>
      <c r="Q6" s="840"/>
      <c r="R6" s="838"/>
      <c r="S6" s="838"/>
      <c r="T6" s="838"/>
      <c r="U6" s="838"/>
      <c r="V6" s="838"/>
      <c r="W6" s="838"/>
      <c r="X6" s="838" t="s">
        <v>0</v>
      </c>
      <c r="Y6" s="838"/>
      <c r="Z6" s="838"/>
      <c r="AA6" s="838"/>
      <c r="AB6" s="838"/>
      <c r="AC6" s="838"/>
      <c r="AD6" s="838"/>
      <c r="AE6" s="838"/>
      <c r="AF6" s="838" t="str">
        <f>+O6</f>
        <v>Figures in Rs. Crore</v>
      </c>
      <c r="AG6" s="838"/>
      <c r="AH6" s="838"/>
      <c r="AI6" s="838"/>
      <c r="AJ6" s="838"/>
      <c r="AK6" s="838"/>
      <c r="AL6" s="838"/>
      <c r="AM6" s="838"/>
      <c r="AN6" s="838"/>
      <c r="AO6" s="838"/>
      <c r="AP6" s="838"/>
      <c r="AQ6" s="838"/>
      <c r="AR6" s="838"/>
      <c r="AS6" s="838"/>
      <c r="AT6" s="838" t="str">
        <f>+AF6</f>
        <v>Figures in Rs. Crore</v>
      </c>
      <c r="AV6" s="838"/>
      <c r="AW6" s="838"/>
      <c r="AX6" s="838"/>
      <c r="AY6" s="838"/>
      <c r="AZ6" s="838"/>
      <c r="BA6" s="838"/>
      <c r="BB6" s="861" t="s">
        <v>88</v>
      </c>
      <c r="BC6" s="862"/>
      <c r="BD6" s="837" t="s">
        <v>783</v>
      </c>
      <c r="BE6" s="1727"/>
      <c r="BF6" s="838"/>
      <c r="BG6" s="838"/>
      <c r="BI6" s="840"/>
      <c r="BJ6" s="840"/>
      <c r="BK6" s="840"/>
      <c r="BL6" s="840"/>
      <c r="BM6" s="840"/>
      <c r="BN6" s="840" t="str">
        <f>AT6</f>
        <v>Figures in Rs. Crore</v>
      </c>
      <c r="BO6" s="860"/>
      <c r="BP6" s="860"/>
      <c r="BQ6" s="860"/>
      <c r="BR6" s="860"/>
      <c r="BS6" s="860"/>
      <c r="BT6" s="838"/>
      <c r="BU6" s="838"/>
      <c r="CJ6" s="842"/>
      <c r="CK6" s="842"/>
    </row>
    <row r="7" spans="1:93" s="870" customFormat="1">
      <c r="A7" s="837"/>
      <c r="B7" s="838"/>
      <c r="C7" s="838"/>
      <c r="D7" s="837"/>
      <c r="E7" s="837"/>
      <c r="F7" s="863"/>
      <c r="G7" s="838"/>
      <c r="H7" s="838"/>
      <c r="I7" s="838"/>
      <c r="J7" s="838"/>
      <c r="K7" s="838"/>
      <c r="L7" s="837"/>
      <c r="M7" s="837"/>
      <c r="N7" s="838"/>
      <c r="O7" s="838"/>
      <c r="P7" s="838"/>
      <c r="Q7" s="838"/>
      <c r="R7" s="838"/>
      <c r="S7" s="864"/>
      <c r="T7" s="838"/>
      <c r="U7" s="838"/>
      <c r="V7" s="838"/>
      <c r="W7" s="838"/>
      <c r="X7" s="838"/>
      <c r="Y7" s="838"/>
      <c r="Z7" s="838"/>
      <c r="AA7" s="838"/>
      <c r="AB7" s="838"/>
      <c r="AC7" s="838"/>
      <c r="AD7" s="838"/>
      <c r="AE7" s="838"/>
      <c r="AF7" s="838"/>
      <c r="AG7" s="838"/>
      <c r="AH7" s="838"/>
      <c r="AI7" s="838"/>
      <c r="AJ7" s="838"/>
      <c r="AK7" s="838"/>
      <c r="AL7" s="838"/>
      <c r="AM7" s="838"/>
      <c r="AN7" s="838"/>
      <c r="AO7" s="838"/>
      <c r="AP7" s="838"/>
      <c r="AQ7" s="838"/>
      <c r="AR7" s="838"/>
      <c r="AS7" s="838"/>
      <c r="AT7" s="838"/>
      <c r="AU7" s="838"/>
      <c r="AV7" s="838"/>
      <c r="AW7" s="838"/>
      <c r="AX7" s="838"/>
      <c r="AY7" s="838"/>
      <c r="AZ7" s="838"/>
      <c r="BA7" s="838"/>
      <c r="BB7" s="861"/>
      <c r="BC7" s="865"/>
      <c r="BD7" s="866"/>
      <c r="BE7" s="867"/>
      <c r="BF7" s="867"/>
      <c r="BG7" s="867"/>
      <c r="BH7" s="867"/>
      <c r="BI7" s="868" t="s">
        <v>231</v>
      </c>
      <c r="BJ7" s="868" t="s">
        <v>93</v>
      </c>
      <c r="BK7" s="868" t="s">
        <v>94</v>
      </c>
      <c r="BL7" s="868" t="s">
        <v>98</v>
      </c>
      <c r="BM7" s="868" t="s">
        <v>95</v>
      </c>
      <c r="BN7" s="868" t="s">
        <v>96</v>
      </c>
      <c r="BO7" s="869"/>
      <c r="BP7" s="869"/>
      <c r="BQ7" s="869"/>
      <c r="BR7" s="869"/>
      <c r="BS7" s="869"/>
      <c r="BT7" s="867"/>
      <c r="BU7" s="867"/>
    </row>
    <row r="8" spans="1:93" s="881" customFormat="1" ht="15.6">
      <c r="A8" s="871"/>
      <c r="B8" s="872"/>
      <c r="C8" s="872" t="s">
        <v>128</v>
      </c>
      <c r="D8" s="872"/>
      <c r="E8" s="871"/>
      <c r="F8" s="871" t="s">
        <v>784</v>
      </c>
      <c r="G8" s="871"/>
      <c r="H8" s="871"/>
      <c r="I8" s="871" t="s">
        <v>91</v>
      </c>
      <c r="J8" s="871" t="s">
        <v>884</v>
      </c>
      <c r="K8" s="871"/>
      <c r="L8" s="871" t="s">
        <v>92</v>
      </c>
      <c r="M8" s="871"/>
      <c r="N8" s="871"/>
      <c r="O8" s="871"/>
      <c r="P8" s="871"/>
      <c r="Q8" s="871"/>
      <c r="R8" s="871"/>
      <c r="S8" s="871"/>
      <c r="T8" s="871"/>
      <c r="U8" s="872"/>
      <c r="V8" s="872"/>
      <c r="W8" s="872"/>
      <c r="X8" s="872"/>
      <c r="Y8" s="872"/>
      <c r="Z8" s="872"/>
      <c r="AA8" s="872"/>
      <c r="AB8" s="872"/>
      <c r="AC8" s="872"/>
      <c r="AD8" s="872"/>
      <c r="AE8" s="872"/>
      <c r="AF8" s="872"/>
      <c r="AG8" s="872"/>
      <c r="AH8" s="872"/>
      <c r="AI8" s="872"/>
      <c r="AJ8" s="872"/>
      <c r="AK8" s="872"/>
      <c r="AL8" s="872"/>
      <c r="AM8" s="872"/>
      <c r="AN8" s="872"/>
      <c r="AO8" s="872"/>
      <c r="AP8" s="872"/>
      <c r="AQ8" s="872"/>
      <c r="AR8" s="872"/>
      <c r="AS8" s="872"/>
      <c r="AT8" s="872"/>
      <c r="AU8" s="872"/>
      <c r="AV8" s="873"/>
      <c r="AW8" s="873"/>
      <c r="AX8" s="873"/>
      <c r="AY8" s="873"/>
      <c r="AZ8" s="873"/>
      <c r="BA8" s="873"/>
      <c r="BB8" s="861" t="s">
        <v>786</v>
      </c>
      <c r="BC8" s="874">
        <v>64.239999999999995</v>
      </c>
      <c r="BD8" s="875">
        <f>6.17/24*30/2</f>
        <v>3.8562500000000002</v>
      </c>
      <c r="BE8" s="876">
        <f>BC8+BD8</f>
        <v>68.096249999999998</v>
      </c>
      <c r="BF8" s="877"/>
      <c r="BG8" s="877"/>
      <c r="BH8" s="877"/>
      <c r="BI8" s="878"/>
      <c r="BJ8" s="878" t="s">
        <v>97</v>
      </c>
      <c r="BK8" s="598">
        <v>0</v>
      </c>
      <c r="BL8" s="598">
        <v>1</v>
      </c>
      <c r="BM8" s="879" t="s">
        <v>787</v>
      </c>
      <c r="BN8" s="878" t="s">
        <v>788</v>
      </c>
      <c r="BO8" s="880"/>
      <c r="BP8" s="880"/>
      <c r="BQ8" s="880"/>
      <c r="BR8" s="880"/>
      <c r="BS8" s="880"/>
      <c r="BT8" s="877"/>
      <c r="BU8" s="877"/>
      <c r="CJ8" s="882"/>
      <c r="CK8" s="882"/>
    </row>
    <row r="9" spans="1:93" s="881" customFormat="1" ht="15.6">
      <c r="A9" s="871"/>
      <c r="B9" s="872"/>
      <c r="C9" s="600">
        <f>BC58</f>
        <v>0.05</v>
      </c>
      <c r="D9" s="601"/>
      <c r="E9" s="602"/>
      <c r="F9" s="601">
        <f>BC64</f>
        <v>0.11111111111111112</v>
      </c>
      <c r="G9" s="601"/>
      <c r="H9" s="603"/>
      <c r="I9" s="883">
        <f>+BC38+BC39+BC40+BC41</f>
        <v>7.5000000000000011E-2</v>
      </c>
      <c r="J9" s="600">
        <f>BC59</f>
        <v>0.18</v>
      </c>
      <c r="K9" s="601"/>
      <c r="L9" s="603">
        <f>+$BC$68</f>
        <v>0.05</v>
      </c>
      <c r="M9" s="602"/>
      <c r="N9" s="871"/>
      <c r="O9" s="871"/>
      <c r="P9" s="871"/>
      <c r="Q9" s="871"/>
      <c r="R9" s="871"/>
      <c r="S9" s="871"/>
      <c r="T9" s="871"/>
      <c r="U9" s="872"/>
      <c r="V9" s="872"/>
      <c r="W9" s="872" t="e">
        <f>V19+W19+X19+Y19</f>
        <v>#REF!</v>
      </c>
      <c r="X9" s="872" t="e">
        <f>V19+W19</f>
        <v>#REF!</v>
      </c>
      <c r="Y9" s="872"/>
      <c r="Z9" s="872"/>
      <c r="AA9" s="872"/>
      <c r="AB9" s="872"/>
      <c r="AC9" s="872"/>
      <c r="AD9" s="872"/>
      <c r="AE9" s="872"/>
      <c r="AF9" s="872"/>
      <c r="AG9" s="872"/>
      <c r="AH9" s="872"/>
      <c r="AI9" s="872"/>
      <c r="AJ9" s="872"/>
      <c r="AK9" s="872"/>
      <c r="AL9" s="872"/>
      <c r="AM9" s="872"/>
      <c r="AN9" s="872"/>
      <c r="AO9" s="872"/>
      <c r="AP9" s="872"/>
      <c r="AQ9" s="872"/>
      <c r="AR9" s="872"/>
      <c r="AS9" s="872"/>
      <c r="AT9" s="872"/>
      <c r="AU9" s="872"/>
      <c r="AV9" s="873"/>
      <c r="AW9" s="873"/>
      <c r="AX9" s="873"/>
      <c r="AY9" s="873"/>
      <c r="AZ9" s="873"/>
      <c r="BA9" s="873"/>
      <c r="BB9" s="861" t="s">
        <v>789</v>
      </c>
      <c r="BC9" s="884">
        <v>70.760000000000005</v>
      </c>
      <c r="BD9" s="875">
        <f>BD8*1.06795</f>
        <v>4.1182821875000002</v>
      </c>
      <c r="BE9" s="876">
        <f>BC9+BD9</f>
        <v>74.878282187500005</v>
      </c>
      <c r="BF9" s="877"/>
      <c r="BG9" s="877"/>
      <c r="BH9" s="877"/>
      <c r="BI9" s="878"/>
      <c r="BJ9" s="878"/>
      <c r="BK9" s="878"/>
      <c r="BL9" s="878"/>
      <c r="BM9" s="598">
        <v>0.1</v>
      </c>
      <c r="BN9" s="878"/>
      <c r="BO9" s="880"/>
      <c r="BP9" s="880"/>
      <c r="BQ9" s="880"/>
      <c r="BR9" s="880"/>
      <c r="BS9" s="880"/>
      <c r="BT9" s="877"/>
      <c r="BU9" s="877"/>
      <c r="CJ9" s="882"/>
      <c r="CK9" s="882"/>
    </row>
    <row r="10" spans="1:93" ht="15.6">
      <c r="A10" s="885"/>
      <c r="B10" s="886"/>
      <c r="C10" s="887" t="s">
        <v>734</v>
      </c>
      <c r="D10" s="888" t="e">
        <f>'Basis  Tall '!F2</f>
        <v>#REF!</v>
      </c>
      <c r="E10" s="889"/>
      <c r="F10" s="890"/>
      <c r="G10" s="604"/>
      <c r="H10" s="604"/>
      <c r="I10" s="604"/>
      <c r="J10" s="891"/>
      <c r="K10" s="604"/>
      <c r="L10" s="891"/>
      <c r="M10" s="604"/>
      <c r="N10" s="892"/>
      <c r="O10" s="604"/>
      <c r="P10" s="889"/>
      <c r="Q10" s="889"/>
      <c r="R10" s="889"/>
      <c r="S10" s="889"/>
      <c r="T10" s="889"/>
      <c r="U10" s="886"/>
      <c r="V10" s="886"/>
      <c r="W10" s="886"/>
      <c r="X10" s="886"/>
      <c r="Y10" s="886"/>
      <c r="Z10" s="886"/>
      <c r="AA10" s="886"/>
      <c r="AB10" s="886"/>
      <c r="AC10" s="886"/>
      <c r="AD10" s="886"/>
      <c r="AE10" s="886"/>
      <c r="AF10" s="886"/>
      <c r="AG10" s="886"/>
      <c r="AH10" s="886"/>
      <c r="AI10" s="886"/>
      <c r="AJ10" s="886"/>
      <c r="AK10" s="886"/>
      <c r="AL10" s="886"/>
      <c r="AM10" s="886"/>
      <c r="AN10" s="886"/>
      <c r="AO10" s="886"/>
      <c r="AP10" s="886"/>
      <c r="AQ10" s="886"/>
      <c r="AR10" s="886"/>
      <c r="AS10" s="886"/>
      <c r="AT10" s="886"/>
      <c r="AU10" s="886"/>
      <c r="AV10" s="838"/>
      <c r="AW10" s="838"/>
      <c r="AX10" s="838"/>
      <c r="AY10" s="838"/>
      <c r="AZ10" s="838"/>
      <c r="BA10" s="838"/>
      <c r="BB10" s="861" t="s">
        <v>131</v>
      </c>
      <c r="BC10" s="893"/>
      <c r="BD10" s="894"/>
      <c r="BE10" s="895"/>
      <c r="BF10" s="895"/>
      <c r="BG10" s="895"/>
      <c r="BH10" s="896">
        <v>0.1</v>
      </c>
      <c r="BI10" s="897" t="s">
        <v>138</v>
      </c>
      <c r="BJ10" s="898" t="e">
        <f>+BJ1*BH10</f>
        <v>#REF!</v>
      </c>
      <c r="BK10" s="898" t="e">
        <f>+BJ10*BK8</f>
        <v>#REF!</v>
      </c>
      <c r="BL10" s="898" t="e">
        <f>+BJ10*BL8</f>
        <v>#REF!</v>
      </c>
      <c r="BM10" s="898" t="e">
        <f>BL10*BM9/2</f>
        <v>#REF!</v>
      </c>
      <c r="BN10" s="898" t="e">
        <f>+BM10+BL10+BK10</f>
        <v>#REF!</v>
      </c>
      <c r="BO10" s="899"/>
      <c r="BP10" s="899"/>
      <c r="BQ10" s="899"/>
      <c r="BR10" s="899"/>
      <c r="BS10" s="899"/>
      <c r="BT10" s="895"/>
      <c r="BU10" s="895"/>
      <c r="CJ10" s="901"/>
      <c r="CK10" s="901"/>
    </row>
    <row r="11" spans="1:93" ht="15.6">
      <c r="A11" s="885"/>
      <c r="B11" s="885"/>
      <c r="C11" s="887" t="s">
        <v>735</v>
      </c>
      <c r="D11" s="888" t="e">
        <f>'Basis  Tall '!I2</f>
        <v>#REF!</v>
      </c>
      <c r="E11" s="902"/>
      <c r="F11" s="903"/>
      <c r="G11" s="889"/>
      <c r="H11" s="889"/>
      <c r="I11" s="889"/>
      <c r="J11" s="889"/>
      <c r="K11" s="889"/>
      <c r="L11" s="889"/>
      <c r="M11" s="889"/>
      <c r="N11" s="889"/>
      <c r="O11" s="889"/>
      <c r="P11" s="889"/>
      <c r="Q11" s="889"/>
      <c r="R11" s="885"/>
      <c r="S11" s="885"/>
      <c r="T11" s="889"/>
      <c r="U11" s="885"/>
      <c r="V11" s="885"/>
      <c r="W11" s="885"/>
      <c r="X11" s="885"/>
      <c r="Y11" s="885"/>
      <c r="Z11" s="889"/>
      <c r="AA11" s="889"/>
      <c r="AB11" s="889"/>
      <c r="AC11" s="889"/>
      <c r="AD11" s="889"/>
      <c r="AE11" s="889"/>
      <c r="AF11" s="889"/>
      <c r="AG11" s="889"/>
      <c r="AH11" s="889"/>
      <c r="AI11" s="889"/>
      <c r="AJ11" s="889"/>
      <c r="AK11" s="889"/>
      <c r="AL11" s="889"/>
      <c r="AM11" s="889"/>
      <c r="AN11" s="889"/>
      <c r="AO11" s="889"/>
      <c r="AP11" s="885"/>
      <c r="AQ11" s="885"/>
      <c r="AR11" s="885"/>
      <c r="AS11" s="889"/>
      <c r="AT11" s="885"/>
      <c r="AU11" s="885"/>
      <c r="AV11" s="842"/>
      <c r="AW11" s="838"/>
      <c r="AX11" s="838"/>
      <c r="AY11" s="838"/>
      <c r="AZ11" s="838"/>
      <c r="BA11" s="838"/>
      <c r="BB11" s="861" t="s">
        <v>137</v>
      </c>
      <c r="BC11" s="893"/>
      <c r="BD11" s="894"/>
      <c r="BE11" s="904"/>
      <c r="BG11" s="895"/>
      <c r="BH11" s="896">
        <f>1-(BH10+BH12+BH13+BH14)</f>
        <v>0.27499999999999991</v>
      </c>
      <c r="BI11" s="897" t="s">
        <v>141</v>
      </c>
      <c r="BJ11" s="898" t="e">
        <f>+BJ1*BH11</f>
        <v>#REF!</v>
      </c>
      <c r="BK11" s="898" t="e">
        <f>+BJ11*BK8</f>
        <v>#REF!</v>
      </c>
      <c r="BL11" s="898" t="e">
        <f>+BJ11*BL8</f>
        <v>#REF!</v>
      </c>
      <c r="BM11" s="898" t="e">
        <f>(BL11*BM9/2+BL10*BM9)*12/12</f>
        <v>#REF!</v>
      </c>
      <c r="BN11" s="898" t="e">
        <f>+BM11+BL11+BK11</f>
        <v>#REF!</v>
      </c>
      <c r="BO11" s="899"/>
      <c r="BP11" s="899"/>
      <c r="BQ11" s="899"/>
      <c r="BR11" s="899"/>
      <c r="BS11" s="899"/>
      <c r="BU11" s="895"/>
    </row>
    <row r="12" spans="1:93" ht="15.6">
      <c r="A12" s="905" t="s">
        <v>790</v>
      </c>
      <c r="B12" s="905" t="s">
        <v>100</v>
      </c>
      <c r="C12" s="905" t="s">
        <v>101</v>
      </c>
      <c r="D12" s="905" t="s">
        <v>3</v>
      </c>
      <c r="E12" s="905"/>
      <c r="F12" s="905"/>
      <c r="G12" s="905"/>
      <c r="H12" s="905" t="s">
        <v>102</v>
      </c>
      <c r="I12" s="905"/>
      <c r="J12" s="905" t="s">
        <v>103</v>
      </c>
      <c r="K12" s="905"/>
      <c r="L12" s="1729" t="s">
        <v>104</v>
      </c>
      <c r="M12" s="1729"/>
      <c r="N12" s="1729" t="s">
        <v>105</v>
      </c>
      <c r="O12" s="1729"/>
      <c r="P12" s="1730" t="s">
        <v>73</v>
      </c>
      <c r="Q12" s="1730"/>
      <c r="R12" s="1730" t="s">
        <v>106</v>
      </c>
      <c r="S12" s="1730"/>
      <c r="T12" s="1730"/>
      <c r="U12" s="1730"/>
      <c r="V12" s="1730" t="s">
        <v>107</v>
      </c>
      <c r="W12" s="1730"/>
      <c r="X12" s="1730"/>
      <c r="Y12" s="1730"/>
      <c r="Z12" s="1730" t="s">
        <v>108</v>
      </c>
      <c r="AA12" s="1730"/>
      <c r="AB12" s="1730"/>
      <c r="AC12" s="1731" t="s">
        <v>109</v>
      </c>
      <c r="AD12" s="1731"/>
      <c r="AE12" s="1731"/>
      <c r="AF12" s="1731"/>
      <c r="AG12" s="1731"/>
      <c r="AH12" s="1731" t="s">
        <v>791</v>
      </c>
      <c r="AI12" s="1731"/>
      <c r="AJ12" s="1731"/>
      <c r="AK12" s="1730" t="s">
        <v>110</v>
      </c>
      <c r="AL12" s="1730"/>
      <c r="AM12" s="1730" t="s">
        <v>111</v>
      </c>
      <c r="AN12" s="1730"/>
      <c r="AO12" s="1730" t="s">
        <v>112</v>
      </c>
      <c r="AP12" s="1730"/>
      <c r="AQ12" s="1730" t="s">
        <v>113</v>
      </c>
      <c r="AR12" s="1730"/>
      <c r="AS12" s="1732" t="s">
        <v>114</v>
      </c>
      <c r="AT12" s="1730"/>
      <c r="AU12" s="1733"/>
      <c r="AV12" s="1734" t="s">
        <v>115</v>
      </c>
      <c r="AW12" s="1735"/>
      <c r="AX12" s="1735"/>
      <c r="AY12" s="870"/>
      <c r="AZ12" s="867"/>
      <c r="BA12" s="909"/>
      <c r="BB12" s="861"/>
      <c r="BC12" s="893"/>
      <c r="BD12" s="894"/>
      <c r="BG12" s="895"/>
      <c r="BH12" s="896">
        <v>0.3</v>
      </c>
      <c r="BI12" s="248" t="s">
        <v>579</v>
      </c>
      <c r="BJ12" s="898" t="e">
        <f>+BJ1*BH12</f>
        <v>#REF!</v>
      </c>
      <c r="BK12" s="898" t="e">
        <f>+BJ12*BK8</f>
        <v>#REF!</v>
      </c>
      <c r="BL12" s="898" t="e">
        <f>+BJ12*BL8</f>
        <v>#REF!</v>
      </c>
      <c r="BM12" s="898" t="e">
        <f>(BL12*$BM$9/2+(BL11+BL10)*$BM$9)*12/12</f>
        <v>#REF!</v>
      </c>
      <c r="BN12" s="898" t="e">
        <f>+BM12+BL12+BK12</f>
        <v>#REF!</v>
      </c>
      <c r="BO12" s="899"/>
      <c r="BP12" s="899"/>
      <c r="BQ12" s="899"/>
      <c r="BR12" s="899"/>
      <c r="BS12" s="899"/>
      <c r="BT12" s="904"/>
      <c r="BU12" s="895"/>
    </row>
    <row r="13" spans="1:93" ht="29.25" customHeight="1">
      <c r="A13" s="842"/>
      <c r="B13" s="842"/>
      <c r="C13" s="842" t="s">
        <v>116</v>
      </c>
      <c r="D13" s="1736" t="s">
        <v>117</v>
      </c>
      <c r="E13" s="1736"/>
      <c r="F13" s="1736" t="s">
        <v>118</v>
      </c>
      <c r="G13" s="1736"/>
      <c r="H13" s="842" t="s">
        <v>117</v>
      </c>
      <c r="I13" s="842" t="s">
        <v>118</v>
      </c>
      <c r="J13" s="842" t="s">
        <v>117</v>
      </c>
      <c r="K13" s="842" t="s">
        <v>118</v>
      </c>
      <c r="L13" s="842" t="s">
        <v>119</v>
      </c>
      <c r="M13" s="842" t="s">
        <v>120</v>
      </c>
      <c r="N13" s="842" t="s">
        <v>117</v>
      </c>
      <c r="O13" s="842" t="s">
        <v>118</v>
      </c>
      <c r="P13" s="910" t="s">
        <v>217</v>
      </c>
      <c r="Q13" s="911" t="s">
        <v>792</v>
      </c>
      <c r="R13" s="842" t="s">
        <v>121</v>
      </c>
      <c r="S13" s="842" t="s">
        <v>122</v>
      </c>
      <c r="T13" s="842" t="s">
        <v>79</v>
      </c>
      <c r="U13" s="842" t="s">
        <v>123</v>
      </c>
      <c r="V13" s="1736" t="s">
        <v>124</v>
      </c>
      <c r="W13" s="1736"/>
      <c r="X13" s="1736"/>
      <c r="Y13" s="842" t="s">
        <v>125</v>
      </c>
      <c r="Z13" s="842" t="s">
        <v>126</v>
      </c>
      <c r="AA13" s="842" t="s">
        <v>127</v>
      </c>
      <c r="AB13" s="842" t="s">
        <v>127</v>
      </c>
      <c r="AC13" s="842" t="s">
        <v>128</v>
      </c>
      <c r="AD13" s="842" t="s">
        <v>793</v>
      </c>
      <c r="AE13" s="842" t="s">
        <v>129</v>
      </c>
      <c r="AF13" s="1737" t="s">
        <v>903</v>
      </c>
      <c r="AG13" s="842" t="s">
        <v>793</v>
      </c>
      <c r="AH13" s="842" t="s">
        <v>793</v>
      </c>
      <c r="AI13" s="842" t="s">
        <v>793</v>
      </c>
      <c r="AJ13" s="842" t="s">
        <v>217</v>
      </c>
      <c r="AK13" s="842"/>
      <c r="AL13" s="842"/>
      <c r="AM13" s="842"/>
      <c r="AN13" s="842"/>
      <c r="AO13" s="842"/>
      <c r="AP13" s="842"/>
      <c r="AQ13" s="842"/>
      <c r="AR13" s="837"/>
      <c r="AS13" s="912"/>
      <c r="AT13" s="842"/>
      <c r="AU13" s="913"/>
      <c r="AV13" s="1739" t="s">
        <v>130</v>
      </c>
      <c r="AW13" s="1740"/>
      <c r="AX13" s="1740"/>
      <c r="AZ13" s="895"/>
      <c r="BA13" s="914"/>
      <c r="BB13" s="861"/>
      <c r="BC13" s="893"/>
      <c r="BD13" s="894"/>
      <c r="BG13" s="895"/>
      <c r="BH13" s="896">
        <v>0.15</v>
      </c>
      <c r="BI13" s="249" t="s">
        <v>580</v>
      </c>
      <c r="BJ13" s="898" t="e">
        <f>+BJ1*BH13</f>
        <v>#REF!</v>
      </c>
      <c r="BL13" s="898" t="e">
        <f>+BJ13*BL8</f>
        <v>#REF!</v>
      </c>
      <c r="BM13" s="898" t="e">
        <f>(BL13*$BM$9/2+(BL12+BL11+BL10)*$BM$9)*6/12</f>
        <v>#REF!</v>
      </c>
      <c r="BN13" s="898" t="e">
        <f>+BM13+BL13+BK13</f>
        <v>#REF!</v>
      </c>
      <c r="BO13" s="899"/>
      <c r="BP13" s="899"/>
      <c r="BQ13" s="899"/>
      <c r="BR13" s="899"/>
      <c r="BS13" s="899"/>
      <c r="BU13" s="895"/>
    </row>
    <row r="14" spans="1:93" ht="31.2">
      <c r="A14" s="905"/>
      <c r="B14" s="905"/>
      <c r="C14" s="905"/>
      <c r="D14" s="905" t="s">
        <v>132</v>
      </c>
      <c r="E14" s="905" t="s">
        <v>14</v>
      </c>
      <c r="F14" s="905" t="s">
        <v>132</v>
      </c>
      <c r="G14" s="905" t="s">
        <v>14</v>
      </c>
      <c r="H14" s="905"/>
      <c r="I14" s="905"/>
      <c r="J14" s="905"/>
      <c r="K14" s="905"/>
      <c r="L14" s="905" t="s">
        <v>118</v>
      </c>
      <c r="M14" s="905" t="s">
        <v>118</v>
      </c>
      <c r="N14" s="905"/>
      <c r="O14" s="905"/>
      <c r="P14" s="905"/>
      <c r="Q14" s="905"/>
      <c r="R14" s="905"/>
      <c r="S14" s="905"/>
      <c r="T14" s="905"/>
      <c r="U14" s="905"/>
      <c r="V14" s="915" t="s">
        <v>794</v>
      </c>
      <c r="W14" s="1729" t="s">
        <v>795</v>
      </c>
      <c r="X14" s="1729"/>
      <c r="Y14" s="905"/>
      <c r="Z14" s="905" t="s">
        <v>133</v>
      </c>
      <c r="AA14" s="905" t="s">
        <v>133</v>
      </c>
      <c r="AB14" s="905" t="s">
        <v>134</v>
      </c>
      <c r="AC14" s="905"/>
      <c r="AD14" s="905" t="s">
        <v>796</v>
      </c>
      <c r="AE14" s="905" t="s">
        <v>135</v>
      </c>
      <c r="AF14" s="1738"/>
      <c r="AG14" s="905" t="s">
        <v>797</v>
      </c>
      <c r="AH14" s="905" t="s">
        <v>798</v>
      </c>
      <c r="AI14" s="905" t="s">
        <v>799</v>
      </c>
      <c r="AJ14" s="905"/>
      <c r="AK14" s="905"/>
      <c r="AL14" s="905"/>
      <c r="AM14" s="905"/>
      <c r="AN14" s="905"/>
      <c r="AO14" s="905"/>
      <c r="AP14" s="905"/>
      <c r="AQ14" s="905"/>
      <c r="AR14" s="905"/>
      <c r="AS14" s="916"/>
      <c r="AT14" s="905"/>
      <c r="AU14" s="917"/>
      <c r="AV14" s="917" t="s">
        <v>136</v>
      </c>
      <c r="AW14" s="901"/>
      <c r="AX14" s="901"/>
      <c r="AZ14" s="895"/>
      <c r="BA14" s="914"/>
      <c r="BB14" s="861"/>
      <c r="BC14" s="893"/>
      <c r="BD14" s="894"/>
      <c r="BG14" s="895"/>
      <c r="BH14" s="1077">
        <v>0.17499999999999999</v>
      </c>
      <c r="BI14" s="898" t="s">
        <v>180</v>
      </c>
      <c r="BJ14" s="898" t="e">
        <f>+BJ1*BH14</f>
        <v>#REF!</v>
      </c>
      <c r="BK14" s="898" t="e">
        <f>+BJ14*BK8</f>
        <v>#REF!</v>
      </c>
      <c r="BL14" s="898" t="e">
        <f>+BJ14*BL8</f>
        <v>#REF!</v>
      </c>
      <c r="BM14" s="898">
        <v>0</v>
      </c>
      <c r="BN14" s="898" t="e">
        <f>+BM14+BL14+BK14</f>
        <v>#REF!</v>
      </c>
      <c r="BO14" s="899"/>
      <c r="BP14" s="899"/>
      <c r="BQ14" s="899"/>
      <c r="BR14" s="899"/>
      <c r="BS14" s="899"/>
      <c r="BU14" s="895"/>
    </row>
    <row r="15" spans="1:93" ht="15.6">
      <c r="A15" s="842"/>
      <c r="B15" s="842"/>
      <c r="C15" s="837"/>
      <c r="D15" s="842" t="s">
        <v>101</v>
      </c>
      <c r="E15" s="842" t="s">
        <v>101</v>
      </c>
      <c r="F15" s="842" t="s">
        <v>139</v>
      </c>
      <c r="G15" s="842" t="s">
        <v>139</v>
      </c>
      <c r="H15" s="842" t="s">
        <v>101</v>
      </c>
      <c r="I15" s="842" t="s">
        <v>139</v>
      </c>
      <c r="J15" s="842" t="s">
        <v>101</v>
      </c>
      <c r="K15" s="842" t="s">
        <v>139</v>
      </c>
      <c r="L15" s="842" t="s">
        <v>139</v>
      </c>
      <c r="M15" s="842" t="s">
        <v>139</v>
      </c>
      <c r="N15" s="842" t="s">
        <v>101</v>
      </c>
      <c r="O15" s="842" t="s">
        <v>139</v>
      </c>
      <c r="P15" s="842" t="s">
        <v>139</v>
      </c>
      <c r="Q15" s="842" t="s">
        <v>139</v>
      </c>
      <c r="R15" s="842" t="s">
        <v>139</v>
      </c>
      <c r="S15" s="842" t="s">
        <v>139</v>
      </c>
      <c r="T15" s="842" t="s">
        <v>139</v>
      </c>
      <c r="U15" s="842" t="s">
        <v>139</v>
      </c>
      <c r="V15" s="842" t="s">
        <v>101</v>
      </c>
      <c r="W15" s="842" t="s">
        <v>101</v>
      </c>
      <c r="X15" s="842" t="s">
        <v>139</v>
      </c>
      <c r="Y15" s="842" t="s">
        <v>139</v>
      </c>
      <c r="Z15" s="842" t="s">
        <v>101</v>
      </c>
      <c r="AA15" s="842" t="s">
        <v>139</v>
      </c>
      <c r="AB15" s="842" t="s">
        <v>139</v>
      </c>
      <c r="AC15" s="842" t="s">
        <v>139</v>
      </c>
      <c r="AD15" s="842" t="s">
        <v>139</v>
      </c>
      <c r="AE15" s="842" t="s">
        <v>139</v>
      </c>
      <c r="AF15" s="842" t="s">
        <v>139</v>
      </c>
      <c r="AG15" s="842" t="s">
        <v>139</v>
      </c>
      <c r="AH15" s="842" t="s">
        <v>139</v>
      </c>
      <c r="AI15" s="842" t="s">
        <v>139</v>
      </c>
      <c r="AJ15" s="842" t="s">
        <v>139</v>
      </c>
      <c r="AK15" s="842" t="s">
        <v>101</v>
      </c>
      <c r="AL15" s="842" t="s">
        <v>139</v>
      </c>
      <c r="AM15" s="842" t="s">
        <v>101</v>
      </c>
      <c r="AN15" s="842" t="s">
        <v>139</v>
      </c>
      <c r="AO15" s="842" t="s">
        <v>101</v>
      </c>
      <c r="AP15" s="842" t="s">
        <v>139</v>
      </c>
      <c r="AQ15" s="842" t="s">
        <v>101</v>
      </c>
      <c r="AR15" s="842" t="s">
        <v>139</v>
      </c>
      <c r="AS15" s="912" t="s">
        <v>101</v>
      </c>
      <c r="AT15" s="842" t="s">
        <v>139</v>
      </c>
      <c r="AU15" s="913" t="s">
        <v>140</v>
      </c>
      <c r="AV15" s="917" t="s">
        <v>139</v>
      </c>
      <c r="AW15" s="901" t="s">
        <v>139</v>
      </c>
      <c r="AX15" s="901" t="s">
        <v>140</v>
      </c>
      <c r="AZ15" s="895"/>
      <c r="BA15" s="914"/>
      <c r="BB15" s="861"/>
      <c r="BC15" s="919"/>
      <c r="BD15" s="894"/>
      <c r="BG15" s="895"/>
      <c r="BH15" s="918">
        <f>SUM(BH10:BH14)</f>
        <v>0.99999999999999978</v>
      </c>
      <c r="BI15" s="898" t="s">
        <v>72</v>
      </c>
      <c r="BJ15" s="898" t="e">
        <f>SUM(BJ10:BJ14)</f>
        <v>#REF!</v>
      </c>
      <c r="BK15" s="898" t="e">
        <f>SUM(BK10:BK14)</f>
        <v>#REF!</v>
      </c>
      <c r="BL15" s="898" t="e">
        <f>SUM(BL10:BL14)</f>
        <v>#REF!</v>
      </c>
      <c r="BM15" s="898" t="e">
        <f>SUM(BM10:BM14)</f>
        <v>#REF!</v>
      </c>
      <c r="BN15" s="898" t="e">
        <f>SUM(BN10:BN14)</f>
        <v>#REF!</v>
      </c>
      <c r="BO15" s="899"/>
      <c r="BP15" s="899"/>
      <c r="BQ15" s="899"/>
      <c r="BR15" s="899"/>
      <c r="BS15" s="899"/>
      <c r="BU15" s="895"/>
      <c r="CJ15" s="900">
        <f>+CI15*(1.3*1.04)+CI15*0.03</f>
        <v>0</v>
      </c>
    </row>
    <row r="16" spans="1:93" ht="20.25" customHeight="1">
      <c r="A16" s="905" t="s">
        <v>17</v>
      </c>
      <c r="B16" s="905" t="s">
        <v>6</v>
      </c>
      <c r="C16" s="905" t="s">
        <v>7</v>
      </c>
      <c r="D16" s="905" t="s">
        <v>142</v>
      </c>
      <c r="E16" s="905" t="s">
        <v>143</v>
      </c>
      <c r="F16" s="905" t="s">
        <v>144</v>
      </c>
      <c r="G16" s="905" t="s">
        <v>145</v>
      </c>
      <c r="H16" s="905" t="s">
        <v>146</v>
      </c>
      <c r="I16" s="905" t="s">
        <v>221</v>
      </c>
      <c r="J16" s="905" t="s">
        <v>147</v>
      </c>
      <c r="K16" s="905" t="s">
        <v>148</v>
      </c>
      <c r="L16" s="905" t="s">
        <v>149</v>
      </c>
      <c r="M16" s="905" t="s">
        <v>5</v>
      </c>
      <c r="N16" s="905" t="s">
        <v>150</v>
      </c>
      <c r="O16" s="905" t="s">
        <v>151</v>
      </c>
      <c r="P16" s="905" t="s">
        <v>152</v>
      </c>
      <c r="Q16" s="905"/>
      <c r="R16" s="905" t="s">
        <v>153</v>
      </c>
      <c r="S16" s="905" t="s">
        <v>154</v>
      </c>
      <c r="T16" s="920" t="s">
        <v>155</v>
      </c>
      <c r="U16" s="905" t="s">
        <v>4</v>
      </c>
      <c r="V16" s="905" t="s">
        <v>156</v>
      </c>
      <c r="W16" s="905" t="s">
        <v>157</v>
      </c>
      <c r="X16" s="905" t="s">
        <v>158</v>
      </c>
      <c r="Y16" s="905" t="s">
        <v>159</v>
      </c>
      <c r="Z16" s="905" t="s">
        <v>160</v>
      </c>
      <c r="AA16" s="905" t="s">
        <v>161</v>
      </c>
      <c r="AB16" s="905" t="s">
        <v>162</v>
      </c>
      <c r="AC16" s="905" t="s">
        <v>163</v>
      </c>
      <c r="AD16" s="905" t="s">
        <v>164</v>
      </c>
      <c r="AE16" s="905" t="s">
        <v>165</v>
      </c>
      <c r="AF16" s="905" t="s">
        <v>166</v>
      </c>
      <c r="AG16" s="905" t="s">
        <v>167</v>
      </c>
      <c r="AH16" s="905" t="s">
        <v>168</v>
      </c>
      <c r="AI16" s="905" t="s">
        <v>169</v>
      </c>
      <c r="AJ16" s="905" t="s">
        <v>170</v>
      </c>
      <c r="AK16" s="905" t="s">
        <v>171</v>
      </c>
      <c r="AL16" s="905" t="s">
        <v>172</v>
      </c>
      <c r="AM16" s="905" t="s">
        <v>173</v>
      </c>
      <c r="AN16" s="905" t="s">
        <v>174</v>
      </c>
      <c r="AO16" s="905" t="s">
        <v>175</v>
      </c>
      <c r="AP16" s="905" t="s">
        <v>176</v>
      </c>
      <c r="AQ16" s="905" t="s">
        <v>177</v>
      </c>
      <c r="AR16" s="905" t="s">
        <v>178</v>
      </c>
      <c r="AS16" s="916" t="s">
        <v>179</v>
      </c>
      <c r="AT16" s="905" t="s">
        <v>800</v>
      </c>
      <c r="AU16" s="917" t="s">
        <v>801</v>
      </c>
      <c r="AV16" s="917" t="s">
        <v>179</v>
      </c>
      <c r="AW16" s="901"/>
      <c r="AX16" s="901"/>
      <c r="AZ16" s="895"/>
      <c r="BA16" s="914"/>
      <c r="BB16" s="861"/>
      <c r="BC16" s="919"/>
      <c r="BD16" s="894"/>
      <c r="BG16" s="895"/>
      <c r="BH16" s="895"/>
      <c r="BI16" s="898" t="s">
        <v>802</v>
      </c>
      <c r="BJ16" s="898"/>
      <c r="BK16" s="898"/>
      <c r="BL16" s="898"/>
      <c r="BM16" s="898"/>
      <c r="BN16" s="898" t="e">
        <f>AT30</f>
        <v>#REF!</v>
      </c>
      <c r="BO16" s="899"/>
      <c r="BP16" s="899"/>
      <c r="BQ16" s="899"/>
      <c r="BR16" s="899"/>
      <c r="BS16" s="899"/>
      <c r="BU16" s="895"/>
      <c r="CJ16" s="900">
        <f>+CI16*(1.3*1.04)+CI16*0.03</f>
        <v>0</v>
      </c>
    </row>
    <row r="17" spans="1:73" s="929" customFormat="1" ht="21" customHeight="1">
      <c r="A17" s="921"/>
      <c r="B17" s="922"/>
      <c r="C17" s="923"/>
      <c r="D17" s="924"/>
      <c r="E17" s="924"/>
      <c r="F17" s="924"/>
      <c r="G17" s="924"/>
      <c r="H17" s="924"/>
      <c r="I17" s="924"/>
      <c r="J17" s="925"/>
      <c r="K17" s="924"/>
      <c r="L17" s="924"/>
      <c r="M17" s="924"/>
      <c r="N17" s="924"/>
      <c r="O17" s="924"/>
      <c r="P17" s="924"/>
      <c r="Q17" s="924"/>
      <c r="R17" s="924"/>
      <c r="S17" s="924"/>
      <c r="T17" s="924"/>
      <c r="U17" s="924"/>
      <c r="V17" s="924"/>
      <c r="W17" s="924"/>
      <c r="X17" s="924"/>
      <c r="Y17" s="924"/>
      <c r="Z17" s="924"/>
      <c r="AA17" s="924"/>
      <c r="AB17" s="924"/>
      <c r="AC17" s="924"/>
      <c r="AD17" s="924"/>
      <c r="AE17" s="924"/>
      <c r="AF17" s="924"/>
      <c r="AG17" s="924"/>
      <c r="AH17" s="924"/>
      <c r="AI17" s="924"/>
      <c r="AJ17" s="924"/>
      <c r="AK17" s="925"/>
      <c r="AL17" s="924"/>
      <c r="AM17" s="924"/>
      <c r="AN17" s="924"/>
      <c r="AO17" s="924"/>
      <c r="AP17" s="925"/>
      <c r="AQ17" s="924"/>
      <c r="AR17" s="924"/>
      <c r="AS17" s="926"/>
      <c r="AT17" s="924"/>
      <c r="AU17" s="927"/>
      <c r="AV17" s="928"/>
      <c r="AZ17" s="930"/>
      <c r="BA17" s="931"/>
      <c r="BB17" s="861"/>
      <c r="BC17" s="893"/>
      <c r="BD17" s="932"/>
      <c r="BE17" s="930"/>
      <c r="BF17" s="930"/>
      <c r="BG17" s="930"/>
      <c r="BH17" s="895"/>
      <c r="BI17" s="898" t="s">
        <v>803</v>
      </c>
      <c r="BJ17" s="898"/>
      <c r="BK17" s="898"/>
      <c r="BL17" s="898"/>
      <c r="BM17" s="898"/>
      <c r="BN17" s="898" t="e">
        <f>+BN15-BN16</f>
        <v>#REF!</v>
      </c>
      <c r="BO17" s="930"/>
      <c r="BP17" s="930"/>
      <c r="BQ17" s="930"/>
      <c r="BR17" s="930"/>
      <c r="BU17" s="930"/>
    </row>
    <row r="18" spans="1:73" s="929" customFormat="1" ht="32.25" customHeight="1">
      <c r="A18" s="921"/>
      <c r="B18" s="922" t="str">
        <f>E3</f>
        <v xml:space="preserve">Installation of Tall Coke Oven Battery # 7 at RSP </v>
      </c>
      <c r="C18" s="923"/>
      <c r="D18" s="924" t="e">
        <f>SUM(D19:D23)</f>
        <v>#REF!</v>
      </c>
      <c r="E18" s="924">
        <f t="shared" ref="E18:N18" si="0">SUM(E19:E26)</f>
        <v>0</v>
      </c>
      <c r="F18" s="924">
        <f>SUM(F19:F23)</f>
        <v>465.29734121436815</v>
      </c>
      <c r="G18" s="924">
        <f t="shared" si="0"/>
        <v>0</v>
      </c>
      <c r="H18" s="924" t="e">
        <f t="shared" si="0"/>
        <v>#REF!</v>
      </c>
      <c r="I18" s="924">
        <f t="shared" si="0"/>
        <v>7.5126942962601033</v>
      </c>
      <c r="J18" s="924">
        <f t="shared" si="0"/>
        <v>0</v>
      </c>
      <c r="K18" s="924">
        <f t="shared" si="0"/>
        <v>0</v>
      </c>
      <c r="L18" s="924" t="e">
        <f>SUM(L19:L23)</f>
        <v>#REF!</v>
      </c>
      <c r="M18" s="924">
        <f t="shared" si="0"/>
        <v>0</v>
      </c>
      <c r="N18" s="924">
        <f t="shared" si="0"/>
        <v>0</v>
      </c>
      <c r="O18" s="924">
        <f t="shared" ref="O18:AH18" si="1">SUM(O19:O23)</f>
        <v>78.089849999999998</v>
      </c>
      <c r="P18" s="924" t="e">
        <f t="shared" si="1"/>
        <v>#REF!</v>
      </c>
      <c r="Q18" s="924" t="e">
        <f t="shared" si="1"/>
        <v>#REF!</v>
      </c>
      <c r="R18" s="924" t="e">
        <f t="shared" si="1"/>
        <v>#REF!</v>
      </c>
      <c r="S18" s="924" t="e">
        <f t="shared" si="1"/>
        <v>#REF!</v>
      </c>
      <c r="T18" s="924">
        <f t="shared" si="1"/>
        <v>15.9024</v>
      </c>
      <c r="U18" s="924">
        <f t="shared" si="1"/>
        <v>1.4129999999999998</v>
      </c>
      <c r="V18" s="924" t="e">
        <f t="shared" si="1"/>
        <v>#REF!</v>
      </c>
      <c r="W18" s="924" t="e">
        <f t="shared" si="1"/>
        <v>#REF!</v>
      </c>
      <c r="X18" s="924" t="e">
        <f t="shared" si="1"/>
        <v>#REF!</v>
      </c>
      <c r="Y18" s="924" t="e">
        <f t="shared" si="1"/>
        <v>#REF!</v>
      </c>
      <c r="Z18" s="924" t="e">
        <f t="shared" si="1"/>
        <v>#REF!</v>
      </c>
      <c r="AA18" s="924" t="e">
        <f t="shared" si="1"/>
        <v>#REF!</v>
      </c>
      <c r="AB18" s="924" t="e">
        <f t="shared" si="1"/>
        <v>#REF!</v>
      </c>
      <c r="AC18" s="924" t="e">
        <f t="shared" si="1"/>
        <v>#REF!</v>
      </c>
      <c r="AD18" s="924" t="e">
        <f t="shared" si="1"/>
        <v>#REF!</v>
      </c>
      <c r="AE18" s="924" t="e">
        <f t="shared" si="1"/>
        <v>#REF!</v>
      </c>
      <c r="AF18" s="924" t="e">
        <f t="shared" si="1"/>
        <v>#REF!</v>
      </c>
      <c r="AG18" s="924" t="e">
        <f t="shared" si="1"/>
        <v>#REF!</v>
      </c>
      <c r="AH18" s="924" t="e">
        <f t="shared" si="1"/>
        <v>#REF!</v>
      </c>
      <c r="AI18" s="924" t="e">
        <f>SUM(AI19:AI23)+AI26</f>
        <v>#REF!</v>
      </c>
      <c r="AJ18" s="924">
        <f t="shared" ref="AJ18:AO18" si="2">SUM(AJ19:AJ23)</f>
        <v>0</v>
      </c>
      <c r="AK18" s="924">
        <f t="shared" si="2"/>
        <v>0</v>
      </c>
      <c r="AL18" s="924">
        <f t="shared" si="2"/>
        <v>0</v>
      </c>
      <c r="AM18" s="924" t="e">
        <f t="shared" si="2"/>
        <v>#REF!</v>
      </c>
      <c r="AN18" s="924">
        <f t="shared" si="2"/>
        <v>0</v>
      </c>
      <c r="AO18" s="924">
        <f t="shared" si="2"/>
        <v>0</v>
      </c>
      <c r="AP18" s="924" t="e">
        <f>SUM(AP19:AP23)+AP26</f>
        <v>#REF!</v>
      </c>
      <c r="AQ18" s="924" t="e">
        <f>SUM(AQ19:AQ23)+AQ26</f>
        <v>#REF!</v>
      </c>
      <c r="AR18" s="924" t="e">
        <f>SUM(AR19:AR23)+AR26</f>
        <v>#REF!</v>
      </c>
      <c r="AS18" s="924" t="e">
        <f>SUM(AS19:AS26)</f>
        <v>#REF!</v>
      </c>
      <c r="AT18" s="924" t="e">
        <f>SUM(AT19:AT26)</f>
        <v>#REF!</v>
      </c>
      <c r="AU18" s="924" t="e">
        <f>SUM(AU19:AU26)</f>
        <v>#REF!</v>
      </c>
      <c r="AV18" s="928"/>
      <c r="AW18" s="844" t="e">
        <f>SUM(AW19:AW26)</f>
        <v>#REF!</v>
      </c>
      <c r="AX18" s="844" t="e">
        <f>SUM(AX19:AX26)</f>
        <v>#REF!</v>
      </c>
      <c r="AY18" s="844" t="e">
        <f>SUM(AY19:AY26)</f>
        <v>#REF!</v>
      </c>
      <c r="AZ18" s="930"/>
      <c r="BA18" s="931"/>
      <c r="BB18" s="861"/>
      <c r="BC18" s="893"/>
      <c r="BD18" s="932"/>
      <c r="BE18" s="930"/>
      <c r="BF18" s="930"/>
      <c r="BG18" s="930"/>
      <c r="BH18" s="895"/>
      <c r="BI18" s="898"/>
      <c r="BJ18" s="898"/>
      <c r="BK18" s="898"/>
      <c r="BL18" s="898"/>
      <c r="BM18" s="898"/>
      <c r="BN18" s="898"/>
      <c r="BO18" s="930"/>
      <c r="BP18" s="930"/>
      <c r="BQ18" s="930"/>
      <c r="BR18" s="930"/>
      <c r="BU18" s="930"/>
    </row>
    <row r="19" spans="1:73" s="942" customFormat="1" ht="36" customHeight="1">
      <c r="A19" s="933" t="s">
        <v>804</v>
      </c>
      <c r="B19" s="934" t="str">
        <f>'[1]Basis '!B9</f>
        <v>Geo-technical Investigation and Survey Works (Package 1)</v>
      </c>
      <c r="C19" s="935"/>
      <c r="D19" s="936"/>
      <c r="E19" s="936"/>
      <c r="F19" s="936"/>
      <c r="G19" s="936"/>
      <c r="H19" s="936"/>
      <c r="I19" s="936"/>
      <c r="J19" s="937"/>
      <c r="K19" s="936"/>
      <c r="L19" s="936"/>
      <c r="M19" s="936"/>
      <c r="N19" s="936"/>
      <c r="O19" s="936"/>
      <c r="P19" s="936"/>
      <c r="Q19" s="936" t="e">
        <f>'Basis  Tall '!F10/100</f>
        <v>#REF!</v>
      </c>
      <c r="R19" s="936">
        <f>($BD$30*(D19+$BC$45*D19)+$BC$30*F19)</f>
        <v>0</v>
      </c>
      <c r="S19" s="938">
        <f t="shared" ref="S19:S25" si="3">$BC$32*(J19+$BC$45*J19+K19+L19+M19)</f>
        <v>0</v>
      </c>
      <c r="T19" s="936">
        <f>$BC$34*(N19+$BC$45*N19+O19)</f>
        <v>0</v>
      </c>
      <c r="U19" s="936"/>
      <c r="V19" s="936">
        <f>$BC$39*(D19+J19+N19+$BC$45*(D19+J19+N19)+F19+K19+L19+M19+O19+P19+R19+S19+T19+U19)*0</f>
        <v>0</v>
      </c>
      <c r="W19" s="936" t="e">
        <f>($BC$40*(D19+J19+N19+$BC$45*(D19+J19+N19)+F19+K19+L19+M19+O19+P19+Q19+R19+S19+T19+U19))*0</f>
        <v>#REF!</v>
      </c>
      <c r="X19" s="936" t="e">
        <f>$BC$41*(D19+J19+N19+$BC$45*(D19+J19+N19)+F19+K19+L19+M19+O19+P19+Q19+R19+S19+T19+U19)*0</f>
        <v>#REF!</v>
      </c>
      <c r="Y19" s="938" t="e">
        <f t="shared" ref="Y19:Y25" si="4">$BC$38*(D19+J19+N19+$BC$45*(D19+J19+N19)+F19+K19+L19+M19+O19+P19+Q19+R19+S19+T19+U19)</f>
        <v>#REF!</v>
      </c>
      <c r="Z19" s="936">
        <f t="shared" ref="Z19:Z25" si="5">$BC$45*(D19+H19+J19+N19)</f>
        <v>0</v>
      </c>
      <c r="AA19" s="936">
        <f t="shared" ref="AA19:AA25" si="6">($BC$48*(D19+H19+$BC$45*(D19+H19))+$BC$50*(J19+N19+$BC$45*(J19+N19)))</f>
        <v>0</v>
      </c>
      <c r="AB19" s="936">
        <f t="shared" ref="AB19:AB25" si="7">($BC$52*(F19+I19)+$BC$54*(K19+L19+O19))</f>
        <v>0</v>
      </c>
      <c r="AC19" s="936">
        <f>$BC$58*(D19+H19+J19+N19+Z19)</f>
        <v>0</v>
      </c>
      <c r="AD19" s="936">
        <f>$BC$59*((D19+H19+J19+N19+Z19)+AC19)</f>
        <v>0</v>
      </c>
      <c r="AE19" s="936" t="e">
        <f>$BC$64*(E19+V19+W19+AK19+AM19+AO19)</f>
        <v>#REF!</v>
      </c>
      <c r="AF19" s="936">
        <f>$BC$66*((D19+H19+J19+N19+Z19)*1.01+AC19)</f>
        <v>0</v>
      </c>
      <c r="AG19" s="936" t="e">
        <f>$BC$60*(E19+V19+W19+AE19+AK19+AM19+AO19)</f>
        <v>#REF!</v>
      </c>
      <c r="AH19" s="936">
        <f>$BC$61*(F19+I19+K19+L19+M19+O19)</f>
        <v>0</v>
      </c>
      <c r="AI19" s="936" t="e">
        <f>$BC$62*(G19+P19+Q19+R19+S19+T19+U19+X19+AL19+AN19+AP19)+$BC$63*(AA19+AB19)</f>
        <v>#REF!</v>
      </c>
      <c r="AJ19" s="936"/>
      <c r="AK19" s="937"/>
      <c r="AL19" s="936"/>
      <c r="AM19" s="936"/>
      <c r="AN19" s="936"/>
      <c r="AO19" s="936"/>
      <c r="AP19" s="937"/>
      <c r="AQ19" s="936" t="e">
        <f t="shared" ref="AQ19:AQ25" si="8">+$BC$68*(D19+E19+H19+J19+N19+V19+W19+Z19+AK19+AM19+AO19)</f>
        <v>#REF!</v>
      </c>
      <c r="AR19" s="936" t="e">
        <f t="shared" ref="AR19:AR25" si="9">+$BC$68*(F19+G19+I19+K19+L19+M19+O19+P19+Q19+R19+S19+T19+U19+X19+Y19+AA19+AB19+AC19+AD19+AE19+AF19+AG19+AH19+AI19+AJ19+AL19+AN19+AP19)</f>
        <v>#REF!</v>
      </c>
      <c r="AS19" s="939" t="e">
        <f>D19+E19+H19+J19+N19+V19+W19+Z19+AK19+AM19+AO19+AQ19</f>
        <v>#REF!</v>
      </c>
      <c r="AT19" s="936" t="e">
        <f t="shared" ref="AT19:AT26" si="10">(F19+G19+I19+K19+L19+M19+O19+P19+Q19+R19+S19+T19+U19+X19+Y19+AA19+AB19+AC19+AD19+AE19+AF19+AG19+AH19+AI19+AJ19+AL19+AN19+AP19+AR19)</f>
        <v>#REF!</v>
      </c>
      <c r="AU19" s="940" t="e">
        <f t="shared" ref="AU19:AU25" si="11">AS19+AT19</f>
        <v>#REF!</v>
      </c>
      <c r="AV19" s="941" t="e">
        <f>AU19+AU20+AU26</f>
        <v>#REF!</v>
      </c>
      <c r="AW19" s="942" t="e">
        <f>AU19-AR19-AQ19-Y19</f>
        <v>#REF!</v>
      </c>
      <c r="AX19" s="943" t="e">
        <f>AD19+AF19+AH19-$BC$61*(L19+M19)+$BC$60*(E19+V19+W19+AE19+AK19+AM19+AO19)+$BC$62*(G19+Q19+R19+T19+$BC$32*(J19+K19)+X19+AL19+AN19+AP19)+$BC$63*(AA19+AB19)</f>
        <v>#REF!</v>
      </c>
      <c r="AY19" s="942" t="e">
        <f t="shared" ref="AY19:AY24" si="12">AW19-AX19</f>
        <v>#REF!</v>
      </c>
      <c r="AZ19" s="943"/>
      <c r="BA19" s="943"/>
      <c r="BC19" s="942" t="s">
        <v>101</v>
      </c>
      <c r="BD19" s="942" t="s">
        <v>139</v>
      </c>
      <c r="BE19" s="943"/>
      <c r="BF19" s="943"/>
      <c r="BG19" s="943"/>
      <c r="BH19" s="943"/>
      <c r="BI19" s="943"/>
      <c r="BJ19" s="943"/>
      <c r="BK19" s="943"/>
      <c r="BL19" s="943"/>
      <c r="BM19" s="943"/>
      <c r="BN19" s="943"/>
      <c r="BO19" s="943"/>
      <c r="BP19" s="943"/>
      <c r="BQ19" s="943"/>
      <c r="BR19" s="943"/>
      <c r="BU19" s="943"/>
    </row>
    <row r="20" spans="1:73" s="945" customFormat="1" ht="23.25" customHeight="1">
      <c r="A20" s="933" t="s">
        <v>883</v>
      </c>
      <c r="B20" s="934" t="str">
        <f>'[1]Basis '!B41</f>
        <v>Enabling Works (Package 1A)</v>
      </c>
      <c r="C20" s="935"/>
      <c r="D20" s="936"/>
      <c r="E20" s="936"/>
      <c r="F20" s="936"/>
      <c r="G20" s="936"/>
      <c r="H20" s="936"/>
      <c r="I20" s="936"/>
      <c r="J20" s="937"/>
      <c r="K20" s="936"/>
      <c r="L20" s="936"/>
      <c r="M20" s="936"/>
      <c r="N20" s="936"/>
      <c r="O20" s="936"/>
      <c r="P20" s="936" t="e">
        <f>'Basis  Tall '!F12/100</f>
        <v>#REF!</v>
      </c>
      <c r="Q20" s="936"/>
      <c r="R20" s="936"/>
      <c r="S20" s="938"/>
      <c r="T20" s="936"/>
      <c r="U20" s="936"/>
      <c r="V20" s="936"/>
      <c r="W20" s="936"/>
      <c r="X20" s="936"/>
      <c r="Y20" s="936" t="e">
        <f t="shared" si="4"/>
        <v>#REF!</v>
      </c>
      <c r="Z20" s="936"/>
      <c r="AA20" s="936"/>
      <c r="AB20" s="936"/>
      <c r="AC20" s="936"/>
      <c r="AD20" s="936"/>
      <c r="AE20" s="936"/>
      <c r="AF20" s="936"/>
      <c r="AG20" s="936"/>
      <c r="AH20" s="936"/>
      <c r="AI20" s="936" t="e">
        <f>$BC$62*(G20+P20+Q20+R20+S20+T20+U20+X20+AL20+AN20+AP20)+$BC$63*(AA20+AB20)</f>
        <v>#REF!</v>
      </c>
      <c r="AJ20" s="936"/>
      <c r="AK20" s="937"/>
      <c r="AL20" s="936"/>
      <c r="AM20" s="936"/>
      <c r="AN20" s="936"/>
      <c r="AO20" s="936"/>
      <c r="AP20" s="937"/>
      <c r="AQ20" s="936">
        <f t="shared" si="8"/>
        <v>0</v>
      </c>
      <c r="AR20" s="936" t="e">
        <f t="shared" si="9"/>
        <v>#REF!</v>
      </c>
      <c r="AS20" s="939">
        <f>D20+E20+H20+J20+N20+V20+W20+Z20+AK20+AM20+AO20+AQ20</f>
        <v>0</v>
      </c>
      <c r="AT20" s="936" t="e">
        <f t="shared" si="10"/>
        <v>#REF!</v>
      </c>
      <c r="AU20" s="940" t="e">
        <f>AS20+AT20</f>
        <v>#REF!</v>
      </c>
      <c r="AV20" s="941"/>
      <c r="AW20" s="942" t="e">
        <f>AU20-AR20-AQ20-Y20</f>
        <v>#REF!</v>
      </c>
      <c r="AX20" s="943">
        <f>AD20+AF20+AH20-$BC$61*(L20+M20)+$BC$60*(E20+V20+W20+AE20+AK20+AM20+AO20)+$BC$62*(G20+Q20+R20+T20+$BC$32*(J20+K20)+X20+AL20+AN20+AP20)+$BC$63*(AA20+AB20)</f>
        <v>0</v>
      </c>
      <c r="AY20" s="942" t="e">
        <f>AW20-AX20</f>
        <v>#REF!</v>
      </c>
      <c r="AZ20" s="944" t="e">
        <f>230*AZ21</f>
        <v>#REF!</v>
      </c>
      <c r="BA20" s="944"/>
      <c r="BE20" s="944"/>
      <c r="BF20" s="944"/>
      <c r="BG20" s="944"/>
      <c r="BH20" s="944"/>
      <c r="BI20" s="944"/>
      <c r="BJ20" s="944"/>
      <c r="BK20" s="944"/>
      <c r="BL20" s="944"/>
      <c r="BM20" s="944"/>
      <c r="BN20" s="944"/>
      <c r="BO20" s="944"/>
      <c r="BP20" s="944"/>
      <c r="BQ20" s="944"/>
      <c r="BR20" s="944"/>
      <c r="BU20" s="944"/>
    </row>
    <row r="21" spans="1:73" s="945" customFormat="1" ht="46.5" customHeight="1">
      <c r="A21" s="933" t="s">
        <v>805</v>
      </c>
      <c r="B21" s="934" t="str">
        <f>'[1]Basis '!B43</f>
        <v>Battery Proper along with oven machines &amp; refractory (Package 2)</v>
      </c>
      <c r="C21" s="935"/>
      <c r="D21" s="936" t="e">
        <f>'Basis  Tall '!H157/100</f>
        <v>#REF!</v>
      </c>
      <c r="E21" s="936"/>
      <c r="F21" s="936">
        <f>'Basis  Tall '!F157/100</f>
        <v>239.75647654200344</v>
      </c>
      <c r="G21" s="936"/>
      <c r="H21" s="936" t="e">
        <f>D21*0.05</f>
        <v>#REF!</v>
      </c>
      <c r="I21" s="936">
        <f>F21*0.03</f>
        <v>7.192694296260103</v>
      </c>
      <c r="J21" s="937"/>
      <c r="K21" s="936"/>
      <c r="L21" s="936">
        <f>'Basis  Tall '!F165/100</f>
        <v>50.514750000000006</v>
      </c>
      <c r="M21" s="936"/>
      <c r="N21" s="936"/>
      <c r="O21" s="936">
        <f>'Basis  Tall '!F197/100</f>
        <v>78.089849999999998</v>
      </c>
      <c r="P21" s="946" t="e">
        <f>'Basis  Tall '!F246/100*0.65</f>
        <v>#REF!</v>
      </c>
      <c r="Q21" s="946" t="e">
        <f>'Basis  Tall '!F246/100*0.35</f>
        <v>#REF!</v>
      </c>
      <c r="R21" s="936" t="e">
        <f>($BD$30*(D21+$BC$45*D21)+$BC$30*F21)+'Basis  Tall '!F251/100</f>
        <v>#REF!</v>
      </c>
      <c r="S21" s="936">
        <f t="shared" si="3"/>
        <v>10.102950000000002</v>
      </c>
      <c r="T21" s="936">
        <f>'Basis  Tall '!F248/100</f>
        <v>15.9024</v>
      </c>
      <c r="U21" s="936">
        <f>'Basis  Tall '!F257/100</f>
        <v>1.3179999999999998</v>
      </c>
      <c r="V21" s="936" t="e">
        <f>$BC$39*(D21+J21+N21+$BC$45*(D21+J21+N21)+F21+K21+L21+M21+O21+P21+R21+S21+T21+U21)+'Basis  Tall '!H259/100+'Basis  Tall '!H261/100</f>
        <v>#REF!</v>
      </c>
      <c r="W21" s="936" t="e">
        <f t="shared" ref="W21:W26" si="13">($BC$40*(D21+J21+N21+$BC$45*(D21+J21+N21)+F21+K21+L21+M21+O21+P21+Q21+R21+S21+T21+U21))</f>
        <v>#REF!</v>
      </c>
      <c r="X21" s="936" t="e">
        <f t="shared" ref="X21:X26" si="14">$BC$41*(D21+J21+N21+$BC$45*(D21+J21+N21)+F21+K21+L21+M21+O21+P21+Q21+R21+S21+T21+U21)</f>
        <v>#REF!</v>
      </c>
      <c r="Y21" s="936" t="e">
        <f t="shared" si="4"/>
        <v>#REF!</v>
      </c>
      <c r="Z21" s="936" t="e">
        <f t="shared" si="5"/>
        <v>#REF!</v>
      </c>
      <c r="AA21" s="936" t="e">
        <f t="shared" si="6"/>
        <v>#REF!</v>
      </c>
      <c r="AB21" s="936">
        <f t="shared" si="7"/>
        <v>16.513397416765272</v>
      </c>
      <c r="AC21" s="936" t="e">
        <f t="shared" ref="AC21:AC26" si="15">$BC$58*(D21+H21+J21+N21+Z21)</f>
        <v>#REF!</v>
      </c>
      <c r="AD21" s="936" t="e">
        <f t="shared" ref="AD21:AD26" si="16">$BC$59*((D21+E21+H21+J21+N21+Z21)+AC21)</f>
        <v>#REF!</v>
      </c>
      <c r="AE21" s="936" t="e">
        <f t="shared" ref="AE21:AE26" si="17">$BC$64*(V21+W21+AK21+AM21+AO21)</f>
        <v>#REF!</v>
      </c>
      <c r="AF21" s="938" t="e">
        <f t="shared" ref="AF21:AF26" si="18">$BC$66*(AC21)</f>
        <v>#REF!</v>
      </c>
      <c r="AG21" s="936" t="e">
        <f t="shared" ref="AG21:AG26" si="19">$BC$60*(V21+W21+AE21+AK21+AM21+AO21)</f>
        <v>#REF!</v>
      </c>
      <c r="AH21" s="936">
        <f t="shared" ref="AH21:AH26" si="20">$BC$61*(F21+G21+I21+K21+L21+M21+O21)</f>
        <v>67.599678750887435</v>
      </c>
      <c r="AI21" s="936" t="e">
        <f t="shared" ref="AI21:AI26" si="21">$BC$62*(P21+Q21+R21+S21+T21+U21+X21+AL21+AN21+AP21)+$BC$63*(AA21+AB21)</f>
        <v>#REF!</v>
      </c>
      <c r="AJ21" s="936"/>
      <c r="AK21" s="937"/>
      <c r="AL21" s="936"/>
      <c r="AM21" s="936" t="e">
        <f>'Basis  Tall '!H260/100</f>
        <v>#REF!</v>
      </c>
      <c r="AN21" s="936"/>
      <c r="AO21" s="936"/>
      <c r="AP21" s="937"/>
      <c r="AQ21" s="936" t="e">
        <f t="shared" si="8"/>
        <v>#REF!</v>
      </c>
      <c r="AR21" s="936" t="e">
        <f t="shared" si="9"/>
        <v>#REF!</v>
      </c>
      <c r="AS21" s="939" t="e">
        <f>D21+E21+H21+J21+N21+V21+W21+Z21+AK21+AM21+AO21+AQ21</f>
        <v>#REF!</v>
      </c>
      <c r="AT21" s="936" t="e">
        <f t="shared" si="10"/>
        <v>#REF!</v>
      </c>
      <c r="AU21" s="940" t="e">
        <f t="shared" si="11"/>
        <v>#REF!</v>
      </c>
      <c r="AV21" s="941" t="e">
        <f>#REF!-AU21</f>
        <v>#REF!</v>
      </c>
      <c r="AW21" s="942" t="e">
        <f>AU21-AR21-AQ21-Y21</f>
        <v>#REF!</v>
      </c>
      <c r="AX21" s="943" t="e">
        <f>AD21+AF21+AH21-$BC$61*(L21+M21)+$BC$60*(E21+V21+W21+AE21+AK21+AM21+AO21)+$BC$62*(G21+Q21+R21+T21+$BC$32*(J21+K21)+X21+AL21+AN21+AP21)+$BC$63*(AA21+AB21)</f>
        <v>#REF!</v>
      </c>
      <c r="AY21" s="942" t="e">
        <f t="shared" si="12"/>
        <v>#REF!</v>
      </c>
      <c r="AZ21" s="944" t="e">
        <f>AU21/BA21</f>
        <v>#REF!</v>
      </c>
      <c r="BA21" s="947" t="e">
        <f>SUM(D21:Q21)</f>
        <v>#REF!</v>
      </c>
      <c r="BB21" s="945" t="e">
        <f>AY21</f>
        <v>#REF!</v>
      </c>
      <c r="BC21" s="945">
        <v>1.6539851795833351</v>
      </c>
      <c r="BD21" s="945" t="e">
        <f>BB21/BA21</f>
        <v>#REF!</v>
      </c>
      <c r="BE21" s="944"/>
      <c r="BF21" s="944"/>
      <c r="BG21" s="944"/>
      <c r="BH21" s="944"/>
      <c r="BI21" s="944"/>
      <c r="BJ21" s="944"/>
      <c r="BK21" s="944"/>
      <c r="BL21" s="944"/>
      <c r="BM21" s="944"/>
      <c r="BN21" s="944"/>
      <c r="BO21" s="944"/>
      <c r="BP21" s="944"/>
      <c r="BQ21" s="944"/>
      <c r="BR21" s="944"/>
      <c r="BU21" s="944"/>
    </row>
    <row r="22" spans="1:73" s="945" customFormat="1" ht="50.25" customHeight="1">
      <c r="A22" s="933" t="s">
        <v>835</v>
      </c>
      <c r="B22" s="934" t="str">
        <f>'[1]Basis '!B294</f>
        <v>Coke dry cooling plant including BPTG (Package 3)</v>
      </c>
      <c r="C22" s="935"/>
      <c r="D22" s="936" t="e">
        <f>'Basis  Tall '!H284/100</f>
        <v>#REF!</v>
      </c>
      <c r="E22" s="936"/>
      <c r="F22" s="936">
        <f>'Basis  Tall '!F284/100</f>
        <v>16.317</v>
      </c>
      <c r="G22" s="936"/>
      <c r="H22" s="936"/>
      <c r="I22" s="936">
        <f>'Basis  Tall '!F291/100</f>
        <v>0.32</v>
      </c>
      <c r="J22" s="937"/>
      <c r="K22" s="936"/>
      <c r="L22" s="936" t="e">
        <f>'Basis  Tall '!F297/100</f>
        <v>#REF!</v>
      </c>
      <c r="M22" s="936"/>
      <c r="N22" s="936"/>
      <c r="O22" s="936"/>
      <c r="P22" s="936" t="e">
        <f>'Basis  Tall '!F337/100</f>
        <v>#REF!</v>
      </c>
      <c r="Q22" s="936" t="e">
        <f>'Basis  Tall '!F348/100</f>
        <v>#REF!</v>
      </c>
      <c r="R22" s="936" t="e">
        <f>($BD$30*(D22+$BC$45*D22)+$BC$30*F22)</f>
        <v>#REF!</v>
      </c>
      <c r="S22" s="936" t="e">
        <f t="shared" si="3"/>
        <v>#REF!</v>
      </c>
      <c r="T22" s="936">
        <f>$BC$34*(N22+$BC$45*N22+O22)</f>
        <v>0</v>
      </c>
      <c r="U22" s="936">
        <f>'Basis  Tall '!F353/100</f>
        <v>9.5000000000000001E-2</v>
      </c>
      <c r="V22" s="936" t="e">
        <f>$BC$39*(D22+J22+N22+$BC$45*(D22+J22+N22)+F22+K22+L22+M22+O22+P22+R22+S22+T22+U22)*0+'Basis  Tall '!H355/100</f>
        <v>#REF!</v>
      </c>
      <c r="W22" s="936" t="e">
        <f t="shared" si="13"/>
        <v>#REF!</v>
      </c>
      <c r="X22" s="936" t="e">
        <f t="shared" si="14"/>
        <v>#REF!</v>
      </c>
      <c r="Y22" s="936" t="e">
        <f t="shared" si="4"/>
        <v>#REF!</v>
      </c>
      <c r="Z22" s="936" t="e">
        <f t="shared" si="5"/>
        <v>#REF!</v>
      </c>
      <c r="AA22" s="936" t="e">
        <f t="shared" si="6"/>
        <v>#REF!</v>
      </c>
      <c r="AB22" s="936" t="e">
        <f t="shared" si="7"/>
        <v>#REF!</v>
      </c>
      <c r="AC22" s="936" t="e">
        <f t="shared" si="15"/>
        <v>#REF!</v>
      </c>
      <c r="AD22" s="936" t="e">
        <f t="shared" si="16"/>
        <v>#REF!</v>
      </c>
      <c r="AE22" s="936" t="e">
        <f t="shared" si="17"/>
        <v>#REF!</v>
      </c>
      <c r="AF22" s="938" t="e">
        <f t="shared" si="18"/>
        <v>#REF!</v>
      </c>
      <c r="AG22" s="936" t="e">
        <f t="shared" si="19"/>
        <v>#REF!</v>
      </c>
      <c r="AH22" s="936" t="e">
        <f t="shared" si="20"/>
        <v>#REF!</v>
      </c>
      <c r="AI22" s="936" t="e">
        <f t="shared" si="21"/>
        <v>#REF!</v>
      </c>
      <c r="AJ22" s="936"/>
      <c r="AK22" s="937"/>
      <c r="AL22" s="936"/>
      <c r="AM22" s="936" t="e">
        <f>'Basis  Tall '!H356/100</f>
        <v>#REF!</v>
      </c>
      <c r="AN22" s="936"/>
      <c r="AO22" s="936"/>
      <c r="AP22" s="937"/>
      <c r="AQ22" s="936" t="e">
        <f t="shared" si="8"/>
        <v>#REF!</v>
      </c>
      <c r="AR22" s="936" t="e">
        <f t="shared" si="9"/>
        <v>#REF!</v>
      </c>
      <c r="AS22" s="939" t="e">
        <f>D22+E22+H22+J22+N22+V22+W22+Z22+AK22+AM22+AO22+AQ22</f>
        <v>#REF!</v>
      </c>
      <c r="AT22" s="936" t="e">
        <f t="shared" si="10"/>
        <v>#REF!</v>
      </c>
      <c r="AU22" s="940" t="e">
        <f t="shared" si="11"/>
        <v>#REF!</v>
      </c>
      <c r="AV22" s="941"/>
      <c r="AW22" s="942" t="e">
        <f>AU22-AR22-AQ22-Y22</f>
        <v>#REF!</v>
      </c>
      <c r="AX22" s="943" t="e">
        <f>AD22+AF22+AH22-$BC$61*(L22+M22)+$BC$60*(E22+V22+W22+AE22+AK22+AM22+AO22)+$BC$62*(G22+Q22+R22+T22+$BC$32*(J22+K22)+X22+AL22+AN22+AP22)+$BC$63*(AA22+AB22)</f>
        <v>#REF!</v>
      </c>
      <c r="AY22" s="942" t="e">
        <f t="shared" si="12"/>
        <v>#REF!</v>
      </c>
      <c r="AZ22" s="944"/>
      <c r="BA22" s="944"/>
      <c r="BE22" s="944"/>
      <c r="BF22" s="944"/>
      <c r="BG22" s="944"/>
      <c r="BH22" s="944"/>
      <c r="BI22" s="944"/>
      <c r="BJ22" s="944"/>
      <c r="BK22" s="944"/>
      <c r="BL22" s="944"/>
      <c r="BM22" s="944"/>
      <c r="BN22" s="944"/>
      <c r="BO22" s="944"/>
      <c r="BP22" s="944"/>
      <c r="BQ22" s="944"/>
      <c r="BR22" s="944"/>
      <c r="BU22" s="944"/>
    </row>
    <row r="23" spans="1:73" s="945" customFormat="1" ht="48" customHeight="1">
      <c r="A23" s="933" t="s">
        <v>836</v>
      </c>
      <c r="B23" s="934" t="str">
        <f>'[1]Basis '!B390</f>
        <v>By-product plant including BOD plant (Package 4)</v>
      </c>
      <c r="C23" s="935"/>
      <c r="D23" s="936" t="e">
        <f>'Basis  Tall '!H367/100</f>
        <v>#REF!</v>
      </c>
      <c r="E23" s="936"/>
      <c r="F23" s="936">
        <f>'Basis  Tall '!F367/100</f>
        <v>209.2238646723647</v>
      </c>
      <c r="G23" s="936"/>
      <c r="H23" s="936"/>
      <c r="I23" s="936"/>
      <c r="J23" s="937"/>
      <c r="K23" s="936"/>
      <c r="L23" s="936">
        <f>'Basis  Tall '!F373/100</f>
        <v>19.586666666666666</v>
      </c>
      <c r="M23" s="936"/>
      <c r="N23" s="936"/>
      <c r="O23" s="936"/>
      <c r="P23" s="936" t="e">
        <f>'Basis  Tall '!F425/100</f>
        <v>#REF!</v>
      </c>
      <c r="Q23" s="936" t="e">
        <f>'Basis  Tall '!F436/100</f>
        <v>#REF!</v>
      </c>
      <c r="R23" s="936" t="e">
        <f>($BD$30*(D23+$BC$45*D23)+$BC$30*F23)</f>
        <v>#REF!</v>
      </c>
      <c r="S23" s="936">
        <f t="shared" si="3"/>
        <v>3.9173333333333336</v>
      </c>
      <c r="T23" s="936">
        <f>$BC$34*(N23+$BC$45*N23+O23)</f>
        <v>0</v>
      </c>
      <c r="U23" s="936"/>
      <c r="V23" s="936" t="e">
        <f>$BC$39*(D23+J23+N23+$BC$45*(D23+J23+N23)+F23+K23+L23+M23+O23+P23+R23+S23+T23+U23)*0+'Basis  Tall '!H438/100</f>
        <v>#REF!</v>
      </c>
      <c r="W23" s="936" t="e">
        <f t="shared" si="13"/>
        <v>#REF!</v>
      </c>
      <c r="X23" s="936" t="e">
        <f t="shared" si="14"/>
        <v>#REF!</v>
      </c>
      <c r="Y23" s="936" t="e">
        <f t="shared" si="4"/>
        <v>#REF!</v>
      </c>
      <c r="Z23" s="936" t="e">
        <f t="shared" si="5"/>
        <v>#REF!</v>
      </c>
      <c r="AA23" s="936" t="e">
        <f t="shared" si="6"/>
        <v>#REF!</v>
      </c>
      <c r="AB23" s="936">
        <f t="shared" si="7"/>
        <v>5.9472772934472946</v>
      </c>
      <c r="AC23" s="936" t="e">
        <f t="shared" si="15"/>
        <v>#REF!</v>
      </c>
      <c r="AD23" s="936" t="e">
        <f t="shared" si="16"/>
        <v>#REF!</v>
      </c>
      <c r="AE23" s="936" t="e">
        <f t="shared" si="17"/>
        <v>#REF!</v>
      </c>
      <c r="AF23" s="938" t="e">
        <f t="shared" si="18"/>
        <v>#REF!</v>
      </c>
      <c r="AG23" s="936" t="e">
        <f t="shared" si="19"/>
        <v>#REF!</v>
      </c>
      <c r="AH23" s="936">
        <f t="shared" si="20"/>
        <v>41.185895641025645</v>
      </c>
      <c r="AI23" s="936" t="e">
        <f t="shared" si="21"/>
        <v>#REF!</v>
      </c>
      <c r="AJ23" s="936"/>
      <c r="AK23" s="937"/>
      <c r="AL23" s="936"/>
      <c r="AM23" s="936" t="e">
        <f>'Basis  Tall '!H439/100</f>
        <v>#REF!</v>
      </c>
      <c r="AN23" s="936"/>
      <c r="AO23" s="936"/>
      <c r="AP23" s="937"/>
      <c r="AQ23" s="936" t="e">
        <f t="shared" si="8"/>
        <v>#REF!</v>
      </c>
      <c r="AR23" s="936" t="e">
        <f t="shared" si="9"/>
        <v>#REF!</v>
      </c>
      <c r="AS23" s="939" t="e">
        <f>D23+E23+H23+J23+N23+V23+W23+Z23+AK23+AM23+AO23+AQ23</f>
        <v>#REF!</v>
      </c>
      <c r="AT23" s="936" t="e">
        <f t="shared" si="10"/>
        <v>#REF!</v>
      </c>
      <c r="AU23" s="940" t="e">
        <f t="shared" si="11"/>
        <v>#REF!</v>
      </c>
      <c r="AV23" s="941"/>
      <c r="AW23" s="942" t="e">
        <f>AU23-AR23-AQ23-Y23</f>
        <v>#REF!</v>
      </c>
      <c r="AX23" s="943" t="e">
        <f>AD23+AF23+AH23-$BC$61*(L23+M23)+$BC$60*(E23+V23+W23+AE23+AK23+AM23+AO23)+$BC$62*(G23+Q23+R23+T23+$BC$32*(J23+K23)+X23+AL23+AN23+AP23)+$BC$63*(AA23+AB23)</f>
        <v>#REF!</v>
      </c>
      <c r="AY23" s="942" t="e">
        <f t="shared" si="12"/>
        <v>#REF!</v>
      </c>
      <c r="AZ23" s="944"/>
      <c r="BA23" s="944"/>
      <c r="BE23" s="944"/>
      <c r="BF23" s="944"/>
      <c r="BG23" s="944"/>
      <c r="BH23" s="944"/>
      <c r="BI23" s="944"/>
      <c r="BJ23" s="944"/>
      <c r="BK23" s="944"/>
      <c r="BL23" s="944"/>
      <c r="BM23" s="944"/>
      <c r="BN23" s="944"/>
      <c r="BO23" s="944"/>
      <c r="BP23" s="944"/>
      <c r="BQ23" s="944"/>
      <c r="BR23" s="944"/>
      <c r="BU23" s="944"/>
    </row>
    <row r="24" spans="1:73" s="945" customFormat="1" ht="34.5" customHeight="1">
      <c r="A24" s="933" t="s">
        <v>837</v>
      </c>
      <c r="B24" s="934" t="str">
        <f>'[1]Basis '!B473</f>
        <v>Water supply system (Package 5)</v>
      </c>
      <c r="C24" s="935"/>
      <c r="D24" s="936"/>
      <c r="E24" s="936"/>
      <c r="F24" s="936">
        <f>'Basis  Tall '!F460/100</f>
        <v>43.983061224489795</v>
      </c>
      <c r="G24" s="936"/>
      <c r="H24" s="936"/>
      <c r="I24" s="936"/>
      <c r="J24" s="937"/>
      <c r="K24" s="936"/>
      <c r="L24" s="936">
        <f>'Basis  Tall '!F465/100</f>
        <v>4.7249999999999996</v>
      </c>
      <c r="M24" s="936"/>
      <c r="N24" s="936"/>
      <c r="O24" s="936"/>
      <c r="P24" s="936" t="e">
        <f>'Basis  Tall '!F502/100</f>
        <v>#REF!</v>
      </c>
      <c r="Q24" s="936" t="e">
        <f>'Basis  Tall '!F511/100</f>
        <v>#REF!</v>
      </c>
      <c r="R24" s="936">
        <f>($BD$30*(D24+$BC$45*D24)+$BC$30*F24)</f>
        <v>5.2779673469387749</v>
      </c>
      <c r="S24" s="936">
        <f t="shared" si="3"/>
        <v>0.94499999999999995</v>
      </c>
      <c r="T24" s="936">
        <f>$BC$34*(N24+$BC$45*N24+O24)</f>
        <v>0</v>
      </c>
      <c r="U24" s="936"/>
      <c r="V24" s="936"/>
      <c r="W24" s="936" t="e">
        <f t="shared" si="13"/>
        <v>#REF!</v>
      </c>
      <c r="X24" s="936" t="e">
        <f t="shared" si="14"/>
        <v>#REF!</v>
      </c>
      <c r="Y24" s="936" t="e">
        <f t="shared" si="4"/>
        <v>#REF!</v>
      </c>
      <c r="Z24" s="936">
        <f t="shared" si="5"/>
        <v>0</v>
      </c>
      <c r="AA24" s="936">
        <f t="shared" si="6"/>
        <v>0</v>
      </c>
      <c r="AB24" s="936">
        <f t="shared" si="7"/>
        <v>1.3049112244897958</v>
      </c>
      <c r="AC24" s="936">
        <f t="shared" si="15"/>
        <v>0</v>
      </c>
      <c r="AD24" s="936">
        <f t="shared" si="16"/>
        <v>0</v>
      </c>
      <c r="AE24" s="936" t="e">
        <f t="shared" si="17"/>
        <v>#REF!</v>
      </c>
      <c r="AF24" s="938">
        <f t="shared" si="18"/>
        <v>0</v>
      </c>
      <c r="AG24" s="936" t="e">
        <f t="shared" si="19"/>
        <v>#REF!</v>
      </c>
      <c r="AH24" s="936">
        <f t="shared" si="20"/>
        <v>8.7674510204081635</v>
      </c>
      <c r="AI24" s="936" t="e">
        <f t="shared" si="21"/>
        <v>#REF!</v>
      </c>
      <c r="AJ24" s="936"/>
      <c r="AK24" s="937"/>
      <c r="AL24" s="936"/>
      <c r="AM24" s="936"/>
      <c r="AN24" s="936"/>
      <c r="AO24" s="936"/>
      <c r="AP24" s="937"/>
      <c r="AQ24" s="936" t="e">
        <f t="shared" si="8"/>
        <v>#REF!</v>
      </c>
      <c r="AR24" s="936" t="e">
        <f t="shared" si="9"/>
        <v>#REF!</v>
      </c>
      <c r="AS24" s="939" t="e">
        <f>(D24+E24+H24+J24+N24+V24+W24+Z24+AK24+AM24+AO24+AQ24)</f>
        <v>#REF!</v>
      </c>
      <c r="AT24" s="936" t="e">
        <f t="shared" si="10"/>
        <v>#REF!</v>
      </c>
      <c r="AU24" s="940" t="e">
        <f t="shared" si="11"/>
        <v>#REF!</v>
      </c>
      <c r="AV24" s="941"/>
      <c r="AW24" s="942" t="e">
        <f>(AU24-AR24-AQ24-Y24)</f>
        <v>#REF!</v>
      </c>
      <c r="AX24" s="943" t="e">
        <f>(AD24+AF24+AH24-$BC$61*(L24+M24)+$BC$60*(E24+V24+W24+AE24+AK24+AM24+AO24)+$BC$62*(G24+Q24+R24+T24+$BC$32*(J24+K24)+X24+AL24+AN24+AP24)+$BC$63*(AA24+AB24))</f>
        <v>#REF!</v>
      </c>
      <c r="AY24" s="942" t="e">
        <f t="shared" si="12"/>
        <v>#REF!</v>
      </c>
      <c r="AZ24" s="944"/>
      <c r="BA24" s="944"/>
      <c r="BE24" s="944"/>
      <c r="BF24" s="944"/>
      <c r="BG24" s="944"/>
      <c r="BH24" s="944"/>
      <c r="BI24" s="944"/>
      <c r="BJ24" s="944"/>
      <c r="BK24" s="944"/>
      <c r="BL24" s="944"/>
      <c r="BM24" s="944"/>
      <c r="BN24" s="944"/>
      <c r="BO24" s="944"/>
      <c r="BP24" s="944"/>
      <c r="BQ24" s="944"/>
      <c r="BR24" s="944"/>
      <c r="BU24" s="944"/>
    </row>
    <row r="25" spans="1:73" s="945" customFormat="1" ht="34.5" customHeight="1">
      <c r="A25" s="933" t="s">
        <v>863</v>
      </c>
      <c r="B25" s="934" t="str">
        <f>'[1]Basis '!B546</f>
        <v>Boiler and DM water Plant (Package 6)</v>
      </c>
      <c r="C25" s="935"/>
      <c r="D25" s="936"/>
      <c r="E25" s="936"/>
      <c r="F25" s="936">
        <f>'Basis  Tall '!F533/100</f>
        <v>57.968810999429273</v>
      </c>
      <c r="G25" s="936"/>
      <c r="H25" s="936"/>
      <c r="I25" s="936"/>
      <c r="J25" s="937"/>
      <c r="K25" s="936"/>
      <c r="L25" s="936">
        <f>'Basis  Tall '!F539/100</f>
        <v>11.41</v>
      </c>
      <c r="M25" s="936"/>
      <c r="N25" s="936"/>
      <c r="O25" s="936"/>
      <c r="P25" s="936" t="e">
        <f>'Basis  Tall '!F568/100</f>
        <v>#REF!</v>
      </c>
      <c r="Q25" s="936" t="e">
        <f>'Basis  Tall '!F578/100</f>
        <v>#REF!</v>
      </c>
      <c r="R25" s="936">
        <f>($BD$30*(D25+$BC$45*D25)+$BC$30*F25)</f>
        <v>6.9562573199315123</v>
      </c>
      <c r="S25" s="936">
        <f t="shared" si="3"/>
        <v>2.282</v>
      </c>
      <c r="T25" s="936">
        <f>$BC$34*(N25+$BC$45*N25+O25)</f>
        <v>0</v>
      </c>
      <c r="U25" s="936"/>
      <c r="V25" s="936"/>
      <c r="W25" s="936" t="e">
        <f t="shared" si="13"/>
        <v>#REF!</v>
      </c>
      <c r="X25" s="936" t="e">
        <f t="shared" si="14"/>
        <v>#REF!</v>
      </c>
      <c r="Y25" s="936" t="e">
        <f t="shared" si="4"/>
        <v>#REF!</v>
      </c>
      <c r="Z25" s="936">
        <f t="shared" si="5"/>
        <v>0</v>
      </c>
      <c r="AA25" s="936">
        <f t="shared" si="6"/>
        <v>0</v>
      </c>
      <c r="AB25" s="936">
        <f t="shared" si="7"/>
        <v>2.1862762199885855</v>
      </c>
      <c r="AC25" s="936">
        <f t="shared" si="15"/>
        <v>0</v>
      </c>
      <c r="AD25" s="936">
        <f t="shared" si="16"/>
        <v>0</v>
      </c>
      <c r="AE25" s="936" t="e">
        <f t="shared" si="17"/>
        <v>#REF!</v>
      </c>
      <c r="AF25" s="938">
        <f t="shared" si="18"/>
        <v>0</v>
      </c>
      <c r="AG25" s="936" t="e">
        <f t="shared" si="19"/>
        <v>#REF!</v>
      </c>
      <c r="AH25" s="936">
        <f t="shared" si="20"/>
        <v>12.488185979897269</v>
      </c>
      <c r="AI25" s="936" t="e">
        <f t="shared" si="21"/>
        <v>#REF!</v>
      </c>
      <c r="AJ25" s="936"/>
      <c r="AK25" s="937"/>
      <c r="AL25" s="936"/>
      <c r="AM25" s="936"/>
      <c r="AN25" s="936"/>
      <c r="AO25" s="936"/>
      <c r="AP25" s="937"/>
      <c r="AQ25" s="936" t="e">
        <f t="shared" si="8"/>
        <v>#REF!</v>
      </c>
      <c r="AR25" s="936" t="e">
        <f t="shared" si="9"/>
        <v>#REF!</v>
      </c>
      <c r="AS25" s="939" t="e">
        <f>(D25+E25+H25+J25+N25+V25+W25+Z25+AK25+AM25+AO25+AQ25)</f>
        <v>#REF!</v>
      </c>
      <c r="AT25" s="936" t="e">
        <f t="shared" si="10"/>
        <v>#REF!</v>
      </c>
      <c r="AU25" s="940" t="e">
        <f t="shared" si="11"/>
        <v>#REF!</v>
      </c>
      <c r="AV25" s="941"/>
      <c r="AW25" s="942" t="e">
        <f>(AU25-AR25-AQ25-Y25)</f>
        <v>#REF!</v>
      </c>
      <c r="AX25" s="943" t="e">
        <f>(AD25+AF25+AH25-$BC$61*(L25+M25)+$BC$60*(E25+V25+W25+AE25+AK25+AM25+AO25)+$BC$62*(G25+Q25+R25+T25+$BC$32*(J25+K25)+X25+AL25+AN25+AP25)+$BC$63*(AA25+AB25))</f>
        <v>#REF!</v>
      </c>
      <c r="AY25" s="942" t="e">
        <f>AW25-AX25</f>
        <v>#REF!</v>
      </c>
      <c r="AZ25" s="944"/>
      <c r="BA25" s="944"/>
      <c r="BE25" s="944"/>
      <c r="BF25" s="944"/>
      <c r="BG25" s="944"/>
      <c r="BH25" s="944"/>
      <c r="BI25" s="944"/>
      <c r="BJ25" s="944"/>
      <c r="BK25" s="944"/>
      <c r="BL25" s="944"/>
      <c r="BM25" s="944"/>
      <c r="BN25" s="944"/>
      <c r="BO25" s="944"/>
      <c r="BP25" s="944"/>
      <c r="BQ25" s="944"/>
      <c r="BR25" s="944"/>
      <c r="BU25" s="944"/>
    </row>
    <row r="26" spans="1:73" s="945" customFormat="1" ht="92.25" customHeight="1">
      <c r="A26" s="933" t="s">
        <v>1029</v>
      </c>
      <c r="B26" s="948" t="s">
        <v>856</v>
      </c>
      <c r="C26" s="935"/>
      <c r="D26" s="936"/>
      <c r="E26" s="936"/>
      <c r="F26" s="936"/>
      <c r="G26" s="936"/>
      <c r="H26" s="936"/>
      <c r="I26" s="936"/>
      <c r="J26" s="937"/>
      <c r="K26" s="936"/>
      <c r="L26" s="936"/>
      <c r="M26" s="936"/>
      <c r="N26" s="936"/>
      <c r="O26" s="936"/>
      <c r="P26" s="936"/>
      <c r="Q26" s="936"/>
      <c r="R26" s="936">
        <f>($BD$30*(D26+$BC$45*D26)+$BC$30*F26)</f>
        <v>0</v>
      </c>
      <c r="S26" s="936">
        <f>$BC$32*(J26+$BC$45*J26+K26+L26+M26)</f>
        <v>0</v>
      </c>
      <c r="T26" s="936">
        <f>$BC$34*(N26+$BC$45*N26+O26)</f>
        <v>0</v>
      </c>
      <c r="U26" s="936"/>
      <c r="V26" s="936"/>
      <c r="W26" s="936">
        <f t="shared" si="13"/>
        <v>0</v>
      </c>
      <c r="X26" s="936">
        <f t="shared" si="14"/>
        <v>0</v>
      </c>
      <c r="Y26" s="936">
        <f>$BC$38*(D26+J26+N26+$BC$45*(D26+J26+N26)+F26+K26+L26+M26+O26+P26+Q26+R26+S26+T26+U26)</f>
        <v>0</v>
      </c>
      <c r="Z26" s="936">
        <f>$BC$45*(D26+H26+J26+N26)</f>
        <v>0</v>
      </c>
      <c r="AA26" s="936">
        <f>($BC$48*(D26+H26+$BC$45*(D26+H26))+$BC$50*(J26+N26+$BC$45*(J26+N26)))</f>
        <v>0</v>
      </c>
      <c r="AB26" s="936">
        <f>($BC$52*(F26+I26)+$BC$54*(K26+L26+O26))</f>
        <v>0</v>
      </c>
      <c r="AC26" s="936">
        <f t="shared" si="15"/>
        <v>0</v>
      </c>
      <c r="AD26" s="936">
        <f t="shared" si="16"/>
        <v>0</v>
      </c>
      <c r="AE26" s="936">
        <f t="shared" si="17"/>
        <v>0</v>
      </c>
      <c r="AF26" s="938">
        <f t="shared" si="18"/>
        <v>0</v>
      </c>
      <c r="AG26" s="936">
        <f t="shared" si="19"/>
        <v>0</v>
      </c>
      <c r="AH26" s="936">
        <f t="shared" si="20"/>
        <v>0</v>
      </c>
      <c r="AI26" s="936" t="e">
        <f t="shared" si="21"/>
        <v>#REF!</v>
      </c>
      <c r="AJ26" s="936"/>
      <c r="AK26" s="937"/>
      <c r="AL26" s="936"/>
      <c r="AM26" s="936"/>
      <c r="AN26" s="936"/>
      <c r="AO26" s="936"/>
      <c r="AP26" s="949" t="e">
        <f>0.8+0.132+SUM(AU19:AU25)*0.0025</f>
        <v>#REF!</v>
      </c>
      <c r="AQ26" s="936">
        <f>+$BC$68*(D26+E26+H26+J26+N26+V26+W26+Z26+AK26+AM26+AO26)</f>
        <v>0</v>
      </c>
      <c r="AR26" s="936" t="e">
        <f>+$BC$68*(F26+G26+I26+K26+L26+M26+O26+P26+Q26+R26+S26+T26+U26+X26+Y26+AA26+AB26+AC26+AD26+AE26+AF26+AG26+AH26+AI26+AJ26+AL26+AN26+AP26)</f>
        <v>#REF!</v>
      </c>
      <c r="AS26" s="939">
        <f>D26+E26+H26+J26+N26+V26+W26+Z26+AK26+AM26+AO26+AQ26</f>
        <v>0</v>
      </c>
      <c r="AT26" s="936" t="e">
        <f t="shared" si="10"/>
        <v>#REF!</v>
      </c>
      <c r="AU26" s="940" t="e">
        <f>AS26+AT26</f>
        <v>#REF!</v>
      </c>
      <c r="AV26" s="941"/>
      <c r="AW26" s="942" t="e">
        <f>AU26-AR26-AQ26-Y26</f>
        <v>#REF!</v>
      </c>
      <c r="AX26" s="943" t="e">
        <f>AD26+AF26+AH26-$BC$61*(L26+M26)+$BC$60*(E26+V26+W26+AE26+AK26+AM26+AO26)+$BC$62*(G26+Q26+R26+T26+$BC$32*(J26+K26)+X26+AL26+AN26+AP26)+$BC$63*(AA26+AB26)</f>
        <v>#REF!</v>
      </c>
      <c r="AY26" s="942" t="e">
        <f>AW26-AX26</f>
        <v>#REF!</v>
      </c>
      <c r="AZ26" s="944"/>
      <c r="BA26" s="944"/>
      <c r="BE26" s="944"/>
      <c r="BF26" s="944"/>
      <c r="BG26" s="944"/>
      <c r="BH26" s="944"/>
      <c r="BI26" s="944"/>
      <c r="BJ26" s="944"/>
      <c r="BK26" s="944"/>
      <c r="BL26" s="944"/>
      <c r="BM26" s="944"/>
      <c r="BN26" s="944"/>
      <c r="BO26" s="944"/>
      <c r="BP26" s="944"/>
      <c r="BQ26" s="944"/>
      <c r="BR26" s="944"/>
      <c r="BU26" s="944"/>
    </row>
    <row r="27" spans="1:73" s="945" customFormat="1" ht="25.5" customHeight="1">
      <c r="A27" s="950">
        <v>1</v>
      </c>
      <c r="B27" s="951" t="s">
        <v>806</v>
      </c>
      <c r="C27" s="935"/>
      <c r="D27" s="936"/>
      <c r="E27" s="936"/>
      <c r="F27" s="936"/>
      <c r="G27" s="936"/>
      <c r="H27" s="936"/>
      <c r="I27" s="936"/>
      <c r="J27" s="937"/>
      <c r="K27" s="936"/>
      <c r="L27" s="936"/>
      <c r="M27" s="936"/>
      <c r="N27" s="936"/>
      <c r="O27" s="936"/>
      <c r="P27" s="936"/>
      <c r="Q27" s="936"/>
      <c r="R27" s="936"/>
      <c r="S27" s="938"/>
      <c r="T27" s="936"/>
      <c r="U27" s="936"/>
      <c r="V27" s="936"/>
      <c r="W27" s="936"/>
      <c r="X27" s="936"/>
      <c r="Y27" s="936"/>
      <c r="Z27" s="936"/>
      <c r="AA27" s="936"/>
      <c r="AB27" s="936"/>
      <c r="AC27" s="936"/>
      <c r="AD27" s="936"/>
      <c r="AE27" s="936"/>
      <c r="AF27" s="936"/>
      <c r="AG27" s="936"/>
      <c r="AH27" s="936"/>
      <c r="AI27" s="936"/>
      <c r="AJ27" s="936"/>
      <c r="AK27" s="937"/>
      <c r="AL27" s="936"/>
      <c r="AM27" s="936"/>
      <c r="AN27" s="936"/>
      <c r="AO27" s="936"/>
      <c r="AP27" s="937"/>
      <c r="AQ27" s="936"/>
      <c r="AR27" s="936"/>
      <c r="AS27" s="952" t="e">
        <f>SUM(AS19:AS26)</f>
        <v>#REF!</v>
      </c>
      <c r="AT27" s="953" t="e">
        <f>SUM(AT19:AT26)</f>
        <v>#REF!</v>
      </c>
      <c r="AU27" s="954" t="e">
        <f>SUM(AU19:AU26)*'Report '!L7</f>
        <v>#REF!</v>
      </c>
      <c r="AV27" s="955"/>
      <c r="AX27" s="945" t="e">
        <f>SUM(AX19:AX26)</f>
        <v>#REF!</v>
      </c>
      <c r="AZ27" s="944"/>
      <c r="BA27" s="944"/>
      <c r="BB27" s="895" t="s">
        <v>182</v>
      </c>
      <c r="BC27" s="895"/>
      <c r="BD27" s="895"/>
      <c r="BE27" s="944"/>
      <c r="BF27" s="944"/>
      <c r="BG27" s="944"/>
      <c r="BH27" s="944"/>
      <c r="BI27" s="944"/>
      <c r="BJ27" s="944"/>
      <c r="BK27" s="944"/>
      <c r="BL27" s="944"/>
      <c r="BM27" s="944"/>
      <c r="BN27" s="944"/>
      <c r="BO27" s="944"/>
      <c r="BP27" s="944"/>
      <c r="BQ27" s="944"/>
      <c r="BR27" s="944"/>
      <c r="BU27" s="944"/>
    </row>
    <row r="28" spans="1:73" s="870" customFormat="1" ht="24.6">
      <c r="A28" s="956">
        <v>2</v>
      </c>
      <c r="B28" s="845" t="s">
        <v>95</v>
      </c>
      <c r="C28" s="924"/>
      <c r="D28" s="924"/>
      <c r="E28" s="924"/>
      <c r="F28" s="924"/>
      <c r="G28" s="924"/>
      <c r="H28" s="924"/>
      <c r="I28" s="924"/>
      <c r="J28" s="924"/>
      <c r="K28" s="924"/>
      <c r="L28" s="924"/>
      <c r="M28" s="924"/>
      <c r="N28" s="924"/>
      <c r="O28" s="924"/>
      <c r="P28" s="924"/>
      <c r="Q28" s="924"/>
      <c r="R28" s="924"/>
      <c r="S28" s="924"/>
      <c r="T28" s="924"/>
      <c r="U28" s="924"/>
      <c r="V28" s="924"/>
      <c r="W28" s="924"/>
      <c r="X28" s="924"/>
      <c r="Y28" s="924"/>
      <c r="Z28" s="924"/>
      <c r="AA28" s="924"/>
      <c r="AB28" s="924"/>
      <c r="AC28" s="924"/>
      <c r="AD28" s="924"/>
      <c r="AE28" s="924"/>
      <c r="AF28" s="924"/>
      <c r="AG28" s="924"/>
      <c r="AH28" s="924"/>
      <c r="AI28" s="936"/>
      <c r="AJ28" s="924"/>
      <c r="AK28" s="924"/>
      <c r="AL28" s="924"/>
      <c r="AM28" s="924"/>
      <c r="AN28" s="924"/>
      <c r="AO28" s="924"/>
      <c r="AP28" s="924"/>
      <c r="AQ28" s="924"/>
      <c r="AR28" s="924"/>
      <c r="AS28" s="926"/>
      <c r="AT28" s="924" t="e">
        <f>+BM15</f>
        <v>#REF!</v>
      </c>
      <c r="AU28" s="927" t="e">
        <f>+AT28+AS28</f>
        <v>#REF!</v>
      </c>
      <c r="AV28" s="957"/>
      <c r="AW28" s="867"/>
      <c r="AX28" s="867"/>
      <c r="AZ28" s="867"/>
      <c r="BA28" s="867"/>
      <c r="BB28" s="895"/>
      <c r="BC28" s="895"/>
      <c r="BD28" s="895"/>
      <c r="BE28" s="867"/>
      <c r="BF28" s="867"/>
      <c r="BG28" s="908"/>
      <c r="BN28" s="867"/>
      <c r="BU28" s="867"/>
    </row>
    <row r="29" spans="1:73" ht="27.75" customHeight="1">
      <c r="A29" s="958">
        <v>3</v>
      </c>
      <c r="B29" s="959" t="s">
        <v>807</v>
      </c>
      <c r="C29" s="960"/>
      <c r="D29" s="960"/>
      <c r="E29" s="960"/>
      <c r="F29" s="960"/>
      <c r="G29" s="960"/>
      <c r="H29" s="960"/>
      <c r="I29" s="960"/>
      <c r="J29" s="960"/>
      <c r="K29" s="960"/>
      <c r="L29" s="960"/>
      <c r="M29" s="960"/>
      <c r="N29" s="960"/>
      <c r="O29" s="960"/>
      <c r="P29" s="960"/>
      <c r="Q29" s="960"/>
      <c r="R29" s="960"/>
      <c r="S29" s="960"/>
      <c r="T29" s="960"/>
      <c r="U29" s="960"/>
      <c r="V29" s="960"/>
      <c r="W29" s="960"/>
      <c r="X29" s="960"/>
      <c r="Y29" s="960"/>
      <c r="Z29" s="960"/>
      <c r="AA29" s="960"/>
      <c r="AB29" s="960"/>
      <c r="AC29" s="960"/>
      <c r="AD29" s="960"/>
      <c r="AE29" s="960"/>
      <c r="AF29" s="960"/>
      <c r="AG29" s="960"/>
      <c r="AH29" s="960"/>
      <c r="AI29" s="936"/>
      <c r="AJ29" s="960"/>
      <c r="AK29" s="960"/>
      <c r="AL29" s="960"/>
      <c r="AM29" s="960"/>
      <c r="AN29" s="960"/>
      <c r="AO29" s="960"/>
      <c r="AP29" s="960"/>
      <c r="AQ29" s="960"/>
      <c r="AR29" s="960"/>
      <c r="AS29" s="961" t="e">
        <f>SUM(AS27:AS28)</f>
        <v>#REF!</v>
      </c>
      <c r="AT29" s="960" t="e">
        <f>SUM(AT27:AT28)</f>
        <v>#REF!</v>
      </c>
      <c r="AU29" s="962" t="e">
        <f>SUM(AU27:AU28)</f>
        <v>#REF!</v>
      </c>
      <c r="AV29" s="963"/>
      <c r="AW29" s="964"/>
      <c r="AX29" s="895"/>
      <c r="AZ29" s="895"/>
      <c r="BA29" s="895"/>
      <c r="BB29" s="895" t="s">
        <v>183</v>
      </c>
      <c r="BC29" s="895" t="s">
        <v>808</v>
      </c>
      <c r="BD29" s="895" t="s">
        <v>133</v>
      </c>
      <c r="BE29" s="895"/>
      <c r="BF29" s="895"/>
      <c r="BG29" s="895"/>
      <c r="BH29" s="901"/>
      <c r="BN29" s="895"/>
      <c r="BU29" s="895"/>
    </row>
    <row r="30" spans="1:73" ht="21.75" customHeight="1">
      <c r="A30" s="956">
        <v>4</v>
      </c>
      <c r="B30" s="845" t="s">
        <v>866</v>
      </c>
      <c r="C30" s="924"/>
      <c r="D30" s="924"/>
      <c r="E30" s="965">
        <f>SUM(E19:E26)</f>
        <v>0</v>
      </c>
      <c r="F30" s="924"/>
      <c r="G30" s="965">
        <f>SUM(G19:G26)</f>
        <v>0</v>
      </c>
      <c r="H30" s="924"/>
      <c r="I30" s="924"/>
      <c r="J30" s="965">
        <f>SUM(J19:J26)</f>
        <v>0</v>
      </c>
      <c r="K30" s="965">
        <f>SUM(K19:K26)</f>
        <v>0</v>
      </c>
      <c r="L30" s="965" t="e">
        <f>SUM(L19:L25)</f>
        <v>#REF!</v>
      </c>
      <c r="M30" s="965">
        <f>SUM(M19:M26)</f>
        <v>0</v>
      </c>
      <c r="N30" s="924"/>
      <c r="O30" s="924"/>
      <c r="P30" s="924"/>
      <c r="Q30" s="965" t="e">
        <f>SUM(Q19:Q25)</f>
        <v>#REF!</v>
      </c>
      <c r="R30" s="965" t="e">
        <f>SUM(R19:R25)</f>
        <v>#REF!</v>
      </c>
      <c r="S30" s="965" t="e">
        <f>SUM(S19:S25)-$BC$32*(L30+M30)</f>
        <v>#REF!</v>
      </c>
      <c r="T30" s="965">
        <f>SUM(T19:T25)</f>
        <v>15.9024</v>
      </c>
      <c r="U30" s="924"/>
      <c r="V30" s="965" t="e">
        <f>SUM(V19:V25)</f>
        <v>#REF!</v>
      </c>
      <c r="W30" s="965" t="e">
        <f>SUM(W19:W25)</f>
        <v>#REF!</v>
      </c>
      <c r="X30" s="965" t="e">
        <f>SUM(X19:X25)</f>
        <v>#REF!</v>
      </c>
      <c r="Y30" s="924"/>
      <c r="Z30" s="924"/>
      <c r="AA30" s="965" t="e">
        <f>SUM(AA19:AA25)</f>
        <v>#REF!</v>
      </c>
      <c r="AB30" s="965" t="e">
        <f>SUM(AB19:AB25)</f>
        <v>#REF!</v>
      </c>
      <c r="AC30" s="924"/>
      <c r="AD30" s="966" t="e">
        <f>SUM(AD19:AD25)</f>
        <v>#REF!</v>
      </c>
      <c r="AE30" s="965" t="e">
        <f>SUM(AE19:AE25)</f>
        <v>#REF!</v>
      </c>
      <c r="AF30" s="966" t="e">
        <f>SUM(AF19:AF25)</f>
        <v>#REF!</v>
      </c>
      <c r="AG30" s="966" t="e">
        <f>SUM(AG19:AG25)</f>
        <v>#REF!</v>
      </c>
      <c r="AH30" s="966" t="e">
        <f>SUM(AH19:AH25)-$BC$61*(L30+M30)</f>
        <v>#REF!</v>
      </c>
      <c r="AI30" s="967" t="e">
        <f>$BC$62*(G30+Q30+R30+T30+$BC$32*(J30+K30)+X30+AL30+AN30+AP30)+$BC$63*(AA30+AB30)</f>
        <v>#REF!</v>
      </c>
      <c r="AJ30" s="924"/>
      <c r="AK30" s="965">
        <f>SUM(AK19:AK26)</f>
        <v>0</v>
      </c>
      <c r="AL30" s="965">
        <f>SUM(AL19:AL26)</f>
        <v>0</v>
      </c>
      <c r="AM30" s="965" t="e">
        <f>SUM(AM19:AM25)</f>
        <v>#REF!</v>
      </c>
      <c r="AN30" s="965">
        <f>SUM(AN19:AN26)</f>
        <v>0</v>
      </c>
      <c r="AO30" s="965">
        <f>SUM(AO19:AO26)</f>
        <v>0</v>
      </c>
      <c r="AP30" s="965" t="e">
        <f>SUM(AP19:AP25)+AP26</f>
        <v>#REF!</v>
      </c>
      <c r="AQ30" s="924"/>
      <c r="AR30" s="924"/>
      <c r="AS30" s="926"/>
      <c r="AT30" s="924" t="e">
        <f>AD30+AF30+AG30+AH30+AI30</f>
        <v>#REF!</v>
      </c>
      <c r="AU30" s="927" t="e">
        <f>(AS30+AT30)*'Report '!L7</f>
        <v>#REF!</v>
      </c>
      <c r="AV30" s="963"/>
      <c r="AW30" s="895"/>
      <c r="AX30" s="895"/>
      <c r="AZ30" s="895"/>
      <c r="BA30" s="895"/>
      <c r="BB30" s="895" t="s">
        <v>184</v>
      </c>
      <c r="BC30" s="609">
        <v>0.12</v>
      </c>
      <c r="BD30" s="610">
        <f>6%</f>
        <v>0.06</v>
      </c>
      <c r="BE30" s="895"/>
      <c r="BF30" s="895"/>
      <c r="BG30" s="968"/>
      <c r="BN30" s="895"/>
    </row>
    <row r="31" spans="1:73" s="973" customFormat="1" ht="26.25" customHeight="1">
      <c r="A31" s="958">
        <v>5</v>
      </c>
      <c r="B31" s="959" t="s">
        <v>865</v>
      </c>
      <c r="C31" s="969"/>
      <c r="D31" s="969"/>
      <c r="E31" s="969"/>
      <c r="F31" s="969"/>
      <c r="G31" s="969"/>
      <c r="H31" s="969"/>
      <c r="I31" s="969"/>
      <c r="J31" s="969"/>
      <c r="K31" s="969"/>
      <c r="L31" s="969"/>
      <c r="M31" s="969"/>
      <c r="N31" s="969"/>
      <c r="O31" s="969"/>
      <c r="P31" s="969"/>
      <c r="Q31" s="969"/>
      <c r="R31" s="969"/>
      <c r="S31" s="969"/>
      <c r="T31" s="969"/>
      <c r="U31" s="969"/>
      <c r="V31" s="969"/>
      <c r="W31" s="969"/>
      <c r="X31" s="969"/>
      <c r="Y31" s="969"/>
      <c r="Z31" s="969"/>
      <c r="AA31" s="969"/>
      <c r="AB31" s="969"/>
      <c r="AC31" s="969"/>
      <c r="AD31" s="969"/>
      <c r="AE31" s="969"/>
      <c r="AF31" s="969"/>
      <c r="AG31" s="969"/>
      <c r="AH31" s="969"/>
      <c r="AI31" s="969"/>
      <c r="AJ31" s="969"/>
      <c r="AK31" s="969"/>
      <c r="AL31" s="969"/>
      <c r="AM31" s="969"/>
      <c r="AN31" s="969"/>
      <c r="AO31" s="969"/>
      <c r="AP31" s="969"/>
      <c r="AQ31" s="969"/>
      <c r="AR31" s="969"/>
      <c r="AS31" s="970"/>
      <c r="AT31" s="969"/>
      <c r="AU31" s="962" t="e">
        <f>+AU29-AU30</f>
        <v>#REF!</v>
      </c>
      <c r="AV31" s="971"/>
      <c r="AW31" s="972"/>
      <c r="AX31" s="972"/>
      <c r="AZ31" s="972"/>
      <c r="BA31" s="972"/>
      <c r="BB31" s="972" t="s">
        <v>185</v>
      </c>
      <c r="BC31" s="611"/>
      <c r="BD31" s="972"/>
      <c r="BE31" s="972"/>
      <c r="BF31" s="972"/>
      <c r="BM31" s="972"/>
      <c r="BN31" s="972"/>
    </row>
    <row r="32" spans="1:73" s="837" customFormat="1" ht="20.100000000000001" customHeight="1">
      <c r="A32" s="974"/>
      <c r="B32" s="845"/>
      <c r="C32" s="840"/>
      <c r="D32" s="840"/>
      <c r="E32" s="840"/>
      <c r="F32" s="840"/>
      <c r="G32" s="840"/>
      <c r="H32" s="840"/>
      <c r="I32" s="840"/>
      <c r="J32" s="840"/>
      <c r="K32" s="840"/>
      <c r="L32" s="840"/>
      <c r="M32" s="840"/>
      <c r="N32" s="840"/>
      <c r="O32" s="840"/>
      <c r="P32" s="840"/>
      <c r="Q32" s="840"/>
      <c r="R32" s="840"/>
      <c r="S32" s="840"/>
      <c r="T32" s="840"/>
      <c r="U32" s="840"/>
      <c r="V32" s="840"/>
      <c r="W32" s="840"/>
      <c r="X32" s="840"/>
      <c r="Y32" s="840"/>
      <c r="Z32" s="840"/>
      <c r="AA32" s="840"/>
      <c r="AB32" s="840"/>
      <c r="AC32" s="840"/>
      <c r="AD32" s="840"/>
      <c r="AE32" s="840"/>
      <c r="AF32" s="840"/>
      <c r="AG32" s="840"/>
      <c r="AH32" s="840"/>
      <c r="AI32" s="840"/>
      <c r="AJ32" s="840"/>
      <c r="AK32" s="840"/>
      <c r="AL32" s="840"/>
      <c r="AM32" s="840"/>
      <c r="AN32" s="840"/>
      <c r="AO32" s="840"/>
      <c r="AP32" s="840"/>
      <c r="AQ32" s="840"/>
      <c r="AR32" s="840"/>
      <c r="AS32" s="840"/>
      <c r="AT32" s="840"/>
      <c r="AU32" s="840"/>
      <c r="AW32" s="838"/>
      <c r="AX32" s="838"/>
      <c r="AY32" s="838"/>
      <c r="AZ32" s="838"/>
      <c r="BA32" s="838"/>
      <c r="BB32" s="838" t="s">
        <v>186</v>
      </c>
      <c r="BC32" s="612">
        <v>0.2</v>
      </c>
      <c r="BD32" s="838"/>
      <c r="BE32" s="838"/>
      <c r="BF32" s="838"/>
      <c r="BG32" s="838"/>
      <c r="BH32" s="838"/>
      <c r="BI32" s="838"/>
      <c r="BJ32" s="838"/>
      <c r="BK32" s="838"/>
      <c r="BL32" s="838"/>
      <c r="BM32" s="838"/>
      <c r="BN32" s="838"/>
      <c r="BR32" s="838"/>
      <c r="BS32" s="838"/>
      <c r="BT32" s="838"/>
      <c r="BU32" s="838"/>
    </row>
    <row r="33" spans="1:89" s="837" customFormat="1" ht="15.6">
      <c r="B33" s="838"/>
      <c r="C33" s="838"/>
      <c r="D33" s="838"/>
      <c r="E33" s="838"/>
      <c r="F33" s="838"/>
      <c r="H33" s="838"/>
      <c r="I33" s="838"/>
      <c r="J33" s="838"/>
      <c r="L33" s="838"/>
      <c r="M33" s="838"/>
      <c r="N33" s="838"/>
      <c r="O33" s="838"/>
      <c r="P33" s="839"/>
      <c r="Q33" s="839"/>
      <c r="R33" s="838"/>
      <c r="T33" s="838"/>
      <c r="U33" s="838"/>
      <c r="V33" s="838"/>
      <c r="W33" s="838"/>
      <c r="X33" s="838"/>
      <c r="Y33" s="838"/>
      <c r="Z33" s="838"/>
      <c r="AA33" s="838"/>
      <c r="AB33" s="838"/>
      <c r="AC33" s="838"/>
      <c r="AD33" s="838"/>
      <c r="AE33" s="838"/>
      <c r="AF33" s="839"/>
      <c r="AG33" s="839"/>
      <c r="AH33" s="838"/>
      <c r="AI33" s="838"/>
      <c r="AJ33" s="838"/>
      <c r="AK33" s="838"/>
      <c r="AL33" s="838"/>
      <c r="AM33" s="838"/>
      <c r="AN33" s="838"/>
      <c r="AO33" s="838"/>
      <c r="AP33" s="838"/>
      <c r="AQ33" s="838"/>
      <c r="AR33" s="838"/>
      <c r="AS33" s="838"/>
      <c r="AT33" s="838"/>
      <c r="AU33" s="839"/>
      <c r="AV33" s="838" t="e">
        <f>#REF!-AU31</f>
        <v>#REF!</v>
      </c>
      <c r="AW33" s="838"/>
      <c r="AX33" s="838"/>
      <c r="AY33" s="838"/>
      <c r="AZ33" s="838"/>
      <c r="BA33" s="838"/>
      <c r="BB33" s="838" t="s">
        <v>187</v>
      </c>
      <c r="BC33" s="612"/>
      <c r="BD33" s="838"/>
      <c r="BE33" s="838"/>
      <c r="BF33" s="838"/>
      <c r="BG33" s="838"/>
      <c r="BH33" s="860"/>
      <c r="BI33" s="860"/>
      <c r="BK33" s="975"/>
      <c r="BL33" s="838"/>
      <c r="BM33" s="838"/>
      <c r="BN33" s="838"/>
      <c r="BR33" s="976"/>
      <c r="BS33" s="838"/>
      <c r="BT33" s="976"/>
      <c r="BU33" s="838"/>
    </row>
    <row r="34" spans="1:89" s="837" customFormat="1">
      <c r="B34" s="838"/>
      <c r="C34" s="838"/>
      <c r="D34" s="838"/>
      <c r="E34" s="838"/>
      <c r="F34" s="838"/>
      <c r="G34" s="838"/>
      <c r="H34" s="838"/>
      <c r="I34" s="838"/>
      <c r="J34" s="838"/>
      <c r="K34" s="838"/>
      <c r="L34" s="858"/>
      <c r="M34" s="838"/>
      <c r="N34" s="838"/>
      <c r="O34" s="838"/>
      <c r="P34" s="838"/>
      <c r="Q34" s="838"/>
      <c r="R34" s="838"/>
      <c r="S34" s="838"/>
      <c r="T34" s="838"/>
      <c r="U34" s="838"/>
      <c r="V34" s="838"/>
      <c r="W34" s="838"/>
      <c r="X34" s="838"/>
      <c r="Y34" s="838"/>
      <c r="Z34" s="838"/>
      <c r="AA34" s="838"/>
      <c r="AB34" s="838"/>
      <c r="AC34" s="838"/>
      <c r="AD34" s="838"/>
      <c r="AE34" s="838"/>
      <c r="AF34" s="838"/>
      <c r="AG34" s="838"/>
      <c r="AH34" s="838"/>
      <c r="AI34" s="838"/>
      <c r="AJ34" s="838"/>
      <c r="AK34" s="838"/>
      <c r="AL34" s="838"/>
      <c r="AM34" s="838"/>
      <c r="AN34" s="838"/>
      <c r="AO34" s="838"/>
      <c r="AP34" s="838"/>
      <c r="AQ34" s="838"/>
      <c r="AR34" s="838"/>
      <c r="AS34" s="838"/>
      <c r="AT34" s="838"/>
      <c r="AU34" s="838"/>
      <c r="AV34" s="838"/>
      <c r="AW34" s="838"/>
      <c r="AX34" s="838"/>
      <c r="AY34" s="838"/>
      <c r="AZ34" s="838"/>
      <c r="BA34" s="838"/>
      <c r="BB34" s="838" t="s">
        <v>139</v>
      </c>
      <c r="BC34" s="612">
        <v>0.12</v>
      </c>
      <c r="BD34" s="838"/>
      <c r="BE34" s="838"/>
      <c r="BF34" s="838"/>
      <c r="BG34" s="977"/>
      <c r="BH34" s="860"/>
      <c r="BI34" s="860"/>
      <c r="BJ34" s="860"/>
      <c r="BK34" s="838"/>
      <c r="BL34" s="838"/>
      <c r="BM34" s="838"/>
      <c r="BN34" s="838"/>
      <c r="BP34" s="838"/>
      <c r="BQ34" s="838"/>
      <c r="BR34" s="838"/>
      <c r="BS34" s="838"/>
      <c r="BT34" s="838"/>
      <c r="BU34" s="838"/>
    </row>
    <row r="35" spans="1:89" s="837" customFormat="1">
      <c r="B35" s="838"/>
      <c r="C35" s="838"/>
      <c r="D35" s="838"/>
      <c r="E35" s="838"/>
      <c r="H35" s="838"/>
      <c r="I35" s="838"/>
      <c r="J35" s="838"/>
      <c r="K35" s="858"/>
      <c r="L35" s="838"/>
      <c r="M35" s="838"/>
      <c r="N35" s="838"/>
      <c r="O35" s="838"/>
      <c r="P35" s="838"/>
      <c r="Q35" s="838"/>
      <c r="R35" s="838"/>
      <c r="S35" s="838"/>
      <c r="T35" s="838"/>
      <c r="U35" s="838"/>
      <c r="V35" s="838"/>
      <c r="W35" s="838"/>
      <c r="X35" s="838"/>
      <c r="Y35" s="838"/>
      <c r="Z35" s="838"/>
      <c r="AA35" s="838"/>
      <c r="AB35" s="838"/>
      <c r="AC35" s="838"/>
      <c r="AD35" s="838"/>
      <c r="AE35" s="838"/>
      <c r="AF35" s="838"/>
      <c r="AG35" s="838"/>
      <c r="AH35" s="838"/>
      <c r="AI35" s="838"/>
      <c r="AJ35" s="838"/>
      <c r="AK35" s="838"/>
      <c r="AL35" s="838"/>
      <c r="AM35" s="838"/>
      <c r="AN35" s="838"/>
      <c r="AO35" s="838"/>
      <c r="AP35" s="838"/>
      <c r="AQ35" s="838"/>
      <c r="AR35" s="838"/>
      <c r="AS35" s="838"/>
      <c r="AT35" s="838"/>
      <c r="AU35" s="838"/>
      <c r="AV35" s="838"/>
      <c r="AW35" s="838"/>
      <c r="AX35" s="838"/>
      <c r="AY35" s="838"/>
      <c r="AZ35" s="838"/>
      <c r="BA35" s="838"/>
      <c r="BE35" s="612"/>
      <c r="BF35" s="838"/>
      <c r="BG35" s="838"/>
      <c r="BH35" s="860"/>
      <c r="BI35" s="860"/>
      <c r="BK35" s="838"/>
      <c r="BL35" s="838"/>
      <c r="BM35" s="838"/>
      <c r="BN35" s="838"/>
      <c r="BP35" s="838"/>
      <c r="BQ35" s="838"/>
      <c r="BR35" s="838"/>
      <c r="BS35" s="838"/>
      <c r="BT35" s="838"/>
      <c r="BU35" s="838"/>
    </row>
    <row r="36" spans="1:89" s="837" customFormat="1">
      <c r="B36" s="838"/>
      <c r="C36" s="838"/>
      <c r="D36" s="838"/>
      <c r="E36" s="838"/>
      <c r="F36" s="838"/>
      <c r="G36" s="838"/>
      <c r="H36" s="838"/>
      <c r="I36" s="838"/>
      <c r="J36" s="838"/>
      <c r="K36" s="838"/>
      <c r="L36" s="858"/>
      <c r="M36" s="838"/>
      <c r="N36" s="838"/>
      <c r="O36" s="838"/>
      <c r="P36" s="838"/>
      <c r="Q36" s="838"/>
      <c r="R36" s="838"/>
      <c r="S36" s="838"/>
      <c r="T36" s="838"/>
      <c r="U36" s="838"/>
      <c r="V36" s="838"/>
      <c r="W36" s="838"/>
      <c r="X36" s="838"/>
      <c r="Y36" s="838"/>
      <c r="Z36" s="838"/>
      <c r="AA36" s="838"/>
      <c r="AB36" s="838"/>
      <c r="AC36" s="838"/>
      <c r="AD36" s="838"/>
      <c r="AE36" s="838"/>
      <c r="AF36" s="838"/>
      <c r="AG36" s="838"/>
      <c r="AH36" s="838"/>
      <c r="AI36" s="838"/>
      <c r="AJ36" s="838"/>
      <c r="AK36" s="838"/>
      <c r="AL36" s="838"/>
      <c r="AM36" s="838"/>
      <c r="AN36" s="838"/>
      <c r="AO36" s="838"/>
      <c r="AP36" s="838"/>
      <c r="AQ36" s="838"/>
      <c r="AR36" s="838"/>
      <c r="AS36" s="838"/>
      <c r="AT36" s="838"/>
      <c r="AU36" s="838"/>
      <c r="AV36" s="838"/>
      <c r="AW36" s="838"/>
      <c r="AX36" s="838"/>
      <c r="AY36" s="838"/>
      <c r="AZ36" s="838"/>
      <c r="BA36" s="838"/>
      <c r="BB36" s="838" t="s">
        <v>188</v>
      </c>
      <c r="BC36" s="612"/>
      <c r="BE36" s="838"/>
      <c r="BF36" s="838"/>
      <c r="BG36" s="838"/>
      <c r="BH36" s="860"/>
      <c r="BI36" s="860"/>
      <c r="BJ36" s="860"/>
      <c r="BK36" s="838"/>
      <c r="BL36" s="838"/>
      <c r="BM36" s="838"/>
      <c r="BN36" s="838"/>
      <c r="BP36" s="838"/>
      <c r="BQ36" s="838"/>
      <c r="BR36" s="838"/>
      <c r="BS36" s="838"/>
      <c r="BT36" s="838"/>
      <c r="BU36" s="838"/>
    </row>
    <row r="37" spans="1:89" s="837" customFormat="1">
      <c r="B37" s="838"/>
      <c r="C37" s="838"/>
      <c r="D37" s="838"/>
      <c r="E37" s="838"/>
      <c r="F37" s="838"/>
      <c r="G37" s="838"/>
      <c r="H37" s="838"/>
      <c r="I37" s="838"/>
      <c r="J37" s="838"/>
      <c r="K37" s="838"/>
      <c r="L37" s="838"/>
      <c r="M37" s="838"/>
      <c r="N37" s="838"/>
      <c r="O37" s="838"/>
      <c r="P37" s="838"/>
      <c r="Q37" s="838"/>
      <c r="R37" s="838"/>
      <c r="S37" s="838"/>
      <c r="T37" s="838"/>
      <c r="U37" s="838"/>
      <c r="V37" s="838"/>
      <c r="W37" s="838"/>
      <c r="X37" s="838"/>
      <c r="Y37" s="838"/>
      <c r="Z37" s="838"/>
      <c r="AA37" s="838"/>
      <c r="AB37" s="838"/>
      <c r="AC37" s="838"/>
      <c r="AD37" s="838"/>
      <c r="AE37" s="838"/>
      <c r="AF37" s="838"/>
      <c r="AG37" s="838"/>
      <c r="AH37" s="838"/>
      <c r="AI37" s="838"/>
      <c r="AJ37" s="838"/>
      <c r="AK37" s="838"/>
      <c r="AL37" s="838"/>
      <c r="AM37" s="838"/>
      <c r="AN37" s="838"/>
      <c r="AO37" s="838"/>
      <c r="AP37" s="838"/>
      <c r="AQ37" s="838"/>
      <c r="AR37" s="838"/>
      <c r="AS37" s="838"/>
      <c r="AT37" s="838"/>
      <c r="AU37" s="838"/>
      <c r="AV37" s="838"/>
      <c r="AW37" s="838"/>
      <c r="AX37" s="838"/>
      <c r="AY37" s="838"/>
      <c r="AZ37" s="838"/>
      <c r="BA37" s="838"/>
      <c r="BB37" s="838" t="s">
        <v>189</v>
      </c>
      <c r="BC37" s="613">
        <v>0</v>
      </c>
      <c r="BD37" s="838"/>
      <c r="BE37" s="838"/>
      <c r="BF37" s="838"/>
      <c r="BG37" s="614"/>
      <c r="BH37" s="838"/>
      <c r="BI37" s="838"/>
      <c r="BJ37" s="838"/>
      <c r="BK37" s="838"/>
      <c r="BL37" s="838"/>
      <c r="BM37" s="838"/>
      <c r="BN37" s="838"/>
      <c r="BP37" s="838"/>
      <c r="BQ37" s="838"/>
      <c r="BR37" s="838"/>
      <c r="BS37" s="838"/>
      <c r="BT37" s="838"/>
      <c r="BU37" s="838"/>
    </row>
    <row r="38" spans="1:89" s="837" customFormat="1">
      <c r="B38" s="838"/>
      <c r="C38" s="838"/>
      <c r="F38" s="863"/>
      <c r="G38" s="838"/>
      <c r="H38" s="838"/>
      <c r="I38" s="838"/>
      <c r="J38" s="838"/>
      <c r="K38" s="838"/>
      <c r="L38" s="838"/>
      <c r="M38" s="838"/>
      <c r="N38" s="838"/>
      <c r="O38" s="838"/>
      <c r="P38" s="838"/>
      <c r="Q38" s="838"/>
      <c r="R38" s="838"/>
      <c r="S38" s="864"/>
      <c r="T38" s="838"/>
      <c r="U38" s="838"/>
      <c r="V38" s="838"/>
      <c r="W38" s="838"/>
      <c r="X38" s="838"/>
      <c r="Y38" s="838"/>
      <c r="Z38" s="838"/>
      <c r="AA38" s="838"/>
      <c r="AB38" s="838"/>
      <c r="AC38" s="838"/>
      <c r="AD38" s="838"/>
      <c r="AE38" s="838"/>
      <c r="AF38" s="838"/>
      <c r="AG38" s="838"/>
      <c r="AH38" s="838"/>
      <c r="AI38" s="838"/>
      <c r="AJ38" s="838"/>
      <c r="AK38" s="838"/>
      <c r="AL38" s="838"/>
      <c r="AM38" s="838"/>
      <c r="AN38" s="838"/>
      <c r="AO38" s="838"/>
      <c r="AP38" s="838"/>
      <c r="AQ38" s="838"/>
      <c r="AR38" s="838"/>
      <c r="AS38" s="838"/>
      <c r="AT38" s="838"/>
      <c r="AU38" s="838"/>
      <c r="AV38" s="838"/>
      <c r="AW38" s="838"/>
      <c r="AX38" s="838"/>
      <c r="AY38" s="838"/>
      <c r="AZ38" s="838"/>
      <c r="BA38" s="838"/>
      <c r="BB38" s="838" t="s">
        <v>190</v>
      </c>
      <c r="BC38" s="615">
        <v>2.5000000000000001E-2</v>
      </c>
      <c r="BD38" s="838"/>
      <c r="BE38" s="838"/>
      <c r="BF38" s="838"/>
      <c r="BG38" s="614"/>
      <c r="BH38" s="838"/>
      <c r="BI38" s="838"/>
      <c r="BJ38" s="838"/>
      <c r="BK38" s="838"/>
      <c r="BL38" s="838"/>
      <c r="BM38" s="838"/>
      <c r="BN38" s="838"/>
      <c r="BP38" s="838"/>
      <c r="BQ38" s="838"/>
      <c r="BR38" s="838"/>
      <c r="BS38" s="838"/>
      <c r="BT38" s="838"/>
      <c r="BU38" s="838"/>
    </row>
    <row r="39" spans="1:89" s="837" customFormat="1">
      <c r="B39" s="838"/>
      <c r="C39" s="838"/>
      <c r="D39" s="838"/>
      <c r="E39" s="838"/>
      <c r="U39" s="838"/>
      <c r="V39" s="838"/>
      <c r="W39" s="838"/>
      <c r="X39" s="838"/>
      <c r="Y39" s="838"/>
      <c r="Z39" s="838"/>
      <c r="AA39" s="838"/>
      <c r="AB39" s="838"/>
      <c r="AC39" s="838"/>
      <c r="AD39" s="838"/>
      <c r="AE39" s="838"/>
      <c r="AF39" s="838"/>
      <c r="AG39" s="838"/>
      <c r="AH39" s="838"/>
      <c r="AI39" s="838"/>
      <c r="AJ39" s="838"/>
      <c r="AK39" s="838"/>
      <c r="AL39" s="838"/>
      <c r="AM39" s="838"/>
      <c r="AN39" s="838"/>
      <c r="AO39" s="838"/>
      <c r="AP39" s="838"/>
      <c r="AQ39" s="838"/>
      <c r="AR39" s="838"/>
      <c r="AS39" s="838"/>
      <c r="AT39" s="838"/>
      <c r="AU39" s="838"/>
      <c r="AV39" s="838"/>
      <c r="AW39" s="838"/>
      <c r="AX39" s="838"/>
      <c r="AY39" s="838"/>
      <c r="AZ39" s="838"/>
      <c r="BA39" s="838"/>
      <c r="BB39" s="838" t="s">
        <v>809</v>
      </c>
      <c r="BC39" s="616">
        <f>1%*0</f>
        <v>0</v>
      </c>
      <c r="BD39" s="838" t="s">
        <v>810</v>
      </c>
      <c r="BE39" s="838"/>
      <c r="BF39" s="860"/>
      <c r="BG39" s="860"/>
      <c r="BH39" s="860"/>
      <c r="BI39" s="860"/>
      <c r="BJ39" s="860"/>
      <c r="BK39" s="860"/>
      <c r="BL39" s="860"/>
      <c r="BM39" s="860"/>
      <c r="BP39" s="838"/>
      <c r="BQ39" s="838"/>
      <c r="BR39" s="838"/>
      <c r="BS39" s="838" t="s">
        <v>0</v>
      </c>
      <c r="BT39" s="838"/>
      <c r="BU39" s="838"/>
    </row>
    <row r="40" spans="1:89" s="837" customFormat="1">
      <c r="B40" s="838"/>
      <c r="C40" s="838"/>
      <c r="D40" s="838"/>
      <c r="E40" s="978"/>
      <c r="F40" s="863"/>
      <c r="G40" s="617"/>
      <c r="H40" s="618"/>
      <c r="I40" s="618"/>
      <c r="J40" s="618"/>
      <c r="K40" s="618"/>
      <c r="L40" s="618"/>
      <c r="M40" s="618"/>
      <c r="U40" s="838"/>
      <c r="V40" s="838"/>
      <c r="W40" s="838"/>
      <c r="X40" s="838"/>
      <c r="Y40" s="838"/>
      <c r="Z40" s="838"/>
      <c r="AA40" s="838"/>
      <c r="AB40" s="838"/>
      <c r="AC40" s="838"/>
      <c r="AD40" s="838"/>
      <c r="AE40" s="838"/>
      <c r="AF40" s="838"/>
      <c r="AG40" s="838"/>
      <c r="AH40" s="838"/>
      <c r="AI40" s="838"/>
      <c r="AJ40" s="838"/>
      <c r="AK40" s="838"/>
      <c r="AL40" s="838"/>
      <c r="AM40" s="838"/>
      <c r="AN40" s="838"/>
      <c r="AO40" s="838"/>
      <c r="AP40" s="838"/>
      <c r="AQ40" s="838"/>
      <c r="AR40" s="838"/>
      <c r="AS40" s="838"/>
      <c r="AT40" s="838"/>
      <c r="AU40" s="838"/>
      <c r="AV40" s="838"/>
      <c r="AW40" s="838"/>
      <c r="AX40" s="838"/>
      <c r="AY40" s="838"/>
      <c r="AZ40" s="838"/>
      <c r="BA40" s="838"/>
      <c r="BB40" s="838" t="s">
        <v>191</v>
      </c>
      <c r="BC40" s="615">
        <v>2.5000000000000001E-2</v>
      </c>
      <c r="BD40" s="838"/>
      <c r="BE40" s="838"/>
      <c r="BF40" s="860"/>
      <c r="BG40" s="860"/>
      <c r="BH40" s="860"/>
      <c r="BI40" s="860"/>
      <c r="BJ40" s="860"/>
      <c r="BK40" s="860"/>
      <c r="BL40" s="860"/>
      <c r="BM40" s="860"/>
      <c r="BP40" s="838"/>
      <c r="BQ40" s="838"/>
      <c r="BR40" s="838"/>
      <c r="BS40" s="838"/>
      <c r="BT40" s="838"/>
      <c r="BU40" s="838"/>
    </row>
    <row r="41" spans="1:89" s="837" customFormat="1" ht="15.6">
      <c r="A41" s="842"/>
      <c r="B41" s="838"/>
      <c r="C41" s="838"/>
      <c r="D41" s="838"/>
      <c r="F41" s="863"/>
      <c r="G41" s="618"/>
      <c r="H41" s="618"/>
      <c r="I41" s="618"/>
      <c r="J41" s="979"/>
      <c r="K41" s="618"/>
      <c r="L41" s="979"/>
      <c r="M41" s="618"/>
      <c r="N41" s="980"/>
      <c r="O41" s="618"/>
      <c r="U41" s="838"/>
      <c r="V41" s="838"/>
      <c r="W41" s="838"/>
      <c r="X41" s="838"/>
      <c r="Y41" s="838"/>
      <c r="Z41" s="838"/>
      <c r="AA41" s="838"/>
      <c r="AB41" s="838"/>
      <c r="AC41" s="838"/>
      <c r="AD41" s="838"/>
      <c r="AE41" s="838"/>
      <c r="AF41" s="838"/>
      <c r="AG41" s="838"/>
      <c r="AH41" s="838"/>
      <c r="AI41" s="838"/>
      <c r="AJ41" s="838"/>
      <c r="AK41" s="838"/>
      <c r="AL41" s="838"/>
      <c r="AM41" s="838"/>
      <c r="AN41" s="838"/>
      <c r="AO41" s="838"/>
      <c r="AP41" s="838"/>
      <c r="AQ41" s="838"/>
      <c r="AR41" s="838"/>
      <c r="AS41" s="838"/>
      <c r="AT41" s="838"/>
      <c r="AU41" s="838"/>
      <c r="AV41" s="838"/>
      <c r="AW41" s="838"/>
      <c r="AX41" s="838"/>
      <c r="AY41" s="838"/>
      <c r="AZ41" s="838"/>
      <c r="BA41" s="838"/>
      <c r="BB41" s="838" t="s">
        <v>192</v>
      </c>
      <c r="BC41" s="615">
        <v>2.5000000000000001E-2</v>
      </c>
      <c r="BD41" s="838"/>
      <c r="BE41" s="838"/>
      <c r="BF41" s="860"/>
      <c r="BG41" s="860"/>
      <c r="BH41" s="860"/>
      <c r="BI41" s="860"/>
      <c r="BJ41" s="860"/>
      <c r="BK41" s="860"/>
      <c r="BL41" s="860"/>
      <c r="BM41" s="860"/>
      <c r="BP41" s="838"/>
      <c r="BQ41" s="838"/>
      <c r="BR41" s="838"/>
      <c r="BS41" s="838"/>
      <c r="BT41" s="838"/>
      <c r="BU41" s="838"/>
    </row>
    <row r="42" spans="1:89" s="837" customFormat="1" ht="15.6">
      <c r="A42" s="842"/>
      <c r="B42" s="842"/>
      <c r="C42" s="842"/>
      <c r="D42" s="842"/>
      <c r="E42" s="978"/>
      <c r="R42" s="842"/>
      <c r="S42" s="842"/>
      <c r="U42" s="842"/>
      <c r="V42" s="842"/>
      <c r="W42" s="842"/>
      <c r="X42" s="842"/>
      <c r="Y42" s="842"/>
      <c r="AP42" s="842"/>
      <c r="AQ42" s="842"/>
      <c r="AR42" s="842"/>
      <c r="AT42" s="842"/>
      <c r="AU42" s="842"/>
      <c r="AV42" s="842"/>
      <c r="AW42" s="838"/>
      <c r="AX42" s="838"/>
      <c r="AY42" s="838"/>
      <c r="AZ42" s="838"/>
      <c r="BA42" s="838"/>
      <c r="BB42" s="838"/>
      <c r="BC42" s="619">
        <f>SUM(BC40:BC41)</f>
        <v>0.05</v>
      </c>
      <c r="BD42" s="838"/>
      <c r="BE42" s="838"/>
      <c r="BF42" s="860"/>
      <c r="BG42" s="860"/>
      <c r="BH42" s="860"/>
      <c r="BI42" s="860"/>
      <c r="BJ42" s="860"/>
      <c r="BK42" s="860"/>
      <c r="BL42" s="860"/>
      <c r="BM42" s="860"/>
      <c r="BP42" s="838"/>
      <c r="BQ42" s="838"/>
      <c r="BR42" s="838"/>
      <c r="BS42" s="838"/>
      <c r="BT42" s="838"/>
      <c r="BU42" s="838"/>
    </row>
    <row r="43" spans="1:89" s="837" customFormat="1" ht="15.6">
      <c r="A43" s="842"/>
      <c r="B43" s="842"/>
      <c r="C43" s="842"/>
      <c r="D43" s="842"/>
      <c r="E43" s="842"/>
      <c r="F43" s="842"/>
      <c r="G43" s="842"/>
      <c r="H43" s="842"/>
      <c r="I43" s="842"/>
      <c r="J43" s="842"/>
      <c r="K43" s="842"/>
      <c r="L43" s="842"/>
      <c r="M43" s="842"/>
      <c r="N43" s="842"/>
      <c r="O43" s="842"/>
      <c r="P43" s="842"/>
      <c r="Q43" s="842"/>
      <c r="R43" s="842"/>
      <c r="S43" s="842"/>
      <c r="T43" s="842"/>
      <c r="U43" s="842"/>
      <c r="V43" s="842"/>
      <c r="W43" s="1741"/>
      <c r="X43" s="1742"/>
      <c r="Y43" s="1742"/>
      <c r="Z43" s="1742"/>
      <c r="AA43" s="842"/>
      <c r="AB43" s="842"/>
      <c r="AC43" s="842"/>
      <c r="AD43" s="842"/>
      <c r="AE43" s="842"/>
      <c r="AF43" s="842"/>
      <c r="AG43" s="842"/>
      <c r="AI43" s="842"/>
      <c r="AJ43" s="842"/>
      <c r="AK43" s="842"/>
      <c r="AL43" s="842"/>
      <c r="AM43" s="842"/>
      <c r="AN43" s="842"/>
      <c r="AO43" s="842"/>
      <c r="AP43" s="842"/>
      <c r="AQ43" s="842"/>
      <c r="AR43" s="842"/>
      <c r="AS43" s="842"/>
      <c r="AT43" s="981"/>
      <c r="AU43" s="840"/>
      <c r="AV43" s="840"/>
      <c r="AW43" s="838"/>
      <c r="AX43" s="838"/>
      <c r="AY43" s="838"/>
      <c r="AZ43" s="838"/>
      <c r="BA43" s="838"/>
      <c r="BB43" s="854"/>
      <c r="BC43" s="854"/>
      <c r="BD43" s="620"/>
      <c r="BE43" s="838"/>
      <c r="BF43" s="860"/>
      <c r="BG43" s="860"/>
      <c r="BH43" s="860"/>
      <c r="BI43" s="860"/>
      <c r="BJ43" s="860"/>
      <c r="BK43" s="860"/>
      <c r="BL43" s="860"/>
      <c r="BM43" s="860"/>
      <c r="BP43" s="838"/>
      <c r="BQ43" s="838"/>
      <c r="BR43" s="838"/>
      <c r="BS43" s="838"/>
      <c r="BT43" s="838"/>
      <c r="BU43" s="838"/>
    </row>
    <row r="44" spans="1:89" s="837" customFormat="1" ht="15.6">
      <c r="A44" s="842"/>
      <c r="B44" s="842"/>
      <c r="C44" s="842"/>
      <c r="D44" s="842"/>
      <c r="E44" s="842"/>
      <c r="F44" s="842"/>
      <c r="G44" s="842"/>
      <c r="H44" s="842"/>
      <c r="I44" s="842"/>
      <c r="J44" s="842"/>
      <c r="K44" s="842"/>
      <c r="L44" s="842"/>
      <c r="M44" s="842"/>
      <c r="N44" s="842"/>
      <c r="O44" s="842"/>
      <c r="P44" s="842"/>
      <c r="Q44" s="842"/>
      <c r="R44" s="842"/>
      <c r="S44" s="842"/>
      <c r="T44" s="842"/>
      <c r="U44" s="842"/>
      <c r="V44" s="842"/>
      <c r="W44" s="842"/>
      <c r="Y44" s="1741"/>
      <c r="Z44" s="1742"/>
      <c r="AA44" s="842"/>
      <c r="AB44" s="842"/>
      <c r="AC44" s="842"/>
      <c r="AD44" s="842"/>
      <c r="AE44" s="842"/>
      <c r="AF44" s="842"/>
      <c r="AG44" s="842"/>
      <c r="AH44" s="842"/>
      <c r="AI44" s="842"/>
      <c r="AJ44" s="842"/>
      <c r="AK44" s="842"/>
      <c r="AL44" s="842"/>
      <c r="AM44" s="842"/>
      <c r="AN44" s="842"/>
      <c r="AO44" s="842"/>
      <c r="AP44" s="842"/>
      <c r="AQ44" s="842"/>
      <c r="AR44" s="842"/>
      <c r="AT44" s="842"/>
      <c r="AU44" s="842"/>
      <c r="AV44" s="842"/>
      <c r="AW44" s="838"/>
      <c r="AX44" s="838"/>
      <c r="AY44" s="838"/>
      <c r="AZ44" s="838"/>
      <c r="BA44" s="838"/>
      <c r="BB44" s="838" t="s">
        <v>193</v>
      </c>
      <c r="BC44" s="612"/>
      <c r="BD44" s="620"/>
      <c r="BE44" s="838"/>
      <c r="BF44" s="860"/>
      <c r="BG44" s="860"/>
      <c r="BH44" s="860"/>
      <c r="BI44" s="860"/>
      <c r="BJ44" s="860"/>
      <c r="BK44" s="860"/>
      <c r="BL44" s="860"/>
      <c r="BM44" s="860"/>
      <c r="BP44" s="838"/>
      <c r="BQ44" s="838"/>
      <c r="BR44" s="838"/>
      <c r="BS44" s="838"/>
      <c r="BT44" s="838"/>
      <c r="BU44" s="838"/>
      <c r="CJ44" s="982"/>
      <c r="CK44" s="982"/>
    </row>
    <row r="45" spans="1:89" s="837" customFormat="1" ht="15.6">
      <c r="A45" s="842"/>
      <c r="B45" s="842"/>
      <c r="C45" s="842"/>
      <c r="D45" s="842"/>
      <c r="E45" s="842"/>
      <c r="F45" s="842"/>
      <c r="G45" s="842"/>
      <c r="H45" s="842"/>
      <c r="I45" s="842"/>
      <c r="J45" s="842"/>
      <c r="K45" s="842"/>
      <c r="L45" s="842"/>
      <c r="M45" s="842"/>
      <c r="N45" s="842"/>
      <c r="O45" s="842"/>
      <c r="P45" s="842"/>
      <c r="Q45" s="842"/>
      <c r="R45" s="842"/>
      <c r="S45" s="842"/>
      <c r="T45" s="842"/>
      <c r="U45" s="842"/>
      <c r="V45" s="842"/>
      <c r="W45" s="842"/>
      <c r="X45" s="842"/>
      <c r="Y45" s="842"/>
      <c r="Z45" s="842"/>
      <c r="AA45" s="842"/>
      <c r="AB45" s="842"/>
      <c r="AC45" s="842"/>
      <c r="AD45" s="842"/>
      <c r="AE45" s="842"/>
      <c r="AF45" s="842"/>
      <c r="AG45" s="842"/>
      <c r="AH45" s="842"/>
      <c r="AI45" s="842"/>
      <c r="AJ45" s="842"/>
      <c r="AK45" s="842"/>
      <c r="AL45" s="842"/>
      <c r="AM45" s="842"/>
      <c r="AN45" s="842"/>
      <c r="AO45" s="842"/>
      <c r="AP45" s="842"/>
      <c r="AQ45" s="842"/>
      <c r="AR45" s="842"/>
      <c r="AS45" s="842"/>
      <c r="AT45" s="842"/>
      <c r="AU45" s="842"/>
      <c r="AV45" s="842"/>
      <c r="AW45" s="838"/>
      <c r="AX45" s="838"/>
      <c r="AY45" s="838"/>
      <c r="AZ45" s="838"/>
      <c r="BA45" s="838"/>
      <c r="BB45" s="838" t="s">
        <v>194</v>
      </c>
      <c r="BC45" s="612">
        <v>7.0000000000000007E-2</v>
      </c>
      <c r="BD45" s="838"/>
      <c r="BE45" s="838"/>
      <c r="BF45" s="860"/>
      <c r="BG45" s="860"/>
      <c r="BH45" s="860"/>
      <c r="BI45" s="860"/>
      <c r="BJ45" s="860"/>
      <c r="BK45" s="860"/>
      <c r="BL45" s="860"/>
      <c r="BM45" s="860"/>
      <c r="BP45" s="838"/>
      <c r="BQ45" s="838"/>
      <c r="BR45" s="838"/>
      <c r="BS45" s="838"/>
      <c r="BT45" s="838"/>
      <c r="BU45" s="838"/>
      <c r="CJ45" s="982"/>
      <c r="CK45" s="982"/>
    </row>
    <row r="46" spans="1:89" s="837" customFormat="1" ht="15.6">
      <c r="A46" s="842"/>
      <c r="B46" s="842"/>
      <c r="D46" s="842"/>
      <c r="E46" s="842"/>
      <c r="F46" s="842"/>
      <c r="G46" s="842"/>
      <c r="H46" s="842"/>
      <c r="I46" s="842"/>
      <c r="J46" s="842"/>
      <c r="K46" s="842"/>
      <c r="L46" s="842"/>
      <c r="M46" s="842"/>
      <c r="N46" s="842"/>
      <c r="O46" s="842"/>
      <c r="P46" s="842"/>
      <c r="Q46" s="842"/>
      <c r="R46" s="842"/>
      <c r="S46" s="842"/>
      <c r="T46" s="842"/>
      <c r="U46" s="842"/>
      <c r="V46" s="842"/>
      <c r="W46" s="842"/>
      <c r="X46" s="842"/>
      <c r="Y46" s="842"/>
      <c r="Z46" s="842"/>
      <c r="AA46" s="842"/>
      <c r="AB46" s="842"/>
      <c r="AC46" s="842"/>
      <c r="AD46" s="842"/>
      <c r="AE46" s="842"/>
      <c r="AF46" s="842"/>
      <c r="AG46" s="842"/>
      <c r="AH46" s="842"/>
      <c r="AI46" s="842"/>
      <c r="AJ46" s="842"/>
      <c r="AK46" s="842"/>
      <c r="AL46" s="842"/>
      <c r="AM46" s="842"/>
      <c r="AN46" s="842"/>
      <c r="AO46" s="842"/>
      <c r="AP46" s="842"/>
      <c r="AQ46" s="842"/>
      <c r="AR46" s="842"/>
      <c r="AS46" s="842"/>
      <c r="AT46" s="842"/>
      <c r="AU46" s="842"/>
      <c r="AV46" s="842"/>
      <c r="AW46" s="838"/>
      <c r="AX46" s="838"/>
      <c r="AY46" s="838"/>
      <c r="AZ46" s="838"/>
      <c r="BA46" s="838"/>
      <c r="BB46" s="838" t="s">
        <v>195</v>
      </c>
      <c r="BC46" s="612"/>
      <c r="BD46" s="838"/>
      <c r="BE46" s="838"/>
      <c r="BF46" s="838"/>
      <c r="BG46" s="976"/>
      <c r="BP46" s="838"/>
      <c r="BQ46" s="838"/>
      <c r="BR46" s="838"/>
      <c r="BS46" s="838"/>
      <c r="BT46" s="838"/>
      <c r="BU46" s="838"/>
      <c r="CJ46" s="982"/>
      <c r="CK46" s="982"/>
    </row>
    <row r="47" spans="1:89" s="837" customFormat="1" ht="15.6">
      <c r="A47" s="842"/>
      <c r="B47" s="842"/>
      <c r="C47" s="842"/>
      <c r="D47" s="842"/>
      <c r="E47" s="842"/>
      <c r="F47" s="842"/>
      <c r="G47" s="842"/>
      <c r="H47" s="842"/>
      <c r="I47" s="842"/>
      <c r="J47" s="842"/>
      <c r="K47" s="842"/>
      <c r="L47" s="842"/>
      <c r="M47" s="842"/>
      <c r="N47" s="842"/>
      <c r="O47" s="842"/>
      <c r="P47" s="842"/>
      <c r="Q47" s="842"/>
      <c r="R47" s="842"/>
      <c r="S47" s="842"/>
      <c r="T47" s="978"/>
      <c r="U47" s="842"/>
      <c r="V47" s="842"/>
      <c r="W47" s="842"/>
      <c r="X47" s="842"/>
      <c r="Y47" s="842"/>
      <c r="Z47" s="842"/>
      <c r="AA47" s="842"/>
      <c r="AB47" s="842"/>
      <c r="AC47" s="842"/>
      <c r="AD47" s="842"/>
      <c r="AE47" s="842"/>
      <c r="AF47" s="842"/>
      <c r="AG47" s="842"/>
      <c r="AH47" s="842"/>
      <c r="AI47" s="842"/>
      <c r="AJ47" s="842"/>
      <c r="AK47" s="842"/>
      <c r="AL47" s="842"/>
      <c r="AM47" s="842"/>
      <c r="AN47" s="842"/>
      <c r="AO47" s="842"/>
      <c r="AP47" s="842"/>
      <c r="AQ47" s="842"/>
      <c r="AR47" s="842"/>
      <c r="AS47" s="842"/>
      <c r="AT47" s="842"/>
      <c r="AU47" s="842"/>
      <c r="AV47" s="842"/>
      <c r="AW47" s="838"/>
      <c r="AX47" s="838"/>
      <c r="AY47" s="838"/>
      <c r="AZ47" s="838"/>
      <c r="BA47" s="838"/>
      <c r="BB47" s="838" t="s">
        <v>196</v>
      </c>
      <c r="BC47" s="612"/>
      <c r="BD47" s="838"/>
      <c r="BE47" s="838"/>
      <c r="BF47" s="838"/>
      <c r="BG47" s="976"/>
      <c r="BQ47" s="838"/>
      <c r="BR47" s="838"/>
      <c r="BS47" s="838"/>
      <c r="BT47" s="838"/>
      <c r="BU47" s="838"/>
      <c r="CJ47" s="982"/>
      <c r="CK47" s="982"/>
    </row>
    <row r="48" spans="1:89" s="837" customFormat="1" ht="14.1" customHeight="1">
      <c r="A48" s="842"/>
      <c r="B48" s="842"/>
      <c r="C48" s="842"/>
      <c r="D48" s="842"/>
      <c r="E48" s="842"/>
      <c r="F48" s="842"/>
      <c r="G48" s="842"/>
      <c r="H48" s="842"/>
      <c r="I48" s="842"/>
      <c r="J48" s="842"/>
      <c r="K48" s="842"/>
      <c r="L48" s="842"/>
      <c r="M48" s="842"/>
      <c r="N48" s="842"/>
      <c r="O48" s="842"/>
      <c r="P48" s="842"/>
      <c r="Q48" s="842"/>
      <c r="R48" s="842"/>
      <c r="S48" s="842"/>
      <c r="T48" s="842"/>
      <c r="U48" s="842"/>
      <c r="V48" s="842"/>
      <c r="W48" s="842"/>
      <c r="X48" s="842"/>
      <c r="Y48" s="842"/>
      <c r="Z48" s="842"/>
      <c r="AA48" s="842"/>
      <c r="AB48" s="842"/>
      <c r="AC48" s="842"/>
      <c r="AD48" s="842"/>
      <c r="AE48" s="842"/>
      <c r="AF48" s="842"/>
      <c r="AG48" s="842"/>
      <c r="AH48" s="842"/>
      <c r="AI48" s="842"/>
      <c r="AJ48" s="842"/>
      <c r="AK48" s="842"/>
      <c r="AL48" s="842"/>
      <c r="AM48" s="842"/>
      <c r="AN48" s="842"/>
      <c r="AO48" s="842"/>
      <c r="AP48" s="842"/>
      <c r="AQ48" s="842"/>
      <c r="AR48" s="842"/>
      <c r="AS48" s="842"/>
      <c r="AT48" s="842"/>
      <c r="AU48" s="842"/>
      <c r="AV48" s="842"/>
      <c r="AW48" s="838"/>
      <c r="AX48" s="838"/>
      <c r="AY48" s="838"/>
      <c r="AZ48" s="838"/>
      <c r="BA48" s="838"/>
      <c r="BB48" s="838" t="s">
        <v>197</v>
      </c>
      <c r="BC48" s="612">
        <v>0.03</v>
      </c>
      <c r="BD48" s="838"/>
      <c r="BE48" s="838"/>
      <c r="BF48" s="838"/>
      <c r="BG48" s="838"/>
      <c r="BQ48" s="838"/>
      <c r="BR48" s="838"/>
      <c r="BS48" s="838"/>
      <c r="BT48" s="838"/>
      <c r="BU48" s="838"/>
      <c r="CJ48" s="982"/>
      <c r="CK48" s="982"/>
    </row>
    <row r="49" spans="1:128" s="837" customFormat="1">
      <c r="A49" s="983"/>
      <c r="C49" s="984"/>
      <c r="D49" s="838"/>
      <c r="E49" s="838"/>
      <c r="F49" s="838"/>
      <c r="G49" s="838"/>
      <c r="H49" s="838"/>
      <c r="I49" s="838"/>
      <c r="J49" s="838"/>
      <c r="K49" s="838"/>
      <c r="L49" s="838"/>
      <c r="M49" s="838"/>
      <c r="N49" s="838"/>
      <c r="O49" s="838"/>
      <c r="P49" s="838"/>
      <c r="Q49" s="838"/>
      <c r="R49" s="838"/>
      <c r="S49" s="838"/>
      <c r="T49" s="838"/>
      <c r="U49" s="838"/>
      <c r="V49" s="838"/>
      <c r="W49" s="838"/>
      <c r="X49" s="838"/>
      <c r="Y49" s="838"/>
      <c r="Z49" s="838"/>
      <c r="AA49" s="838"/>
      <c r="AB49" s="838"/>
      <c r="AC49" s="838"/>
      <c r="AD49" s="838"/>
      <c r="AE49" s="838"/>
      <c r="AF49" s="838"/>
      <c r="AG49" s="838"/>
      <c r="AH49" s="838"/>
      <c r="AI49" s="838"/>
      <c r="AJ49" s="838"/>
      <c r="AK49" s="838"/>
      <c r="AL49" s="838"/>
      <c r="AM49" s="838"/>
      <c r="AN49" s="838"/>
      <c r="AO49" s="838"/>
      <c r="AP49" s="838"/>
      <c r="AQ49" s="838"/>
      <c r="AR49" s="838"/>
      <c r="AS49" s="838"/>
      <c r="AT49" s="838"/>
      <c r="AU49" s="838"/>
      <c r="AV49" s="838"/>
      <c r="AW49" s="838"/>
      <c r="AX49" s="838"/>
      <c r="AY49" s="838"/>
      <c r="AZ49" s="838"/>
      <c r="BA49" s="838"/>
      <c r="BB49" s="838" t="s">
        <v>198</v>
      </c>
      <c r="BC49" s="612"/>
      <c r="BD49" s="838"/>
      <c r="BE49" s="838"/>
      <c r="BF49" s="838"/>
      <c r="BG49" s="838"/>
      <c r="BH49" s="838"/>
      <c r="BI49" s="838"/>
      <c r="BJ49" s="838"/>
      <c r="BK49" s="838"/>
      <c r="BL49" s="985"/>
      <c r="BM49" s="838"/>
      <c r="BN49" s="838"/>
      <c r="BO49" s="838"/>
      <c r="BP49" s="838"/>
      <c r="BQ49" s="838"/>
      <c r="BR49" s="838"/>
      <c r="BS49" s="838"/>
      <c r="BT49" s="838"/>
      <c r="BU49" s="838"/>
      <c r="CJ49" s="982"/>
      <c r="CK49" s="982"/>
    </row>
    <row r="50" spans="1:128" s="837" customFormat="1">
      <c r="A50" s="983"/>
      <c r="C50" s="984"/>
      <c r="D50" s="838"/>
      <c r="E50" s="838"/>
      <c r="F50" s="838"/>
      <c r="G50" s="838"/>
      <c r="H50" s="838"/>
      <c r="I50" s="838"/>
      <c r="K50" s="838"/>
      <c r="L50" s="838"/>
      <c r="M50" s="838"/>
      <c r="N50" s="838"/>
      <c r="O50" s="838"/>
      <c r="P50" s="838"/>
      <c r="Q50" s="838"/>
      <c r="R50" s="838"/>
      <c r="S50" s="838"/>
      <c r="T50" s="838"/>
      <c r="U50" s="838"/>
      <c r="V50" s="838"/>
      <c r="W50" s="838"/>
      <c r="X50" s="838"/>
      <c r="Y50" s="838"/>
      <c r="Z50" s="838"/>
      <c r="AA50" s="838"/>
      <c r="AB50" s="838"/>
      <c r="AC50" s="838"/>
      <c r="AD50" s="982"/>
      <c r="AE50" s="838"/>
      <c r="AF50" s="838"/>
      <c r="AG50" s="838"/>
      <c r="AH50" s="838"/>
      <c r="AI50" s="838"/>
      <c r="AJ50" s="838"/>
      <c r="AK50" s="838"/>
      <c r="AM50" s="838"/>
      <c r="AN50" s="838"/>
      <c r="AO50" s="838"/>
      <c r="AP50" s="838"/>
      <c r="AR50" s="838"/>
      <c r="AS50" s="838"/>
      <c r="AT50" s="838"/>
      <c r="AU50" s="838"/>
      <c r="AV50" s="838"/>
      <c r="AW50" s="838"/>
      <c r="AX50" s="838"/>
      <c r="AY50" s="838"/>
      <c r="AZ50" s="838"/>
      <c r="BA50" s="838"/>
      <c r="BB50" s="838" t="s">
        <v>199</v>
      </c>
      <c r="BC50" s="612">
        <v>0.1</v>
      </c>
      <c r="BD50" s="838"/>
      <c r="BE50" s="838"/>
      <c r="BF50" s="838"/>
      <c r="BG50" s="838"/>
      <c r="BH50" s="838"/>
      <c r="BI50" s="838"/>
      <c r="BO50" s="838"/>
      <c r="BP50" s="838"/>
      <c r="BQ50" s="838"/>
      <c r="BR50" s="838"/>
      <c r="BS50" s="838"/>
      <c r="BT50" s="838"/>
      <c r="BU50" s="838"/>
      <c r="CJ50" s="982"/>
      <c r="CK50" s="982"/>
    </row>
    <row r="51" spans="1:128" s="837" customFormat="1">
      <c r="A51" s="983"/>
      <c r="B51" s="838"/>
      <c r="C51" s="838"/>
      <c r="D51" s="838"/>
      <c r="E51" s="838"/>
      <c r="F51" s="838"/>
      <c r="G51" s="838"/>
      <c r="H51" s="838"/>
      <c r="I51" s="838"/>
      <c r="K51" s="838"/>
      <c r="L51" s="838"/>
      <c r="M51" s="838"/>
      <c r="N51" s="838"/>
      <c r="O51" s="838"/>
      <c r="P51" s="838"/>
      <c r="Q51" s="838"/>
      <c r="R51" s="838"/>
      <c r="S51" s="838"/>
      <c r="T51" s="838"/>
      <c r="U51" s="838"/>
      <c r="V51" s="838"/>
      <c r="W51" s="838"/>
      <c r="X51" s="838"/>
      <c r="Y51" s="838"/>
      <c r="Z51" s="838"/>
      <c r="AA51" s="838"/>
      <c r="AB51" s="838"/>
      <c r="AC51" s="838"/>
      <c r="AD51" s="982"/>
      <c r="AE51" s="838"/>
      <c r="AF51" s="838"/>
      <c r="AG51" s="838"/>
      <c r="AH51" s="838"/>
      <c r="AI51" s="838"/>
      <c r="AJ51" s="838"/>
      <c r="AK51" s="838"/>
      <c r="AM51" s="838"/>
      <c r="AN51" s="838"/>
      <c r="AO51" s="838"/>
      <c r="AP51" s="838"/>
      <c r="AR51" s="838"/>
      <c r="AS51" s="838"/>
      <c r="AT51" s="838"/>
      <c r="AU51" s="838"/>
      <c r="AV51" s="838"/>
      <c r="AW51" s="838"/>
      <c r="AX51" s="838"/>
      <c r="AY51" s="838"/>
      <c r="AZ51" s="838"/>
      <c r="BA51" s="838"/>
      <c r="BB51" s="838" t="s">
        <v>200</v>
      </c>
      <c r="BC51" s="612"/>
      <c r="BD51" s="838"/>
      <c r="BE51" s="838"/>
      <c r="BF51" s="838"/>
      <c r="BG51" s="838"/>
      <c r="BI51" s="838"/>
      <c r="BS51" s="838"/>
      <c r="BT51" s="838"/>
      <c r="BU51" s="838"/>
      <c r="CJ51" s="982"/>
      <c r="CK51" s="982"/>
    </row>
    <row r="52" spans="1:128" s="837" customFormat="1">
      <c r="A52" s="983"/>
      <c r="B52" s="838"/>
      <c r="C52" s="838"/>
      <c r="D52" s="838"/>
      <c r="E52" s="838"/>
      <c r="F52" s="838"/>
      <c r="G52" s="838"/>
      <c r="H52" s="838"/>
      <c r="I52" s="838"/>
      <c r="J52" s="838"/>
      <c r="K52" s="838"/>
      <c r="L52" s="838"/>
      <c r="M52" s="838"/>
      <c r="N52" s="838"/>
      <c r="O52" s="838"/>
      <c r="P52" s="838"/>
      <c r="Q52" s="838"/>
      <c r="R52" s="838"/>
      <c r="S52" s="838"/>
      <c r="T52" s="838"/>
      <c r="U52" s="838"/>
      <c r="V52" s="838"/>
      <c r="W52" s="838"/>
      <c r="X52" s="838"/>
      <c r="Y52" s="838"/>
      <c r="Z52" s="838"/>
      <c r="AA52" s="838"/>
      <c r="AB52" s="838"/>
      <c r="AC52" s="838"/>
      <c r="AD52" s="838"/>
      <c r="AE52" s="838"/>
      <c r="AF52" s="838"/>
      <c r="AG52" s="838"/>
      <c r="AH52" s="838"/>
      <c r="AI52" s="838"/>
      <c r="AJ52" s="838"/>
      <c r="AK52" s="838"/>
      <c r="AL52" s="838"/>
      <c r="AM52" s="838"/>
      <c r="AN52" s="838"/>
      <c r="AO52" s="838"/>
      <c r="AP52" s="838"/>
      <c r="AQ52" s="838"/>
      <c r="AR52" s="838"/>
      <c r="AS52" s="838"/>
      <c r="AT52" s="838"/>
      <c r="AU52" s="838"/>
      <c r="AV52" s="838"/>
      <c r="AW52" s="838"/>
      <c r="AX52" s="838"/>
      <c r="AY52" s="838"/>
      <c r="AZ52" s="838"/>
      <c r="BA52" s="838"/>
      <c r="BB52" s="838" t="s">
        <v>201</v>
      </c>
      <c r="BC52" s="612">
        <v>0.02</v>
      </c>
      <c r="BD52" s="838"/>
      <c r="BE52" s="838"/>
      <c r="BF52" s="838"/>
      <c r="BG52" s="838"/>
      <c r="BS52" s="838"/>
      <c r="BT52" s="838"/>
      <c r="BU52" s="838"/>
      <c r="CJ52" s="982"/>
      <c r="CK52" s="982"/>
    </row>
    <row r="53" spans="1:128" s="837" customFormat="1">
      <c r="A53" s="983"/>
      <c r="B53" s="838"/>
      <c r="C53" s="838"/>
      <c r="D53" s="838"/>
      <c r="E53" s="838"/>
      <c r="F53" s="838"/>
      <c r="G53" s="838"/>
      <c r="H53" s="838"/>
      <c r="I53" s="838"/>
      <c r="J53" s="838"/>
      <c r="K53" s="838"/>
      <c r="L53" s="838"/>
      <c r="M53" s="838"/>
      <c r="N53" s="838"/>
      <c r="O53" s="838"/>
      <c r="P53" s="838"/>
      <c r="Q53" s="838"/>
      <c r="R53" s="838"/>
      <c r="S53" s="838"/>
      <c r="T53" s="838"/>
      <c r="U53" s="838"/>
      <c r="V53" s="838"/>
      <c r="W53" s="838"/>
      <c r="X53" s="838"/>
      <c r="Y53" s="838"/>
      <c r="Z53" s="838"/>
      <c r="AA53" s="838"/>
      <c r="AB53" s="838"/>
      <c r="AC53" s="838"/>
      <c r="AD53" s="838"/>
      <c r="AE53" s="838"/>
      <c r="AF53" s="838"/>
      <c r="AG53" s="838"/>
      <c r="AH53" s="838"/>
      <c r="AI53" s="838"/>
      <c r="AJ53" s="838"/>
      <c r="AK53" s="838"/>
      <c r="AL53" s="838"/>
      <c r="AM53" s="838"/>
      <c r="AN53" s="838"/>
      <c r="AO53" s="838"/>
      <c r="AP53" s="838"/>
      <c r="AQ53" s="838"/>
      <c r="AR53" s="838"/>
      <c r="AS53" s="838"/>
      <c r="AT53" s="838"/>
      <c r="AU53" s="838"/>
      <c r="AV53" s="838"/>
      <c r="AW53" s="838"/>
      <c r="AX53" s="838"/>
      <c r="AY53" s="838"/>
      <c r="AZ53" s="838"/>
      <c r="BA53" s="838"/>
      <c r="BB53" s="838" t="s">
        <v>202</v>
      </c>
      <c r="BC53" s="612"/>
      <c r="BD53" s="838"/>
      <c r="BE53" s="838"/>
      <c r="BF53" s="838"/>
      <c r="BG53" s="838"/>
      <c r="BS53" s="838"/>
      <c r="BT53" s="838"/>
      <c r="BU53" s="838"/>
      <c r="CJ53" s="982"/>
      <c r="CK53" s="982"/>
    </row>
    <row r="54" spans="1:128" s="837" customFormat="1">
      <c r="AW54" s="838"/>
      <c r="AX54" s="838"/>
      <c r="AY54" s="838"/>
      <c r="AZ54" s="838"/>
      <c r="BA54" s="838"/>
      <c r="BB54" s="838" t="s">
        <v>203</v>
      </c>
      <c r="BC54" s="612">
        <v>0.09</v>
      </c>
      <c r="BD54" s="838"/>
      <c r="BE54" s="838"/>
      <c r="BF54" s="838"/>
      <c r="BG54" s="838"/>
      <c r="BI54" s="838"/>
      <c r="BJ54" s="838"/>
      <c r="BK54" s="838"/>
      <c r="BL54" s="838"/>
      <c r="BM54" s="838"/>
      <c r="BN54" s="838"/>
      <c r="BS54" s="838"/>
      <c r="BT54" s="838"/>
      <c r="BU54" s="838"/>
      <c r="CJ54" s="982"/>
      <c r="CK54" s="982"/>
    </row>
    <row r="55" spans="1:128" s="837" customFormat="1" hidden="1">
      <c r="L55" s="838"/>
      <c r="M55" s="838"/>
      <c r="N55" s="838"/>
      <c r="O55" s="838"/>
      <c r="R55" s="838"/>
      <c r="S55" s="838"/>
      <c r="T55" s="838"/>
      <c r="U55" s="838"/>
      <c r="V55" s="838"/>
      <c r="W55" s="838"/>
      <c r="X55" s="838"/>
      <c r="Y55" s="838"/>
      <c r="Z55" s="838"/>
      <c r="AA55" s="838"/>
      <c r="AB55" s="838"/>
      <c r="AC55" s="838"/>
      <c r="AD55" s="838"/>
      <c r="AE55" s="838"/>
      <c r="AF55" s="838"/>
      <c r="AG55" s="838"/>
      <c r="AH55" s="838"/>
      <c r="AI55" s="838"/>
      <c r="AJ55" s="838"/>
      <c r="AK55" s="838"/>
      <c r="AL55" s="838"/>
      <c r="AM55" s="838"/>
      <c r="AN55" s="838"/>
      <c r="AO55" s="838"/>
      <c r="AP55" s="838"/>
      <c r="AQ55" s="838"/>
      <c r="AR55" s="838"/>
      <c r="AS55" s="838"/>
      <c r="AT55" s="838"/>
      <c r="AU55" s="838"/>
      <c r="AV55" s="838"/>
      <c r="AW55" s="838"/>
      <c r="AX55" s="838"/>
      <c r="AY55" s="838"/>
      <c r="AZ55" s="838"/>
      <c r="BA55" s="838"/>
      <c r="BD55" s="838"/>
      <c r="BE55" s="838"/>
      <c r="BF55" s="838"/>
      <c r="BG55" s="838"/>
      <c r="BI55" s="837" t="s">
        <v>777</v>
      </c>
      <c r="BJ55" s="837" t="e">
        <f>+#REF!</f>
        <v>#REF!</v>
      </c>
      <c r="BN55" s="838"/>
      <c r="BS55" s="838"/>
      <c r="BT55" s="838"/>
      <c r="BU55" s="838"/>
      <c r="CJ55" s="982"/>
      <c r="CK55" s="982"/>
    </row>
    <row r="56" spans="1:128" s="837" customFormat="1">
      <c r="L56" s="838"/>
      <c r="M56" s="838"/>
      <c r="N56" s="838"/>
      <c r="O56" s="838"/>
      <c r="R56" s="838"/>
      <c r="S56" s="838"/>
      <c r="T56" s="838"/>
      <c r="U56" s="838"/>
      <c r="V56" s="838"/>
      <c r="W56" s="838"/>
      <c r="X56" s="838"/>
      <c r="Y56" s="838"/>
      <c r="Z56" s="838"/>
      <c r="AA56" s="838"/>
      <c r="AB56" s="838"/>
      <c r="AC56" s="838"/>
      <c r="AD56" s="838"/>
      <c r="AE56" s="838"/>
      <c r="AF56" s="838"/>
      <c r="AG56" s="838"/>
      <c r="AH56" s="838"/>
      <c r="AI56" s="838"/>
      <c r="AJ56" s="838"/>
      <c r="AK56" s="838"/>
      <c r="AL56" s="838"/>
      <c r="AM56" s="838"/>
      <c r="AN56" s="838"/>
      <c r="AO56" s="838"/>
      <c r="AP56" s="838"/>
      <c r="AQ56" s="838"/>
      <c r="AR56" s="838"/>
      <c r="AS56" s="838"/>
      <c r="AT56" s="838"/>
      <c r="AU56" s="838"/>
      <c r="AV56" s="838"/>
      <c r="AW56" s="838"/>
      <c r="AX56" s="838"/>
      <c r="AY56" s="838"/>
      <c r="AZ56" s="838"/>
      <c r="BA56" s="838"/>
      <c r="BB56" s="838" t="s">
        <v>204</v>
      </c>
      <c r="BC56" s="612"/>
      <c r="BD56" s="838"/>
      <c r="BE56" s="838"/>
      <c r="BF56" s="838"/>
      <c r="BG56" s="838"/>
      <c r="BI56" s="860"/>
      <c r="BJ56" s="860"/>
      <c r="BK56" s="860"/>
      <c r="BL56" s="860"/>
      <c r="BM56" s="860"/>
      <c r="BN56" s="860"/>
      <c r="BS56" s="838"/>
      <c r="BT56" s="838"/>
      <c r="BU56" s="838"/>
      <c r="CJ56" s="982"/>
      <c r="CK56" s="982"/>
    </row>
    <row r="57" spans="1:128" s="837" customFormat="1">
      <c r="L57" s="838"/>
      <c r="M57" s="838"/>
      <c r="N57" s="838"/>
      <c r="O57" s="838"/>
      <c r="R57" s="838"/>
      <c r="S57" s="838"/>
      <c r="T57" s="838"/>
      <c r="U57" s="838"/>
      <c r="V57" s="838"/>
      <c r="W57" s="838"/>
      <c r="X57" s="838"/>
      <c r="Y57" s="838"/>
      <c r="Z57" s="838"/>
      <c r="AA57" s="838"/>
      <c r="AB57" s="838"/>
      <c r="AC57" s="838"/>
      <c r="AD57" s="838"/>
      <c r="AE57" s="838"/>
      <c r="AF57" s="838"/>
      <c r="AG57" s="838"/>
      <c r="AH57" s="838"/>
      <c r="AI57" s="838"/>
      <c r="AJ57" s="838"/>
      <c r="AK57" s="838"/>
      <c r="AL57" s="838"/>
      <c r="AM57" s="838"/>
      <c r="AN57" s="838"/>
      <c r="AO57" s="838"/>
      <c r="AP57" s="838"/>
      <c r="AQ57" s="838"/>
      <c r="AR57" s="838"/>
      <c r="AS57" s="838"/>
      <c r="AT57" s="838"/>
      <c r="AU57" s="838"/>
      <c r="AV57" s="838"/>
      <c r="AW57" s="838"/>
      <c r="AX57" s="838"/>
      <c r="AY57" s="838"/>
      <c r="AZ57" s="838"/>
      <c r="BA57" s="838"/>
      <c r="BB57" s="838" t="s">
        <v>811</v>
      </c>
      <c r="BC57" s="612"/>
      <c r="BD57" s="838"/>
      <c r="BE57" s="838"/>
      <c r="BF57" s="838"/>
      <c r="BG57" s="838"/>
      <c r="BI57" s="860"/>
      <c r="BJ57" s="860"/>
      <c r="BK57" s="860"/>
      <c r="BL57" s="860"/>
      <c r="BM57" s="860"/>
      <c r="BN57" s="860"/>
      <c r="BS57" s="838"/>
      <c r="BT57" s="838"/>
      <c r="BU57" s="838"/>
      <c r="CJ57" s="982"/>
      <c r="CK57" s="982"/>
    </row>
    <row r="58" spans="1:128" s="837" customFormat="1">
      <c r="L58" s="838"/>
      <c r="M58" s="838"/>
      <c r="N58" s="838"/>
      <c r="O58" s="838"/>
      <c r="R58" s="838"/>
      <c r="S58" s="838"/>
      <c r="T58" s="838"/>
      <c r="U58" s="838"/>
      <c r="V58" s="838"/>
      <c r="W58" s="838"/>
      <c r="X58" s="838"/>
      <c r="Y58" s="838"/>
      <c r="Z58" s="838"/>
      <c r="AA58" s="838"/>
      <c r="AB58" s="838"/>
      <c r="AC58" s="838"/>
      <c r="AD58" s="838"/>
      <c r="AE58" s="838"/>
      <c r="AF58" s="838"/>
      <c r="AG58" s="838"/>
      <c r="AH58" s="838"/>
      <c r="AI58" s="838"/>
      <c r="AJ58" s="838"/>
      <c r="AK58" s="838"/>
      <c r="AL58" s="838"/>
      <c r="AM58" s="838"/>
      <c r="AN58" s="838"/>
      <c r="AO58" s="838"/>
      <c r="AP58" s="838"/>
      <c r="AQ58" s="838"/>
      <c r="AR58" s="838"/>
      <c r="AS58" s="838"/>
      <c r="AT58" s="838"/>
      <c r="AU58" s="838"/>
      <c r="AV58" s="838"/>
      <c r="AW58" s="838"/>
      <c r="AX58" s="838"/>
      <c r="AY58" s="838"/>
      <c r="AZ58" s="838"/>
      <c r="BA58" s="838"/>
      <c r="BB58" s="986" t="s">
        <v>128</v>
      </c>
      <c r="BC58" s="621">
        <v>0.05</v>
      </c>
      <c r="BD58" s="838"/>
      <c r="BE58" s="838"/>
      <c r="BF58" s="838"/>
      <c r="BG58" s="838"/>
      <c r="BI58" s="860"/>
      <c r="BJ58" s="860"/>
      <c r="BK58" s="860"/>
      <c r="BL58" s="860"/>
      <c r="BM58" s="860"/>
      <c r="BN58" s="860"/>
      <c r="BS58" s="838"/>
      <c r="BT58" s="838"/>
      <c r="BU58" s="838"/>
      <c r="CJ58" s="982"/>
      <c r="CK58" s="982"/>
      <c r="CL58" s="838"/>
    </row>
    <row r="59" spans="1:128" s="837" customFormat="1">
      <c r="L59" s="838"/>
      <c r="M59" s="838"/>
      <c r="N59" s="838"/>
      <c r="O59" s="838"/>
      <c r="R59" s="838"/>
      <c r="S59" s="838"/>
      <c r="T59" s="838"/>
      <c r="U59" s="838"/>
      <c r="V59" s="838"/>
      <c r="W59" s="838"/>
      <c r="X59" s="838"/>
      <c r="Y59" s="838"/>
      <c r="Z59" s="838"/>
      <c r="AA59" s="838"/>
      <c r="AB59" s="838"/>
      <c r="AC59" s="838"/>
      <c r="AD59" s="838"/>
      <c r="AE59" s="838"/>
      <c r="AF59" s="838"/>
      <c r="AG59" s="838"/>
      <c r="AH59" s="838"/>
      <c r="AI59" s="838"/>
      <c r="AJ59" s="838"/>
      <c r="AK59" s="838"/>
      <c r="AL59" s="838"/>
      <c r="AM59" s="838"/>
      <c r="AN59" s="838"/>
      <c r="AO59" s="838"/>
      <c r="AP59" s="838"/>
      <c r="AQ59" s="838"/>
      <c r="AR59" s="838"/>
      <c r="AS59" s="838"/>
      <c r="AT59" s="838"/>
      <c r="AU59" s="838"/>
      <c r="AV59" s="838"/>
      <c r="AW59" s="838"/>
      <c r="AX59" s="838"/>
      <c r="AY59" s="838"/>
      <c r="AZ59" s="838"/>
      <c r="BA59" s="838"/>
      <c r="BB59" s="986" t="s">
        <v>812</v>
      </c>
      <c r="BC59" s="622">
        <v>0.18</v>
      </c>
      <c r="BD59" s="838"/>
      <c r="BE59" s="838"/>
      <c r="BF59" s="838"/>
      <c r="BG59" s="838"/>
      <c r="BI59" s="860"/>
      <c r="BJ59" s="860"/>
      <c r="BK59" s="860"/>
      <c r="BL59" s="860"/>
      <c r="BM59" s="860"/>
      <c r="BN59" s="860"/>
      <c r="BS59" s="838"/>
      <c r="BT59" s="838"/>
      <c r="BU59" s="838"/>
      <c r="CJ59" s="982"/>
      <c r="CK59" s="982"/>
      <c r="CL59" s="838"/>
    </row>
    <row r="60" spans="1:128" s="837" customFormat="1" ht="15.9" customHeight="1">
      <c r="L60" s="838"/>
      <c r="M60" s="838"/>
      <c r="N60" s="838"/>
      <c r="O60" s="838"/>
      <c r="R60" s="838"/>
      <c r="S60" s="838"/>
      <c r="T60" s="838"/>
      <c r="U60" s="838"/>
      <c r="V60" s="838"/>
      <c r="W60" s="838"/>
      <c r="X60" s="838"/>
      <c r="Y60" s="838"/>
      <c r="Z60" s="838"/>
      <c r="AA60" s="838"/>
      <c r="AB60" s="838"/>
      <c r="AC60" s="838"/>
      <c r="AD60" s="838"/>
      <c r="AE60" s="838"/>
      <c r="AF60" s="838"/>
      <c r="AG60" s="838"/>
      <c r="AH60" s="838"/>
      <c r="AI60" s="838"/>
      <c r="AJ60" s="838"/>
      <c r="AK60" s="838"/>
      <c r="AL60" s="838"/>
      <c r="AM60" s="838"/>
      <c r="AN60" s="838"/>
      <c r="AO60" s="838"/>
      <c r="AP60" s="838"/>
      <c r="AQ60" s="838"/>
      <c r="AR60" s="838"/>
      <c r="AS60" s="838"/>
      <c r="AT60" s="838"/>
      <c r="AU60" s="838"/>
      <c r="AV60" s="838"/>
      <c r="AW60" s="838"/>
      <c r="AX60" s="838"/>
      <c r="AY60" s="838"/>
      <c r="AZ60" s="838"/>
      <c r="BA60" s="838"/>
      <c r="BB60" s="986" t="s">
        <v>813</v>
      </c>
      <c r="BC60" s="622">
        <v>0.18</v>
      </c>
      <c r="BD60" s="838"/>
      <c r="BE60" s="838"/>
      <c r="BF60" s="838"/>
      <c r="BG60" s="838"/>
      <c r="BI60" s="860"/>
      <c r="BJ60" s="860"/>
      <c r="BK60" s="860"/>
      <c r="BL60" s="860"/>
      <c r="BM60" s="860"/>
      <c r="BN60" s="860"/>
      <c r="BS60" s="838"/>
      <c r="BT60" s="838"/>
      <c r="BU60" s="838"/>
      <c r="DC60" s="982"/>
      <c r="DH60" s="838"/>
      <c r="DJ60" s="987">
        <v>6</v>
      </c>
      <c r="DK60" s="837" t="s">
        <v>814</v>
      </c>
      <c r="DN60" s="837">
        <v>14</v>
      </c>
      <c r="DP60" s="987">
        <v>11</v>
      </c>
      <c r="DS60" s="837" t="e">
        <f>#REF!</f>
        <v>#REF!</v>
      </c>
      <c r="DT60" s="837" t="e">
        <f t="shared" ref="DT60:DT66" si="22">DS60+DR60-DQ60</f>
        <v>#REF!</v>
      </c>
      <c r="DV60" s="988" t="s">
        <v>815</v>
      </c>
      <c r="DW60" s="614" t="s">
        <v>303</v>
      </c>
      <c r="DX60" s="619" t="e">
        <f>#REF!</f>
        <v>#REF!</v>
      </c>
    </row>
    <row r="61" spans="1:128" s="837" customFormat="1" ht="17.100000000000001" customHeight="1">
      <c r="L61" s="838"/>
      <c r="M61" s="838"/>
      <c r="N61" s="838"/>
      <c r="O61" s="838"/>
      <c r="R61" s="838"/>
      <c r="S61" s="838"/>
      <c r="T61" s="838"/>
      <c r="U61" s="838"/>
      <c r="V61" s="838"/>
      <c r="W61" s="838"/>
      <c r="X61" s="838"/>
      <c r="Y61" s="838"/>
      <c r="Z61" s="838"/>
      <c r="AA61" s="838"/>
      <c r="AB61" s="838"/>
      <c r="AC61" s="838"/>
      <c r="AD61" s="838"/>
      <c r="AE61" s="838"/>
      <c r="AF61" s="838"/>
      <c r="AG61" s="838"/>
      <c r="AH61" s="838"/>
      <c r="AI61" s="838"/>
      <c r="AJ61" s="838"/>
      <c r="AK61" s="838"/>
      <c r="AL61" s="838"/>
      <c r="AM61" s="838"/>
      <c r="AN61" s="838"/>
      <c r="AO61" s="838"/>
      <c r="AP61" s="838"/>
      <c r="AQ61" s="838"/>
      <c r="AR61" s="838"/>
      <c r="AS61" s="838"/>
      <c r="AT61" s="838"/>
      <c r="AU61" s="838"/>
      <c r="AV61" s="838"/>
      <c r="AW61" s="838"/>
      <c r="AX61" s="838"/>
      <c r="AY61" s="838"/>
      <c r="AZ61" s="838"/>
      <c r="BA61" s="838"/>
      <c r="BB61" s="986" t="s">
        <v>816</v>
      </c>
      <c r="BC61" s="622">
        <v>0.18</v>
      </c>
      <c r="BD61" s="838"/>
      <c r="BE61" s="623"/>
      <c r="BF61" s="838"/>
      <c r="BG61" s="838"/>
      <c r="BI61" s="860"/>
      <c r="BJ61" s="860"/>
      <c r="BK61" s="860"/>
      <c r="BL61" s="860"/>
      <c r="BM61" s="860"/>
      <c r="BN61" s="860"/>
      <c r="BS61" s="838"/>
      <c r="BT61" s="838"/>
      <c r="BU61" s="838"/>
      <c r="DC61" s="982"/>
      <c r="DH61" s="838"/>
      <c r="DJ61" s="987" t="s">
        <v>10</v>
      </c>
      <c r="DK61" s="837" t="s">
        <v>817</v>
      </c>
      <c r="DM61" s="837" t="s">
        <v>818</v>
      </c>
      <c r="DP61" s="987">
        <v>12</v>
      </c>
      <c r="DS61" s="837" t="e">
        <f>#REF!</f>
        <v>#REF!</v>
      </c>
      <c r="DT61" s="837" t="e">
        <f t="shared" si="22"/>
        <v>#REF!</v>
      </c>
    </row>
    <row r="62" spans="1:128" s="837" customFormat="1">
      <c r="L62" s="838"/>
      <c r="M62" s="838"/>
      <c r="N62" s="838"/>
      <c r="O62" s="838"/>
      <c r="R62" s="838"/>
      <c r="S62" s="838"/>
      <c r="T62" s="838"/>
      <c r="U62" s="838"/>
      <c r="V62" s="838"/>
      <c r="W62" s="838"/>
      <c r="X62" s="838"/>
      <c r="Y62" s="838"/>
      <c r="Z62" s="838"/>
      <c r="AA62" s="838"/>
      <c r="AB62" s="838"/>
      <c r="AC62" s="838"/>
      <c r="AD62" s="838"/>
      <c r="AE62" s="838"/>
      <c r="AF62" s="838"/>
      <c r="AG62" s="838"/>
      <c r="AH62" s="838"/>
      <c r="AI62" s="838"/>
      <c r="AJ62" s="838"/>
      <c r="AK62" s="838"/>
      <c r="AL62" s="838"/>
      <c r="AM62" s="838"/>
      <c r="AN62" s="838"/>
      <c r="AO62" s="838"/>
      <c r="AP62" s="838"/>
      <c r="AQ62" s="838"/>
      <c r="AR62" s="838"/>
      <c r="AS62" s="838"/>
      <c r="AT62" s="838"/>
      <c r="AU62" s="838"/>
      <c r="AV62" s="838"/>
      <c r="AW62" s="838"/>
      <c r="AX62" s="838"/>
      <c r="AY62" s="838"/>
      <c r="AZ62" s="838"/>
      <c r="BA62" s="838"/>
      <c r="BB62" s="986" t="s">
        <v>819</v>
      </c>
      <c r="BC62" s="622">
        <v>0.18</v>
      </c>
      <c r="BD62" s="838"/>
      <c r="BE62" s="838"/>
      <c r="BF62" s="838"/>
      <c r="BG62" s="838"/>
      <c r="BI62" s="860"/>
      <c r="BJ62" s="860"/>
      <c r="BK62" s="860"/>
      <c r="BL62" s="860"/>
      <c r="BM62" s="860"/>
      <c r="BN62" s="860"/>
      <c r="BS62" s="838"/>
      <c r="BT62" s="838"/>
      <c r="BU62" s="838"/>
      <c r="DC62" s="982"/>
      <c r="DD62" s="982"/>
      <c r="DE62" s="982"/>
      <c r="DF62" s="838"/>
      <c r="DG62" s="838"/>
      <c r="DH62" s="838"/>
      <c r="DJ62" s="987">
        <v>1</v>
      </c>
      <c r="DK62" s="837" t="s">
        <v>820</v>
      </c>
      <c r="DM62" s="837" t="s">
        <v>600</v>
      </c>
      <c r="DN62" s="987">
        <f>30*0.7*6*0.7*3*365</f>
        <v>96578.999999999985</v>
      </c>
      <c r="DP62" s="987">
        <v>13</v>
      </c>
      <c r="DS62" s="837" t="e">
        <f>#REF!</f>
        <v>#REF!</v>
      </c>
      <c r="DT62" s="837" t="e">
        <f t="shared" si="22"/>
        <v>#REF!</v>
      </c>
      <c r="DV62" s="988" t="s">
        <v>821</v>
      </c>
      <c r="DW62" s="988" t="s">
        <v>822</v>
      </c>
      <c r="DX62" s="988" t="e">
        <f>#REF!</f>
        <v>#REF!</v>
      </c>
    </row>
    <row r="63" spans="1:128" s="837" customFormat="1">
      <c r="L63" s="838"/>
      <c r="M63" s="838"/>
      <c r="N63" s="838"/>
      <c r="O63" s="838"/>
      <c r="R63" s="838"/>
      <c r="S63" s="838"/>
      <c r="T63" s="838"/>
      <c r="U63" s="838"/>
      <c r="V63" s="838"/>
      <c r="W63" s="838"/>
      <c r="X63" s="838"/>
      <c r="Y63" s="838"/>
      <c r="Z63" s="838"/>
      <c r="AA63" s="838"/>
      <c r="AB63" s="838"/>
      <c r="AC63" s="838"/>
      <c r="AD63" s="838"/>
      <c r="AE63" s="838"/>
      <c r="AF63" s="838"/>
      <c r="AG63" s="838"/>
      <c r="AH63" s="838"/>
      <c r="AI63" s="838"/>
      <c r="AJ63" s="838"/>
      <c r="AK63" s="838"/>
      <c r="AL63" s="838"/>
      <c r="AM63" s="838"/>
      <c r="AN63" s="838"/>
      <c r="AO63" s="838"/>
      <c r="AP63" s="838"/>
      <c r="AQ63" s="838"/>
      <c r="AR63" s="838"/>
      <c r="AS63" s="838"/>
      <c r="AT63" s="838"/>
      <c r="AU63" s="838"/>
      <c r="AV63" s="838"/>
      <c r="AW63" s="838"/>
      <c r="AX63" s="838"/>
      <c r="AY63" s="838"/>
      <c r="AZ63" s="838"/>
      <c r="BA63" s="838"/>
      <c r="BB63" s="986" t="s">
        <v>785</v>
      </c>
      <c r="BC63" s="622">
        <v>0.18</v>
      </c>
      <c r="BD63" s="838"/>
      <c r="BE63" s="838"/>
      <c r="BF63" s="838"/>
      <c r="BG63" s="838"/>
      <c r="BH63" s="838"/>
      <c r="BI63" s="860"/>
      <c r="BJ63" s="860"/>
      <c r="BK63" s="860"/>
      <c r="BL63" s="860"/>
      <c r="BM63" s="860"/>
      <c r="BN63" s="860"/>
      <c r="BO63" s="838"/>
      <c r="BP63" s="838"/>
      <c r="BQ63" s="838"/>
      <c r="BR63" s="838"/>
      <c r="BS63" s="838"/>
      <c r="BT63" s="838"/>
      <c r="BU63" s="838"/>
      <c r="DC63" s="982"/>
      <c r="DD63" s="982"/>
      <c r="DE63" s="982"/>
      <c r="DF63" s="838"/>
      <c r="DG63" s="838"/>
      <c r="DH63" s="838"/>
      <c r="DJ63" s="987">
        <v>2</v>
      </c>
      <c r="DK63" s="837" t="s">
        <v>823</v>
      </c>
      <c r="DM63" s="837" t="s">
        <v>334</v>
      </c>
      <c r="DN63" s="837">
        <f>DN62*3.17/10^5</f>
        <v>3.0615542999999992</v>
      </c>
      <c r="DP63" s="987">
        <v>14</v>
      </c>
      <c r="DS63" s="837" t="e">
        <f>#REF!</f>
        <v>#REF!</v>
      </c>
      <c r="DT63" s="837" t="e">
        <f t="shared" si="22"/>
        <v>#REF!</v>
      </c>
    </row>
    <row r="64" spans="1:128" s="837" customFormat="1">
      <c r="L64" s="838"/>
      <c r="M64" s="838"/>
      <c r="N64" s="838"/>
      <c r="O64" s="838"/>
      <c r="R64" s="838"/>
      <c r="S64" s="838"/>
      <c r="T64" s="838"/>
      <c r="U64" s="838"/>
      <c r="V64" s="838"/>
      <c r="W64" s="838"/>
      <c r="X64" s="838"/>
      <c r="Y64" s="838"/>
      <c r="Z64" s="838"/>
      <c r="AA64" s="838"/>
      <c r="AB64" s="838"/>
      <c r="AC64" s="838"/>
      <c r="AD64" s="838"/>
      <c r="AE64" s="838"/>
      <c r="AF64" s="838"/>
      <c r="AG64" s="838"/>
      <c r="AH64" s="838"/>
      <c r="AI64" s="838"/>
      <c r="AJ64" s="838"/>
      <c r="AK64" s="838"/>
      <c r="AL64" s="838"/>
      <c r="AM64" s="838"/>
      <c r="AN64" s="838"/>
      <c r="AO64" s="838"/>
      <c r="AP64" s="838"/>
      <c r="AQ64" s="838"/>
      <c r="AR64" s="838"/>
      <c r="AS64" s="838"/>
      <c r="AT64" s="838"/>
      <c r="AU64" s="838"/>
      <c r="AV64" s="838"/>
      <c r="AW64" s="838"/>
      <c r="AX64" s="838"/>
      <c r="AY64" s="838"/>
      <c r="AZ64" s="838"/>
      <c r="BA64" s="838"/>
      <c r="BB64" s="838" t="s">
        <v>205</v>
      </c>
      <c r="BC64" s="619">
        <f>0.1/(1-0.1)</f>
        <v>0.11111111111111112</v>
      </c>
      <c r="BD64" s="838"/>
      <c r="BE64" s="838"/>
      <c r="BF64" s="838"/>
      <c r="BG64" s="838"/>
      <c r="BH64" s="838"/>
      <c r="BI64" s="860"/>
      <c r="BJ64" s="860"/>
      <c r="BK64" s="860"/>
      <c r="BL64" s="860"/>
      <c r="BM64" s="860"/>
      <c r="BN64" s="860"/>
      <c r="BO64" s="838"/>
      <c r="BP64" s="838"/>
      <c r="BQ64" s="838"/>
      <c r="BR64" s="838"/>
      <c r="BS64" s="838"/>
      <c r="BT64" s="838"/>
      <c r="BU64" s="838"/>
      <c r="DC64" s="982"/>
      <c r="DD64" s="982"/>
      <c r="DE64" s="982"/>
      <c r="DF64" s="982"/>
      <c r="DG64" s="982"/>
      <c r="DH64" s="982"/>
      <c r="DJ64" s="987">
        <v>3</v>
      </c>
      <c r="DK64" s="837" t="s">
        <v>824</v>
      </c>
      <c r="DM64" s="837" t="s">
        <v>334</v>
      </c>
      <c r="DN64" s="837" t="e">
        <f>0.02*#REF!</f>
        <v>#REF!</v>
      </c>
      <c r="DP64" s="987">
        <v>15</v>
      </c>
      <c r="DS64" s="837" t="e">
        <f>#REF!</f>
        <v>#REF!</v>
      </c>
      <c r="DT64" s="837" t="e">
        <f t="shared" si="22"/>
        <v>#REF!</v>
      </c>
      <c r="DV64" s="988"/>
      <c r="DW64" s="988"/>
      <c r="DX64" s="988"/>
    </row>
    <row r="65" spans="1:124" s="837" customFormat="1">
      <c r="L65" s="838"/>
      <c r="M65" s="838"/>
      <c r="N65" s="838"/>
      <c r="O65" s="838"/>
      <c r="R65" s="838"/>
      <c r="S65" s="838"/>
      <c r="T65" s="838"/>
      <c r="U65" s="838"/>
      <c r="V65" s="838"/>
      <c r="W65" s="838"/>
      <c r="X65" s="838"/>
      <c r="Y65" s="838"/>
      <c r="Z65" s="838"/>
      <c r="AA65" s="838"/>
      <c r="AB65" s="838"/>
      <c r="AC65" s="838"/>
      <c r="AD65" s="838"/>
      <c r="AE65" s="838"/>
      <c r="AF65" s="838"/>
      <c r="AG65" s="838"/>
      <c r="AH65" s="838"/>
      <c r="AI65" s="838"/>
      <c r="AJ65" s="838"/>
      <c r="AK65" s="838"/>
      <c r="AL65" s="838"/>
      <c r="AM65" s="838"/>
      <c r="AN65" s="838"/>
      <c r="AO65" s="838"/>
      <c r="AP65" s="838"/>
      <c r="AQ65" s="838"/>
      <c r="AR65" s="838"/>
      <c r="AS65" s="838"/>
      <c r="AT65" s="838"/>
      <c r="AU65" s="838"/>
      <c r="AV65" s="838"/>
      <c r="AW65" s="838"/>
      <c r="AX65" s="838"/>
      <c r="AY65" s="838"/>
      <c r="AZ65" s="838"/>
      <c r="BA65" s="838"/>
      <c r="BB65" s="838"/>
      <c r="BC65" s="612"/>
      <c r="BD65" s="838"/>
      <c r="BE65" s="838"/>
      <c r="BF65" s="838"/>
      <c r="BG65" s="838"/>
      <c r="BH65" s="838"/>
      <c r="BI65" s="860"/>
      <c r="BJ65" s="860"/>
      <c r="BK65" s="860"/>
      <c r="BL65" s="860"/>
      <c r="BM65" s="860"/>
      <c r="BN65" s="860"/>
      <c r="BO65" s="838"/>
      <c r="BP65" s="838"/>
      <c r="BQ65" s="838"/>
      <c r="BR65" s="838"/>
      <c r="BS65" s="838"/>
      <c r="BT65" s="838"/>
      <c r="BU65" s="838"/>
      <c r="DC65" s="982"/>
      <c r="DD65" s="982"/>
      <c r="DE65" s="982"/>
      <c r="DF65" s="982"/>
      <c r="DG65" s="982"/>
      <c r="DH65" s="982"/>
      <c r="DJ65" s="987"/>
      <c r="DK65" s="837" t="s">
        <v>825</v>
      </c>
      <c r="DM65" s="837" t="s">
        <v>334</v>
      </c>
      <c r="DN65" s="837" t="e">
        <f>SUM(DN63:DN64)</f>
        <v>#REF!</v>
      </c>
      <c r="DP65" s="987">
        <v>16</v>
      </c>
      <c r="DS65" s="837" t="e">
        <f>#REF!</f>
        <v>#REF!</v>
      </c>
      <c r="DT65" s="837" t="e">
        <f t="shared" si="22"/>
        <v>#REF!</v>
      </c>
    </row>
    <row r="66" spans="1:124" s="837" customFormat="1">
      <c r="L66" s="838"/>
      <c r="M66" s="838"/>
      <c r="N66" s="838"/>
      <c r="O66" s="838"/>
      <c r="R66" s="838"/>
      <c r="S66" s="838"/>
      <c r="T66" s="838"/>
      <c r="U66" s="838"/>
      <c r="V66" s="838"/>
      <c r="W66" s="838"/>
      <c r="X66" s="838"/>
      <c r="Y66" s="838"/>
      <c r="Z66" s="838"/>
      <c r="AA66" s="838"/>
      <c r="AB66" s="838"/>
      <c r="AC66" s="838"/>
      <c r="AD66" s="838"/>
      <c r="AE66" s="838"/>
      <c r="AF66" s="838"/>
      <c r="AG66" s="838"/>
      <c r="AH66" s="838"/>
      <c r="AI66" s="838"/>
      <c r="AJ66" s="838"/>
      <c r="AK66" s="838"/>
      <c r="AL66" s="838"/>
      <c r="AM66" s="838"/>
      <c r="AN66" s="838"/>
      <c r="AO66" s="838"/>
      <c r="AP66" s="838"/>
      <c r="AQ66" s="838"/>
      <c r="AR66" s="838"/>
      <c r="AS66" s="838"/>
      <c r="AT66" s="838"/>
      <c r="AU66" s="838"/>
      <c r="AV66" s="838"/>
      <c r="AW66" s="838"/>
      <c r="AX66" s="838"/>
      <c r="AY66" s="838"/>
      <c r="AZ66" s="838"/>
      <c r="BA66" s="838"/>
      <c r="BB66" s="595" t="s">
        <v>901</v>
      </c>
      <c r="BC66" s="612">
        <v>0.1</v>
      </c>
      <c r="BE66" s="838"/>
      <c r="BF66" s="838"/>
      <c r="BG66" s="838"/>
      <c r="BH66" s="838"/>
      <c r="BI66" s="860"/>
      <c r="BJ66" s="860"/>
      <c r="BK66" s="860"/>
      <c r="BL66" s="860"/>
      <c r="BM66" s="860"/>
      <c r="BN66" s="860"/>
      <c r="BO66" s="838"/>
      <c r="BP66" s="838"/>
      <c r="BQ66" s="838"/>
      <c r="BR66" s="838"/>
      <c r="BS66" s="838"/>
      <c r="BT66" s="838"/>
      <c r="BU66" s="838"/>
      <c r="DC66" s="982"/>
      <c r="DD66" s="982"/>
      <c r="DE66" s="982"/>
      <c r="DF66" s="982"/>
      <c r="DG66" s="982"/>
      <c r="DH66" s="982"/>
      <c r="DP66" s="987">
        <v>17</v>
      </c>
      <c r="DS66" s="837" t="e">
        <f>#REF!</f>
        <v>#REF!</v>
      </c>
      <c r="DT66" s="837" t="e">
        <f t="shared" si="22"/>
        <v>#REF!</v>
      </c>
    </row>
    <row r="67" spans="1:124" s="837" customFormat="1">
      <c r="L67" s="838"/>
      <c r="M67" s="838"/>
      <c r="N67" s="838"/>
      <c r="O67" s="838"/>
      <c r="R67" s="838"/>
      <c r="S67" s="838"/>
      <c r="T67" s="838"/>
      <c r="U67" s="838"/>
      <c r="V67" s="838"/>
      <c r="W67" s="838"/>
      <c r="X67" s="838"/>
      <c r="Y67" s="838"/>
      <c r="Z67" s="838"/>
      <c r="AA67" s="838"/>
      <c r="AB67" s="838"/>
      <c r="AC67" s="838"/>
      <c r="AD67" s="838"/>
      <c r="AE67" s="838"/>
      <c r="AF67" s="838"/>
      <c r="AG67" s="838"/>
      <c r="AH67" s="838"/>
      <c r="AI67" s="838"/>
      <c r="AJ67" s="838"/>
      <c r="AK67" s="838"/>
      <c r="AL67" s="838"/>
      <c r="AM67" s="838"/>
      <c r="AN67" s="838"/>
      <c r="AO67" s="838"/>
      <c r="AP67" s="838"/>
      <c r="AQ67" s="838"/>
      <c r="AR67" s="838"/>
      <c r="AS67" s="838"/>
      <c r="AT67" s="838"/>
      <c r="AU67" s="838"/>
      <c r="AV67" s="838"/>
      <c r="AW67" s="838"/>
      <c r="AX67" s="838"/>
      <c r="AY67" s="838"/>
      <c r="AZ67" s="838"/>
      <c r="BA67" s="838"/>
      <c r="BB67" s="595" t="s">
        <v>902</v>
      </c>
      <c r="BC67" s="612">
        <v>0.04</v>
      </c>
      <c r="BD67" s="838"/>
      <c r="BE67" s="838"/>
      <c r="BF67" s="838"/>
      <c r="BG67" s="838"/>
      <c r="BH67" s="838"/>
      <c r="BI67" s="838"/>
      <c r="BJ67" s="838"/>
      <c r="BK67" s="838"/>
      <c r="BL67" s="838"/>
      <c r="BM67" s="838"/>
      <c r="BN67" s="838"/>
      <c r="BO67" s="838"/>
      <c r="BP67" s="838"/>
      <c r="BQ67" s="838"/>
      <c r="BR67" s="838"/>
      <c r="BS67" s="838"/>
      <c r="BT67" s="838"/>
      <c r="BU67" s="838"/>
      <c r="CY67" s="989"/>
      <c r="DB67" s="982"/>
      <c r="DC67" s="982"/>
      <c r="DD67" s="982"/>
      <c r="DE67" s="982"/>
      <c r="DF67" s="982"/>
      <c r="DG67" s="982"/>
      <c r="DH67" s="982"/>
    </row>
    <row r="68" spans="1:124" s="837" customFormat="1">
      <c r="L68" s="838"/>
      <c r="M68" s="838"/>
      <c r="N68" s="838"/>
      <c r="O68" s="838"/>
      <c r="R68" s="838"/>
      <c r="S68" s="838"/>
      <c r="T68" s="838"/>
      <c r="U68" s="838"/>
      <c r="V68" s="838"/>
      <c r="W68" s="838"/>
      <c r="X68" s="838"/>
      <c r="Y68" s="838"/>
      <c r="Z68" s="838"/>
      <c r="AA68" s="838"/>
      <c r="AB68" s="838"/>
      <c r="AC68" s="838"/>
      <c r="AD68" s="838"/>
      <c r="AE68" s="838"/>
      <c r="AF68" s="838"/>
      <c r="AG68" s="838"/>
      <c r="AH68" s="838"/>
      <c r="AI68" s="838"/>
      <c r="AJ68" s="838"/>
      <c r="AK68" s="838"/>
      <c r="AL68" s="838"/>
      <c r="AM68" s="838"/>
      <c r="AN68" s="838"/>
      <c r="AO68" s="838"/>
      <c r="AP68" s="838"/>
      <c r="AQ68" s="838"/>
      <c r="AR68" s="838"/>
      <c r="AS68" s="838"/>
      <c r="AT68" s="838"/>
      <c r="AU68" s="838"/>
      <c r="AV68" s="838"/>
      <c r="AW68" s="838"/>
      <c r="AX68" s="838"/>
      <c r="AY68" s="838"/>
      <c r="AZ68" s="838"/>
      <c r="BA68" s="838"/>
      <c r="BB68" s="838" t="s">
        <v>206</v>
      </c>
      <c r="BC68" s="613">
        <v>0.05</v>
      </c>
      <c r="BD68" s="838"/>
      <c r="BE68" s="838"/>
      <c r="BF68" s="838"/>
      <c r="BG68" s="838"/>
      <c r="BH68" s="838"/>
      <c r="BI68" s="838"/>
      <c r="BJ68" s="838"/>
      <c r="BK68" s="838"/>
      <c r="BL68" s="838"/>
      <c r="BM68" s="838"/>
      <c r="BN68" s="838"/>
      <c r="BO68" s="838"/>
      <c r="BP68" s="838"/>
      <c r="BQ68" s="838"/>
      <c r="BR68" s="838"/>
      <c r="BS68" s="838"/>
      <c r="BT68" s="838"/>
      <c r="BU68" s="838"/>
      <c r="CY68" s="989"/>
    </row>
    <row r="69" spans="1:124" s="837" customFormat="1" ht="15.6">
      <c r="L69" s="838"/>
      <c r="M69" s="838"/>
      <c r="N69" s="838"/>
      <c r="O69" s="838"/>
      <c r="R69" s="838"/>
      <c r="S69" s="838"/>
      <c r="T69" s="838"/>
      <c r="U69" s="838"/>
      <c r="V69" s="838"/>
      <c r="W69" s="839" t="s">
        <v>826</v>
      </c>
      <c r="X69" s="838"/>
      <c r="Y69" s="838"/>
      <c r="Z69" s="838"/>
      <c r="AA69" s="838"/>
      <c r="AB69" s="838"/>
      <c r="AC69" s="838"/>
      <c r="AD69" s="838"/>
      <c r="AE69" s="838"/>
      <c r="AF69" s="838"/>
      <c r="AG69" s="838"/>
      <c r="AH69" s="838"/>
      <c r="AI69" s="838"/>
      <c r="AJ69" s="838"/>
      <c r="AK69" s="838"/>
      <c r="AL69" s="838"/>
      <c r="AM69" s="838"/>
      <c r="AN69" s="838"/>
      <c r="AO69" s="838"/>
      <c r="AP69" s="838"/>
      <c r="AQ69" s="838"/>
      <c r="AR69" s="838"/>
      <c r="AS69" s="838"/>
      <c r="AT69" s="838"/>
      <c r="AU69" s="838"/>
      <c r="AV69" s="838"/>
      <c r="AW69" s="838"/>
      <c r="AX69" s="838"/>
      <c r="AY69" s="838"/>
      <c r="AZ69" s="838"/>
      <c r="BA69" s="838"/>
      <c r="BD69" s="838"/>
      <c r="BE69" s="838"/>
      <c r="BF69" s="838"/>
      <c r="BG69" s="838"/>
      <c r="BH69" s="838"/>
      <c r="BI69" s="838"/>
      <c r="BJ69" s="838"/>
      <c r="BK69" s="838"/>
      <c r="BL69" s="838"/>
      <c r="BM69" s="838"/>
      <c r="BN69" s="838"/>
      <c r="BO69" s="838"/>
      <c r="BP69" s="838"/>
      <c r="BQ69" s="838"/>
      <c r="BR69" s="838"/>
      <c r="BS69" s="838"/>
      <c r="BT69" s="838"/>
      <c r="BU69" s="838"/>
      <c r="CJ69" s="838"/>
      <c r="CK69" s="838"/>
      <c r="CY69" s="989"/>
    </row>
    <row r="70" spans="1:124" s="837" customFormat="1" ht="17.399999999999999">
      <c r="A70" s="1743" t="s">
        <v>81</v>
      </c>
      <c r="B70" s="1743"/>
      <c r="C70" s="1743"/>
      <c r="D70" s="1743"/>
      <c r="E70" s="1743"/>
      <c r="F70" s="1743"/>
      <c r="G70" s="1743"/>
      <c r="H70" s="1743"/>
      <c r="I70" s="1743"/>
      <c r="J70" s="1743"/>
      <c r="K70" s="1743"/>
      <c r="L70" s="1743"/>
      <c r="M70" s="1743"/>
      <c r="N70" s="1743"/>
      <c r="O70" s="1743"/>
      <c r="P70" s="1743"/>
      <c r="Q70" s="1743"/>
      <c r="R70" s="1743"/>
      <c r="S70" s="1743"/>
      <c r="T70" s="1743"/>
      <c r="U70" s="1743"/>
      <c r="V70" s="1743"/>
      <c r="W70" s="839" t="str">
        <f>$O$4</f>
        <v>Base date: 3rd Qtr 2021</v>
      </c>
      <c r="Y70" s="990"/>
      <c r="AA70" s="838"/>
      <c r="AB70" s="838"/>
      <c r="AC70" s="838"/>
      <c r="AD70" s="838"/>
      <c r="AE70" s="838"/>
      <c r="AF70" s="838"/>
      <c r="AG70" s="838"/>
      <c r="AH70" s="838"/>
      <c r="AI70" s="838"/>
      <c r="AJ70" s="838"/>
      <c r="AK70" s="838"/>
      <c r="AL70" s="838"/>
      <c r="AM70" s="838"/>
      <c r="AN70" s="838"/>
      <c r="AO70" s="838"/>
      <c r="AP70" s="838"/>
      <c r="AQ70" s="838"/>
      <c r="AR70" s="838"/>
      <c r="AS70" s="838"/>
      <c r="AT70" s="838"/>
      <c r="AU70" s="838"/>
      <c r="AV70" s="838"/>
      <c r="AW70" s="838"/>
      <c r="AX70" s="838"/>
      <c r="AY70" s="838"/>
      <c r="AZ70" s="838"/>
      <c r="BA70" s="838"/>
      <c r="BD70" s="838"/>
      <c r="BE70" s="838"/>
      <c r="BF70" s="838"/>
      <c r="BG70" s="838"/>
      <c r="BH70" s="838"/>
      <c r="BI70" s="838"/>
      <c r="BJ70" s="838"/>
      <c r="BK70" s="838"/>
      <c r="BL70" s="838"/>
      <c r="BM70" s="838"/>
      <c r="BN70" s="838"/>
      <c r="BO70" s="838"/>
      <c r="BP70" s="838"/>
      <c r="BQ70" s="838"/>
      <c r="BR70" s="838"/>
      <c r="BS70" s="838"/>
      <c r="BT70" s="838"/>
      <c r="BU70" s="838"/>
      <c r="CJ70" s="838"/>
      <c r="CK70" s="838"/>
      <c r="CY70" s="989"/>
    </row>
    <row r="71" spans="1:124" s="837" customFormat="1" ht="17.399999999999999">
      <c r="A71" s="1743" t="str">
        <f>E2</f>
        <v>ROURKELA STEEL PLANT</v>
      </c>
      <c r="B71" s="1743"/>
      <c r="C71" s="1743"/>
      <c r="D71" s="1743"/>
      <c r="E71" s="1743"/>
      <c r="F71" s="1743"/>
      <c r="G71" s="1743"/>
      <c r="H71" s="1743"/>
      <c r="I71" s="1743"/>
      <c r="J71" s="1743"/>
      <c r="K71" s="1743"/>
      <c r="L71" s="1743"/>
      <c r="M71" s="1743"/>
      <c r="N71" s="1743"/>
      <c r="O71" s="1743"/>
      <c r="P71" s="1743"/>
      <c r="Q71" s="1743"/>
      <c r="R71" s="1743"/>
      <c r="S71" s="1743"/>
      <c r="T71" s="1743"/>
      <c r="U71" s="1743"/>
      <c r="V71" s="1743"/>
      <c r="W71" s="839" t="str">
        <f>$O$6</f>
        <v>Figures in Rs. Crore</v>
      </c>
      <c r="Y71" s="990"/>
      <c r="AA71" s="838"/>
      <c r="AB71" s="838"/>
      <c r="AC71" s="838"/>
      <c r="AD71" s="838"/>
      <c r="AE71" s="838"/>
      <c r="AF71" s="838"/>
      <c r="AG71" s="838"/>
      <c r="AH71" s="838"/>
      <c r="AI71" s="838"/>
      <c r="AJ71" s="838"/>
      <c r="AK71" s="838"/>
      <c r="AL71" s="838"/>
      <c r="AM71" s="838"/>
      <c r="AN71" s="838"/>
      <c r="AO71" s="838"/>
      <c r="AP71" s="838"/>
      <c r="AQ71" s="838"/>
      <c r="AR71" s="838"/>
      <c r="AS71" s="838"/>
      <c r="AT71" s="838"/>
      <c r="AU71" s="838"/>
      <c r="AV71" s="838"/>
      <c r="AW71" s="838"/>
      <c r="AX71" s="838"/>
      <c r="AY71" s="838"/>
      <c r="AZ71" s="838"/>
      <c r="BA71" s="838"/>
      <c r="BB71" s="838"/>
      <c r="BC71" s="612"/>
      <c r="BD71" s="838"/>
      <c r="BE71" s="838"/>
      <c r="BF71" s="838"/>
      <c r="BG71" s="838"/>
      <c r="BH71" s="838"/>
      <c r="BI71" s="838"/>
      <c r="BJ71" s="838"/>
      <c r="BK71" s="838"/>
      <c r="BL71" s="838"/>
      <c r="BM71" s="838"/>
      <c r="BN71" s="838"/>
      <c r="BO71" s="838"/>
      <c r="BP71" s="838"/>
      <c r="BQ71" s="838"/>
      <c r="BR71" s="838"/>
      <c r="BS71" s="838"/>
      <c r="BT71" s="838"/>
      <c r="BU71" s="838"/>
      <c r="CJ71" s="838"/>
      <c r="CK71" s="838"/>
      <c r="CY71" s="989"/>
    </row>
    <row r="72" spans="1:124" s="837" customFormat="1" ht="17.399999999999999">
      <c r="A72" s="1743" t="str">
        <f>$E$3</f>
        <v xml:space="preserve">Installation of Tall Coke Oven Battery # 7 at RSP </v>
      </c>
      <c r="B72" s="1743"/>
      <c r="C72" s="1743"/>
      <c r="D72" s="1743"/>
      <c r="E72" s="1743"/>
      <c r="F72" s="1743"/>
      <c r="G72" s="1743"/>
      <c r="H72" s="1743"/>
      <c r="I72" s="1743"/>
      <c r="J72" s="1743"/>
      <c r="K72" s="1743"/>
      <c r="L72" s="1743"/>
      <c r="M72" s="1743"/>
      <c r="N72" s="1743"/>
      <c r="O72" s="1743"/>
      <c r="P72" s="1743"/>
      <c r="Q72" s="1743"/>
      <c r="R72" s="1743"/>
      <c r="S72" s="1743"/>
      <c r="T72" s="1743"/>
      <c r="U72" s="1743"/>
      <c r="V72" s="1743"/>
      <c r="W72" s="990"/>
      <c r="X72" s="991"/>
      <c r="Y72" s="990"/>
      <c r="AA72" s="838"/>
      <c r="AB72" s="838"/>
      <c r="AC72" s="838"/>
      <c r="AD72" s="838"/>
      <c r="AE72" s="838"/>
      <c r="AF72" s="838"/>
      <c r="AG72" s="838"/>
      <c r="AH72" s="838"/>
      <c r="AI72" s="838"/>
      <c r="AJ72" s="838"/>
      <c r="AK72" s="838"/>
      <c r="AL72" s="838"/>
      <c r="AM72" s="838"/>
      <c r="AN72" s="838"/>
      <c r="AO72" s="838"/>
      <c r="AP72" s="838"/>
      <c r="AQ72" s="838"/>
      <c r="AR72" s="838"/>
      <c r="AS72" s="838"/>
      <c r="AT72" s="838"/>
      <c r="AU72" s="838"/>
      <c r="AV72" s="838"/>
      <c r="AW72" s="838"/>
      <c r="AX72" s="838"/>
      <c r="AY72" s="838"/>
      <c r="AZ72" s="838"/>
      <c r="BA72" s="838"/>
      <c r="BB72" s="838"/>
      <c r="BC72" s="612"/>
      <c r="BD72" s="838"/>
      <c r="BE72" s="838"/>
      <c r="BF72" s="838"/>
      <c r="BG72" s="838"/>
      <c r="BH72" s="838"/>
      <c r="BI72" s="838"/>
      <c r="BJ72" s="838"/>
      <c r="BK72" s="838"/>
      <c r="BL72" s="838"/>
      <c r="BM72" s="838"/>
      <c r="BN72" s="838"/>
      <c r="BO72" s="838"/>
      <c r="BP72" s="838"/>
      <c r="BQ72" s="838"/>
      <c r="BR72" s="838"/>
      <c r="BS72" s="838"/>
      <c r="BT72" s="838"/>
      <c r="BU72" s="838"/>
      <c r="CJ72" s="838"/>
      <c r="CK72" s="838"/>
      <c r="CY72" s="989"/>
    </row>
    <row r="73" spans="1:124" s="837" customFormat="1">
      <c r="F73" s="838" t="s">
        <v>0</v>
      </c>
      <c r="G73" s="838"/>
      <c r="H73" s="838"/>
      <c r="I73" s="838"/>
      <c r="J73" s="838"/>
      <c r="K73" s="838"/>
      <c r="L73" s="838"/>
      <c r="M73" s="838"/>
      <c r="N73" s="838"/>
      <c r="O73" s="838"/>
      <c r="P73" s="838"/>
      <c r="Q73" s="838"/>
      <c r="R73" s="838"/>
      <c r="S73" s="838"/>
      <c r="T73" s="838"/>
      <c r="U73" s="838"/>
      <c r="V73" s="838"/>
      <c r="X73" s="838"/>
      <c r="Y73" s="838"/>
      <c r="AA73" s="838"/>
      <c r="AB73" s="838"/>
      <c r="AC73" s="838"/>
      <c r="AD73" s="838"/>
      <c r="AE73" s="838"/>
      <c r="AF73" s="838"/>
      <c r="AG73" s="838"/>
      <c r="AH73" s="838"/>
      <c r="AI73" s="838"/>
      <c r="AJ73" s="838"/>
      <c r="AK73" s="838"/>
      <c r="AL73" s="838"/>
      <c r="AM73" s="838"/>
      <c r="AN73" s="838"/>
      <c r="AO73" s="838"/>
      <c r="AP73" s="838"/>
      <c r="AQ73" s="838"/>
      <c r="AR73" s="838"/>
      <c r="AS73" s="838"/>
      <c r="AT73" s="838"/>
      <c r="AU73" s="838"/>
      <c r="AV73" s="838"/>
      <c r="AW73" s="838"/>
      <c r="AX73" s="838"/>
      <c r="AY73" s="838"/>
      <c r="AZ73" s="838"/>
      <c r="BA73" s="838"/>
      <c r="BB73" s="838"/>
      <c r="BC73" s="612"/>
      <c r="BD73" s="838"/>
      <c r="BE73" s="838"/>
      <c r="BF73" s="838"/>
      <c r="BG73" s="838"/>
      <c r="BH73" s="838"/>
      <c r="BI73" s="838"/>
      <c r="BJ73" s="838"/>
      <c r="BK73" s="838"/>
      <c r="BL73" s="838"/>
      <c r="BM73" s="838"/>
      <c r="BN73" s="838"/>
      <c r="BO73" s="838"/>
      <c r="BP73" s="838"/>
      <c r="BQ73" s="838"/>
      <c r="BR73" s="838"/>
      <c r="BS73" s="838"/>
      <c r="BT73" s="838"/>
      <c r="BU73" s="838"/>
      <c r="CJ73" s="838"/>
      <c r="CK73" s="838"/>
      <c r="CY73" s="989"/>
    </row>
    <row r="74" spans="1:124" s="837" customFormat="1" ht="15" customHeight="1">
      <c r="A74" s="1744" t="s">
        <v>827</v>
      </c>
      <c r="B74" s="1744"/>
      <c r="C74" s="1744"/>
      <c r="D74" s="1744"/>
      <c r="E74" s="1744"/>
      <c r="F74" s="1744"/>
      <c r="G74" s="1744"/>
      <c r="H74" s="1744"/>
      <c r="I74" s="1744"/>
      <c r="J74" s="1744"/>
      <c r="K74" s="1744"/>
      <c r="L74" s="1744"/>
      <c r="M74" s="1744"/>
      <c r="N74" s="1744"/>
      <c r="O74" s="1744"/>
      <c r="P74" s="1744"/>
      <c r="Q74" s="1744"/>
      <c r="R74" s="1744"/>
      <c r="S74" s="1744"/>
      <c r="T74" s="1744"/>
      <c r="U74" s="1744"/>
      <c r="V74" s="1744"/>
      <c r="Y74" s="838"/>
      <c r="AA74" s="838"/>
      <c r="AB74" s="838"/>
      <c r="AC74" s="838"/>
      <c r="AD74" s="838"/>
      <c r="AE74" s="838"/>
      <c r="AF74" s="838"/>
      <c r="AG74" s="838"/>
      <c r="AH74" s="838"/>
      <c r="AI74" s="838"/>
      <c r="AJ74" s="838"/>
      <c r="AK74" s="838"/>
      <c r="AL74" s="838"/>
      <c r="AM74" s="838"/>
      <c r="AN74" s="838"/>
      <c r="AO74" s="838"/>
      <c r="AP74" s="838"/>
      <c r="AQ74" s="838"/>
      <c r="AR74" s="838"/>
      <c r="AS74" s="838"/>
      <c r="AT74" s="838"/>
      <c r="AU74" s="838"/>
      <c r="AV74" s="838"/>
      <c r="AW74" s="838"/>
      <c r="AX74" s="838"/>
      <c r="AY74" s="838"/>
      <c r="AZ74" s="838"/>
      <c r="BA74" s="838"/>
      <c r="BB74" s="838"/>
      <c r="BC74" s="612"/>
      <c r="BD74" s="838"/>
      <c r="BE74" s="838"/>
      <c r="BF74" s="838"/>
      <c r="BG74" s="838"/>
      <c r="BH74" s="838"/>
      <c r="BI74" s="838"/>
      <c r="BJ74" s="838"/>
      <c r="BK74" s="838"/>
      <c r="BL74" s="838"/>
      <c r="BM74" s="838"/>
      <c r="BN74" s="838"/>
      <c r="BO74" s="838"/>
      <c r="BP74" s="838"/>
      <c r="BQ74" s="838"/>
      <c r="BR74" s="838"/>
      <c r="BS74" s="838"/>
      <c r="BT74" s="838"/>
      <c r="BU74" s="838"/>
      <c r="CJ74" s="838"/>
      <c r="CK74" s="838"/>
      <c r="CY74" s="989"/>
    </row>
    <row r="75" spans="1:124" s="837" customFormat="1">
      <c r="F75" s="838"/>
      <c r="G75" s="838"/>
      <c r="H75" s="838"/>
      <c r="I75" s="838"/>
      <c r="J75" s="838"/>
      <c r="K75" s="838"/>
      <c r="L75" s="838"/>
      <c r="M75" s="838"/>
      <c r="N75" s="838"/>
      <c r="O75" s="838"/>
      <c r="P75" s="838"/>
      <c r="Q75" s="838"/>
      <c r="R75" s="838"/>
      <c r="S75" s="838"/>
      <c r="T75" s="838"/>
      <c r="U75" s="838"/>
      <c r="V75" s="838"/>
      <c r="X75" s="838" t="s">
        <v>0</v>
      </c>
      <c r="Y75" s="838"/>
      <c r="AA75" s="838"/>
      <c r="AB75" s="838"/>
      <c r="AC75" s="838"/>
      <c r="AD75" s="838"/>
      <c r="AE75" s="838"/>
      <c r="AF75" s="838"/>
      <c r="AG75" s="838"/>
      <c r="AH75" s="838"/>
      <c r="AI75" s="838"/>
      <c r="AJ75" s="838"/>
      <c r="AK75" s="838"/>
      <c r="AL75" s="838"/>
      <c r="AM75" s="838"/>
      <c r="AN75" s="838"/>
      <c r="AO75" s="838"/>
      <c r="AP75" s="838"/>
      <c r="AQ75" s="838"/>
      <c r="AR75" s="838"/>
      <c r="AS75" s="838"/>
      <c r="AT75" s="838"/>
      <c r="AU75" s="838"/>
      <c r="AV75" s="838"/>
      <c r="AW75" s="838"/>
      <c r="AX75" s="838"/>
      <c r="AY75" s="838"/>
      <c r="AZ75" s="838"/>
      <c r="BA75" s="838"/>
      <c r="BB75" s="838"/>
      <c r="BC75" s="838"/>
      <c r="BD75" s="838"/>
      <c r="BE75" s="838"/>
      <c r="BF75" s="838"/>
      <c r="BG75" s="838"/>
      <c r="BH75" s="838"/>
      <c r="BI75" s="838"/>
      <c r="BJ75" s="838"/>
      <c r="BK75" s="838"/>
      <c r="BL75" s="838"/>
      <c r="BM75" s="838"/>
      <c r="BN75" s="838"/>
      <c r="BO75" s="838"/>
      <c r="BP75" s="838"/>
      <c r="BQ75" s="838"/>
      <c r="BR75" s="838"/>
      <c r="BS75" s="838"/>
      <c r="BT75" s="838"/>
      <c r="BU75" s="838"/>
      <c r="CJ75" s="838"/>
      <c r="CK75" s="838"/>
      <c r="CY75" s="989"/>
    </row>
    <row r="76" spans="1:124" s="846" customFormat="1" ht="25.5" customHeight="1">
      <c r="B76" s="847"/>
      <c r="C76" s="992" t="str">
        <f>C10</f>
        <v>1USD=Rs.(with forward premium rate)</v>
      </c>
      <c r="D76" s="993" t="e">
        <f>D10</f>
        <v>#REF!</v>
      </c>
      <c r="J76" s="994">
        <f t="shared" ref="J76:N77" si="23">D8</f>
        <v>0</v>
      </c>
      <c r="K76" s="994">
        <f t="shared" si="23"/>
        <v>0</v>
      </c>
      <c r="M76" s="994">
        <f t="shared" si="23"/>
        <v>0</v>
      </c>
      <c r="N76" s="994">
        <f t="shared" si="23"/>
        <v>0</v>
      </c>
      <c r="O76" s="994" t="str">
        <f>C8</f>
        <v>CD</v>
      </c>
      <c r="P76" s="994" t="str">
        <f>F8</f>
        <v>IT</v>
      </c>
      <c r="Q76" s="994" t="str">
        <f>J8</f>
        <v xml:space="preserve">GST </v>
      </c>
      <c r="R76" s="994" t="str">
        <f>L8</f>
        <v>Contingn</v>
      </c>
      <c r="S76" s="994" t="str">
        <f>I8</f>
        <v>E&amp;C</v>
      </c>
      <c r="T76" s="847"/>
      <c r="U76" s="847"/>
      <c r="X76" s="847"/>
      <c r="AA76" s="847"/>
      <c r="AB76" s="847"/>
      <c r="AC76" s="847"/>
      <c r="AD76" s="847"/>
      <c r="AE76" s="847"/>
      <c r="AF76" s="847"/>
      <c r="AG76" s="847"/>
      <c r="AH76" s="847"/>
      <c r="AI76" s="847"/>
      <c r="AJ76" s="847"/>
      <c r="AK76" s="847"/>
      <c r="AL76" s="847"/>
      <c r="AM76" s="847"/>
      <c r="AN76" s="847"/>
      <c r="AO76" s="847"/>
      <c r="AP76" s="847"/>
      <c r="AQ76" s="847"/>
      <c r="AR76" s="847"/>
      <c r="AS76" s="847"/>
      <c r="AT76" s="847"/>
      <c r="AU76" s="847"/>
      <c r="AV76" s="847"/>
      <c r="AW76" s="847"/>
      <c r="AX76" s="847"/>
      <c r="AY76" s="847"/>
      <c r="AZ76" s="847"/>
      <c r="BA76" s="847"/>
      <c r="BB76" s="847"/>
      <c r="BC76" s="847"/>
      <c r="BD76" s="847"/>
      <c r="BE76" s="847"/>
      <c r="BF76" s="847"/>
      <c r="BG76" s="847"/>
      <c r="BH76" s="847"/>
      <c r="BI76" s="847"/>
      <c r="BJ76" s="847"/>
      <c r="BK76" s="847"/>
      <c r="BL76" s="847"/>
      <c r="BM76" s="847"/>
      <c r="BN76" s="847"/>
      <c r="BO76" s="847"/>
      <c r="BP76" s="847"/>
      <c r="BQ76" s="847"/>
      <c r="BR76" s="847"/>
      <c r="BS76" s="847"/>
      <c r="BT76" s="847"/>
      <c r="BU76" s="847"/>
      <c r="CJ76" s="847"/>
      <c r="CK76" s="847"/>
      <c r="CY76" s="995"/>
    </row>
    <row r="77" spans="1:124" s="846" customFormat="1" ht="19.5" customHeight="1">
      <c r="B77" s="849"/>
      <c r="C77" s="992" t="str">
        <f>C11</f>
        <v>1EURO=Rs.(with forward premium rate)</v>
      </c>
      <c r="D77" s="993" t="e">
        <f>D11</f>
        <v>#REF!</v>
      </c>
      <c r="E77" s="996"/>
      <c r="F77" s="997"/>
      <c r="G77" s="625"/>
      <c r="J77" s="626">
        <f t="shared" si="23"/>
        <v>0</v>
      </c>
      <c r="K77" s="627">
        <f t="shared" si="23"/>
        <v>0</v>
      </c>
      <c r="M77" s="628">
        <f t="shared" si="23"/>
        <v>0</v>
      </c>
      <c r="N77" s="627">
        <f t="shared" si="23"/>
        <v>0</v>
      </c>
      <c r="O77" s="626">
        <f>C9</f>
        <v>0.05</v>
      </c>
      <c r="P77" s="628">
        <f>F9</f>
        <v>0.11111111111111112</v>
      </c>
      <c r="Q77" s="626">
        <f>J9</f>
        <v>0.18</v>
      </c>
      <c r="R77" s="627">
        <f>L9</f>
        <v>0.05</v>
      </c>
      <c r="S77" s="628">
        <f>I9</f>
        <v>7.5000000000000011E-2</v>
      </c>
      <c r="T77" s="847"/>
      <c r="U77" s="847"/>
      <c r="X77" s="847"/>
      <c r="AA77" s="847"/>
      <c r="AB77" s="847"/>
      <c r="AC77" s="847"/>
      <c r="AD77" s="847"/>
      <c r="AE77" s="847"/>
      <c r="AF77" s="847"/>
      <c r="AG77" s="847"/>
      <c r="AH77" s="847"/>
      <c r="AI77" s="847"/>
      <c r="AJ77" s="847"/>
      <c r="AK77" s="847"/>
      <c r="AL77" s="847"/>
      <c r="AM77" s="847"/>
      <c r="AN77" s="847"/>
      <c r="AO77" s="847"/>
      <c r="AP77" s="847"/>
      <c r="AQ77" s="847"/>
      <c r="AR77" s="847"/>
      <c r="AS77" s="847"/>
      <c r="AT77" s="847"/>
      <c r="AU77" s="847"/>
      <c r="AV77" s="847"/>
      <c r="AW77" s="847"/>
      <c r="AX77" s="847"/>
      <c r="AY77" s="847"/>
      <c r="AZ77" s="847"/>
      <c r="BA77" s="847"/>
      <c r="BB77" s="847"/>
      <c r="BC77" s="847"/>
      <c r="BD77" s="847"/>
      <c r="BE77" s="847"/>
      <c r="BF77" s="847"/>
      <c r="BG77" s="847"/>
      <c r="BH77" s="847"/>
      <c r="BI77" s="847"/>
      <c r="BJ77" s="847"/>
      <c r="BK77" s="847"/>
      <c r="BL77" s="847"/>
      <c r="BM77" s="847"/>
      <c r="BN77" s="847"/>
      <c r="BO77" s="847"/>
      <c r="BP77" s="847"/>
      <c r="BQ77" s="847"/>
      <c r="BR77" s="847"/>
      <c r="BS77" s="847"/>
      <c r="BT77" s="847"/>
      <c r="BU77" s="847"/>
      <c r="CJ77" s="847"/>
      <c r="CK77" s="847"/>
      <c r="CY77" s="995"/>
    </row>
    <row r="78" spans="1:124" s="837" customFormat="1" ht="15.6">
      <c r="A78" s="901" t="s">
        <v>8</v>
      </c>
      <c r="B78" s="901" t="s">
        <v>100</v>
      </c>
      <c r="C78" s="1730" t="s">
        <v>3</v>
      </c>
      <c r="D78" s="1730"/>
      <c r="E78" s="1730" t="s">
        <v>102</v>
      </c>
      <c r="F78" s="1730"/>
      <c r="G78" s="1730" t="s">
        <v>207</v>
      </c>
      <c r="H78" s="1730"/>
      <c r="I78" s="1730" t="s">
        <v>105</v>
      </c>
      <c r="J78" s="1730"/>
      <c r="K78" s="905" t="s">
        <v>73</v>
      </c>
      <c r="L78" s="905" t="s">
        <v>106</v>
      </c>
      <c r="M78" s="1730" t="s">
        <v>208</v>
      </c>
      <c r="N78" s="1730"/>
      <c r="O78" s="1730" t="s">
        <v>209</v>
      </c>
      <c r="P78" s="1730"/>
      <c r="Q78" s="1730" t="s">
        <v>210</v>
      </c>
      <c r="R78" s="1730"/>
      <c r="S78" s="906" t="s">
        <v>112</v>
      </c>
      <c r="T78" s="906"/>
      <c r="U78" s="906" t="s">
        <v>113</v>
      </c>
      <c r="V78" s="906"/>
      <c r="W78" s="906" t="s">
        <v>181</v>
      </c>
      <c r="X78" s="907"/>
      <c r="AB78" s="838"/>
      <c r="AC78" s="838"/>
      <c r="AD78" s="838"/>
      <c r="AE78" s="838"/>
      <c r="AF78" s="838"/>
      <c r="AG78" s="838"/>
      <c r="AH78" s="838"/>
      <c r="AI78" s="838"/>
      <c r="AJ78" s="838"/>
      <c r="AK78" s="838"/>
      <c r="AL78" s="838"/>
      <c r="AM78" s="838"/>
      <c r="AN78" s="838"/>
      <c r="AO78" s="838"/>
      <c r="AP78" s="838"/>
      <c r="AQ78" s="838"/>
      <c r="AR78" s="838"/>
      <c r="AS78" s="838"/>
      <c r="AT78" s="838"/>
      <c r="AU78" s="838"/>
      <c r="AV78" s="838"/>
      <c r="AW78" s="838"/>
      <c r="AX78" s="838"/>
      <c r="AY78" s="838"/>
      <c r="AZ78" s="838"/>
      <c r="BA78" s="838"/>
      <c r="BB78" s="838"/>
      <c r="BC78" s="838"/>
      <c r="BD78" s="838"/>
      <c r="BE78" s="838"/>
      <c r="BF78" s="838"/>
      <c r="BG78" s="838"/>
      <c r="BH78" s="838"/>
      <c r="BI78" s="838"/>
      <c r="BJ78" s="838"/>
      <c r="BK78" s="838"/>
      <c r="BL78" s="838"/>
      <c r="BM78" s="838"/>
      <c r="BN78" s="838"/>
      <c r="BO78" s="838"/>
      <c r="BP78" s="838"/>
      <c r="BQ78" s="838"/>
      <c r="BR78" s="838"/>
      <c r="BS78" s="838"/>
      <c r="BT78" s="838"/>
      <c r="BU78" s="838"/>
      <c r="CJ78" s="838"/>
      <c r="CK78" s="838"/>
      <c r="CY78" s="989"/>
    </row>
    <row r="79" spans="1:124" s="837" customFormat="1" ht="15.6">
      <c r="A79" s="882"/>
      <c r="B79" s="998"/>
      <c r="C79" s="910" t="s">
        <v>72</v>
      </c>
      <c r="D79" s="910" t="s">
        <v>211</v>
      </c>
      <c r="E79" s="910" t="s">
        <v>72</v>
      </c>
      <c r="F79" s="910" t="s">
        <v>211</v>
      </c>
      <c r="G79" s="910" t="s">
        <v>72</v>
      </c>
      <c r="H79" s="910" t="s">
        <v>211</v>
      </c>
      <c r="I79" s="910" t="s">
        <v>72</v>
      </c>
      <c r="J79" s="910" t="s">
        <v>211</v>
      </c>
      <c r="K79" s="910" t="s">
        <v>72</v>
      </c>
      <c r="L79" s="910" t="s">
        <v>72</v>
      </c>
      <c r="M79" s="910" t="s">
        <v>72</v>
      </c>
      <c r="N79" s="910" t="s">
        <v>211</v>
      </c>
      <c r="O79" s="910" t="s">
        <v>72</v>
      </c>
      <c r="P79" s="910" t="s">
        <v>211</v>
      </c>
      <c r="Q79" s="910" t="s">
        <v>72</v>
      </c>
      <c r="R79" s="910" t="s">
        <v>211</v>
      </c>
      <c r="S79" s="910" t="s">
        <v>72</v>
      </c>
      <c r="T79" s="910" t="s">
        <v>211</v>
      </c>
      <c r="U79" s="910" t="s">
        <v>72</v>
      </c>
      <c r="V79" s="910" t="s">
        <v>211</v>
      </c>
      <c r="W79" s="910" t="s">
        <v>72</v>
      </c>
      <c r="X79" s="999" t="s">
        <v>211</v>
      </c>
      <c r="AB79" s="838"/>
      <c r="AC79" s="838"/>
      <c r="AD79" s="838"/>
      <c r="AE79" s="838"/>
      <c r="AF79" s="838"/>
      <c r="AG79" s="838"/>
      <c r="AH79" s="838"/>
      <c r="AI79" s="838"/>
      <c r="AJ79" s="838"/>
      <c r="AK79" s="838"/>
      <c r="AL79" s="838"/>
      <c r="AM79" s="838"/>
      <c r="AN79" s="838"/>
      <c r="AO79" s="838"/>
      <c r="AP79" s="838"/>
      <c r="AQ79" s="838"/>
      <c r="AR79" s="838"/>
      <c r="AS79" s="838"/>
      <c r="AT79" s="838"/>
      <c r="AU79" s="838"/>
      <c r="AV79" s="838"/>
      <c r="AW79" s="838"/>
      <c r="AX79" s="838"/>
      <c r="AY79" s="838"/>
      <c r="AZ79" s="838"/>
      <c r="BA79" s="838"/>
      <c r="BB79" s="838"/>
      <c r="BC79" s="838"/>
      <c r="BD79" s="838"/>
      <c r="BE79" s="838"/>
      <c r="BF79" s="838"/>
      <c r="BG79" s="838"/>
      <c r="BH79" s="838"/>
      <c r="BI79" s="838"/>
      <c r="BJ79" s="838"/>
      <c r="BK79" s="838"/>
      <c r="BL79" s="838"/>
      <c r="BM79" s="838"/>
      <c r="BN79" s="838"/>
      <c r="BO79" s="838"/>
      <c r="BP79" s="838"/>
      <c r="BQ79" s="838"/>
      <c r="BR79" s="838"/>
      <c r="BS79" s="838"/>
      <c r="BT79" s="838"/>
      <c r="BU79" s="838"/>
      <c r="CY79" s="989"/>
    </row>
    <row r="80" spans="1:124" s="837" customFormat="1" ht="15.6">
      <c r="A80" s="882"/>
      <c r="B80" s="882"/>
      <c r="C80" s="906" t="s">
        <v>212</v>
      </c>
      <c r="D80" s="906" t="s">
        <v>101</v>
      </c>
      <c r="E80" s="906" t="s">
        <v>212</v>
      </c>
      <c r="F80" s="906" t="s">
        <v>101</v>
      </c>
      <c r="G80" s="906" t="s">
        <v>212</v>
      </c>
      <c r="H80" s="906" t="s">
        <v>101</v>
      </c>
      <c r="I80" s="906" t="s">
        <v>212</v>
      </c>
      <c r="J80" s="906" t="s">
        <v>101</v>
      </c>
      <c r="K80" s="906" t="s">
        <v>212</v>
      </c>
      <c r="L80" s="906" t="s">
        <v>212</v>
      </c>
      <c r="M80" s="906" t="s">
        <v>212</v>
      </c>
      <c r="N80" s="906" t="s">
        <v>101</v>
      </c>
      <c r="O80" s="906" t="s">
        <v>212</v>
      </c>
      <c r="P80" s="906" t="s">
        <v>101</v>
      </c>
      <c r="Q80" s="906" t="s">
        <v>212</v>
      </c>
      <c r="R80" s="906" t="s">
        <v>101</v>
      </c>
      <c r="S80" s="906" t="s">
        <v>212</v>
      </c>
      <c r="T80" s="906" t="s">
        <v>101</v>
      </c>
      <c r="U80" s="906" t="s">
        <v>212</v>
      </c>
      <c r="V80" s="906" t="s">
        <v>101</v>
      </c>
      <c r="W80" s="906" t="s">
        <v>212</v>
      </c>
      <c r="X80" s="907" t="s">
        <v>101</v>
      </c>
      <c r="AB80" s="838"/>
      <c r="AC80" s="838"/>
      <c r="AD80" s="838"/>
      <c r="AE80" s="838"/>
      <c r="AF80" s="838"/>
      <c r="AG80" s="838"/>
      <c r="AH80" s="838"/>
      <c r="AI80" s="838"/>
      <c r="AJ80" s="838"/>
      <c r="AK80" s="838"/>
      <c r="AL80" s="838"/>
      <c r="AM80" s="838"/>
      <c r="AN80" s="838"/>
      <c r="AO80" s="838"/>
      <c r="AP80" s="838"/>
      <c r="AQ80" s="838"/>
      <c r="AR80" s="838"/>
      <c r="AS80" s="838"/>
      <c r="AT80" s="838"/>
      <c r="AU80" s="838"/>
      <c r="AV80" s="838"/>
      <c r="AW80" s="838"/>
      <c r="AX80" s="838"/>
      <c r="AY80" s="838"/>
      <c r="AZ80" s="838"/>
      <c r="BA80" s="838"/>
      <c r="BB80" s="838"/>
      <c r="BC80" s="838"/>
      <c r="BD80" s="838"/>
      <c r="BE80" s="838"/>
      <c r="BF80" s="838"/>
      <c r="BG80" s="838"/>
      <c r="BH80" s="838"/>
      <c r="BI80" s="838"/>
      <c r="BJ80" s="838"/>
      <c r="BK80" s="838"/>
      <c r="BL80" s="838"/>
      <c r="BM80" s="838"/>
      <c r="BN80" s="838"/>
      <c r="BO80" s="838"/>
      <c r="BP80" s="838"/>
      <c r="BQ80" s="838"/>
      <c r="BR80" s="838"/>
      <c r="BS80" s="838"/>
      <c r="BT80" s="838"/>
      <c r="BU80" s="838"/>
      <c r="CY80" s="989"/>
    </row>
    <row r="81" spans="1:103" s="837" customFormat="1" ht="15.6">
      <c r="A81" s="882" t="s">
        <v>17</v>
      </c>
      <c r="B81" s="1000" t="s">
        <v>6</v>
      </c>
      <c r="C81" s="910" t="s">
        <v>7</v>
      </c>
      <c r="D81" s="910" t="s">
        <v>142</v>
      </c>
      <c r="E81" s="910" t="s">
        <v>143</v>
      </c>
      <c r="F81" s="910" t="s">
        <v>101</v>
      </c>
      <c r="G81" s="910" t="s">
        <v>145</v>
      </c>
      <c r="H81" s="910" t="s">
        <v>146</v>
      </c>
      <c r="I81" s="910" t="s">
        <v>67</v>
      </c>
      <c r="J81" s="910" t="s">
        <v>147</v>
      </c>
      <c r="K81" s="910" t="s">
        <v>148</v>
      </c>
      <c r="L81" s="910" t="s">
        <v>149</v>
      </c>
      <c r="M81" s="910" t="s">
        <v>5</v>
      </c>
      <c r="N81" s="910" t="s">
        <v>150</v>
      </c>
      <c r="O81" s="910" t="s">
        <v>151</v>
      </c>
      <c r="P81" s="910" t="s">
        <v>152</v>
      </c>
      <c r="Q81" s="910" t="s">
        <v>153</v>
      </c>
      <c r="R81" s="910" t="s">
        <v>154</v>
      </c>
      <c r="S81" s="910" t="s">
        <v>155</v>
      </c>
      <c r="T81" s="910" t="s">
        <v>4</v>
      </c>
      <c r="U81" s="910" t="s">
        <v>156</v>
      </c>
      <c r="V81" s="910" t="s">
        <v>157</v>
      </c>
      <c r="W81" s="910" t="s">
        <v>158</v>
      </c>
      <c r="X81" s="999" t="s">
        <v>159</v>
      </c>
      <c r="AB81" s="838"/>
      <c r="AC81" s="838"/>
      <c r="AD81" s="838"/>
      <c r="AE81" s="838"/>
      <c r="AF81" s="838"/>
      <c r="AG81" s="838"/>
      <c r="AH81" s="838"/>
      <c r="AI81" s="838"/>
      <c r="AJ81" s="838"/>
      <c r="AK81" s="838"/>
      <c r="AL81" s="838"/>
      <c r="AM81" s="838"/>
      <c r="AN81" s="838"/>
      <c r="AO81" s="838"/>
      <c r="AP81" s="838"/>
      <c r="AQ81" s="838"/>
      <c r="AR81" s="838"/>
      <c r="AS81" s="838"/>
      <c r="AT81" s="838"/>
      <c r="AU81" s="838"/>
      <c r="AV81" s="838"/>
      <c r="AW81" s="838"/>
      <c r="AX81" s="838"/>
      <c r="AY81" s="838"/>
      <c r="AZ81" s="838"/>
      <c r="BA81" s="838"/>
      <c r="BB81" s="838"/>
      <c r="BC81" s="838"/>
      <c r="BD81" s="838"/>
      <c r="BE81" s="838"/>
      <c r="BF81" s="838"/>
      <c r="BG81" s="838"/>
      <c r="BH81" s="838"/>
      <c r="BI81" s="838"/>
      <c r="BJ81" s="838"/>
      <c r="BK81" s="838"/>
      <c r="BL81" s="838"/>
      <c r="BM81" s="838"/>
      <c r="BN81" s="838"/>
      <c r="BO81" s="838"/>
      <c r="BP81" s="838"/>
      <c r="BQ81" s="838"/>
      <c r="BR81" s="838"/>
      <c r="BS81" s="838"/>
      <c r="BT81" s="838"/>
      <c r="BU81" s="838"/>
      <c r="BW81" s="1001"/>
      <c r="BX81" s="838"/>
      <c r="BY81" s="838"/>
      <c r="BZ81" s="983"/>
      <c r="CA81" s="983"/>
      <c r="CB81" s="838"/>
      <c r="CC81" s="838"/>
      <c r="CD81" s="838"/>
      <c r="CE81" s="838"/>
      <c r="CY81" s="989"/>
    </row>
    <row r="82" spans="1:103" s="837" customFormat="1" ht="32.25" customHeight="1">
      <c r="A82" s="882"/>
      <c r="B82" s="1002" t="str">
        <f>E3</f>
        <v xml:space="preserve">Installation of Tall Coke Oven Battery # 7 at RSP </v>
      </c>
      <c r="C82" s="1003" t="e">
        <f t="shared" ref="C82:X82" si="24">SUM(C83:C90)</f>
        <v>#REF!</v>
      </c>
      <c r="D82" s="1003" t="e">
        <f t="shared" si="24"/>
        <v>#REF!</v>
      </c>
      <c r="E82" s="1003" t="e">
        <f t="shared" si="24"/>
        <v>#REF!</v>
      </c>
      <c r="F82" s="1003" t="e">
        <f t="shared" si="24"/>
        <v>#REF!</v>
      </c>
      <c r="G82" s="1003" t="e">
        <f t="shared" si="24"/>
        <v>#REF!</v>
      </c>
      <c r="H82" s="1003">
        <f t="shared" si="24"/>
        <v>0</v>
      </c>
      <c r="I82" s="1003">
        <f t="shared" si="24"/>
        <v>78.089849999999998</v>
      </c>
      <c r="J82" s="1003">
        <f t="shared" si="24"/>
        <v>0</v>
      </c>
      <c r="K82" s="1003" t="e">
        <f t="shared" si="24"/>
        <v>#REF!</v>
      </c>
      <c r="L82" s="1003" t="e">
        <f t="shared" si="24"/>
        <v>#REF!</v>
      </c>
      <c r="M82" s="1003" t="e">
        <f t="shared" si="24"/>
        <v>#REF!</v>
      </c>
      <c r="N82" s="1003" t="e">
        <f t="shared" si="24"/>
        <v>#REF!</v>
      </c>
      <c r="O82" s="1003" t="e">
        <f t="shared" si="24"/>
        <v>#REF!</v>
      </c>
      <c r="P82" s="1003" t="e">
        <f t="shared" si="24"/>
        <v>#REF!</v>
      </c>
      <c r="Q82" s="1003" t="e">
        <f t="shared" si="24"/>
        <v>#REF!</v>
      </c>
      <c r="R82" s="1003">
        <f t="shared" si="24"/>
        <v>0</v>
      </c>
      <c r="S82" s="1003" t="e">
        <f t="shared" si="24"/>
        <v>#REF!</v>
      </c>
      <c r="T82" s="1003" t="e">
        <f t="shared" si="24"/>
        <v>#REF!</v>
      </c>
      <c r="U82" s="1003" t="e">
        <f t="shared" si="24"/>
        <v>#REF!</v>
      </c>
      <c r="V82" s="1003" t="e">
        <f t="shared" si="24"/>
        <v>#REF!</v>
      </c>
      <c r="W82" s="1003" t="e">
        <f t="shared" si="24"/>
        <v>#REF!</v>
      </c>
      <c r="X82" s="1003" t="e">
        <f t="shared" si="24"/>
        <v>#REF!</v>
      </c>
      <c r="AB82" s="838"/>
      <c r="AC82" s="838"/>
      <c r="AD82" s="838"/>
      <c r="AE82" s="838"/>
      <c r="AF82" s="838"/>
      <c r="AG82" s="838"/>
      <c r="AH82" s="838"/>
      <c r="AI82" s="838"/>
      <c r="AJ82" s="838"/>
      <c r="AK82" s="838"/>
      <c r="AL82" s="838"/>
      <c r="AM82" s="838"/>
      <c r="AN82" s="838"/>
      <c r="AO82" s="838"/>
      <c r="AP82" s="838"/>
      <c r="AQ82" s="838"/>
      <c r="AR82" s="838"/>
      <c r="AS82" s="838"/>
      <c r="AT82" s="838"/>
      <c r="AU82" s="838"/>
      <c r="AV82" s="838"/>
      <c r="AW82" s="838"/>
      <c r="AX82" s="838"/>
      <c r="AY82" s="838"/>
      <c r="AZ82" s="838"/>
      <c r="BA82" s="838"/>
      <c r="BB82" s="838"/>
      <c r="BC82" s="838"/>
      <c r="BD82" s="838"/>
      <c r="BE82" s="838"/>
      <c r="BF82" s="838"/>
      <c r="BG82" s="838"/>
      <c r="BH82" s="838"/>
      <c r="BI82" s="838"/>
      <c r="BJ82" s="838"/>
      <c r="BK82" s="838"/>
      <c r="BL82" s="838"/>
      <c r="BM82" s="838"/>
      <c r="BN82" s="838"/>
      <c r="BO82" s="838"/>
      <c r="BP82" s="838"/>
      <c r="BQ82" s="838"/>
      <c r="BR82" s="838"/>
      <c r="BS82" s="838"/>
      <c r="BT82" s="838"/>
      <c r="BU82" s="838"/>
      <c r="BW82" s="1001"/>
      <c r="BX82" s="838"/>
      <c r="BY82" s="838"/>
      <c r="BZ82" s="983"/>
      <c r="CA82" s="983"/>
      <c r="CB82" s="838"/>
      <c r="CC82" s="838"/>
      <c r="CD82" s="838"/>
      <c r="CE82" s="838"/>
      <c r="CY82" s="989"/>
    </row>
    <row r="83" spans="1:103" s="846" customFormat="1" ht="40.5" customHeight="1">
      <c r="A83" s="1004" t="str">
        <f>A19</f>
        <v>1 (a)</v>
      </c>
      <c r="B83" s="1004" t="str">
        <f>B19</f>
        <v>Geo-technical Investigation and Survey Works (Package 1)</v>
      </c>
      <c r="C83" s="1005">
        <f t="shared" ref="C83:C90" si="25">SUM(D19:G19)</f>
        <v>0</v>
      </c>
      <c r="D83" s="1005">
        <f t="shared" ref="D83:D90" si="26">SUM(D19:E19)</f>
        <v>0</v>
      </c>
      <c r="E83" s="1005">
        <f t="shared" ref="E83:E90" si="27">SUM(H19:I19)</f>
        <v>0</v>
      </c>
      <c r="F83" s="1005">
        <f t="shared" ref="F83:F90" si="28">SUM(H19)</f>
        <v>0</v>
      </c>
      <c r="G83" s="1005">
        <f t="shared" ref="G83:G90" si="29">SUM(J19:M19)</f>
        <v>0</v>
      </c>
      <c r="H83" s="1006">
        <f t="shared" ref="H83:H90" si="30">SUM(J19)</f>
        <v>0</v>
      </c>
      <c r="I83" s="1005">
        <f t="shared" ref="I83:I90" si="31">SUM(N19:O19)</f>
        <v>0</v>
      </c>
      <c r="J83" s="1005">
        <f t="shared" ref="J83:J90" si="32">SUM(N19)</f>
        <v>0</v>
      </c>
      <c r="K83" s="1005" t="e">
        <f t="shared" ref="K83:K90" si="33">P19+Q19</f>
        <v>#REF!</v>
      </c>
      <c r="L83" s="1005">
        <f t="shared" ref="L83:L90" si="34">SUM(R19:U19)</f>
        <v>0</v>
      </c>
      <c r="M83" s="1007" t="e">
        <f t="shared" ref="M83:M90" si="35">SUM(V19:Y19)</f>
        <v>#REF!</v>
      </c>
      <c r="N83" s="1005" t="e">
        <f t="shared" ref="N83:N90" si="36">SUM(V19:W19)</f>
        <v>#REF!</v>
      </c>
      <c r="O83" s="1005">
        <f t="shared" ref="O83:O90" si="37">SUM(Z19:AB19)</f>
        <v>0</v>
      </c>
      <c r="P83" s="1005">
        <f t="shared" ref="P83:P90" si="38">SUM(Z19)</f>
        <v>0</v>
      </c>
      <c r="Q83" s="1005" t="e">
        <f t="shared" ref="Q83:Q90" si="39">SUM(AC19:AJ19)</f>
        <v>#REF!</v>
      </c>
      <c r="R83" s="1005"/>
      <c r="S83" s="1005">
        <f t="shared" ref="S83:S90" si="40">SUM(AK19:AP19)</f>
        <v>0</v>
      </c>
      <c r="T83" s="1005">
        <f t="shared" ref="T83:T90" si="41">AK19+AM19+AO19</f>
        <v>0</v>
      </c>
      <c r="U83" s="1005" t="e">
        <f t="shared" ref="U83:U90" si="42">SUM(AQ19:AR19)</f>
        <v>#REF!</v>
      </c>
      <c r="V83" s="1005" t="e">
        <f t="shared" ref="V83:V90" si="43">AQ19</f>
        <v>#REF!</v>
      </c>
      <c r="W83" s="1005" t="e">
        <f t="shared" ref="W83:W90" si="44">AU19</f>
        <v>#REF!</v>
      </c>
      <c r="X83" s="1008" t="e">
        <f t="shared" ref="X83:X90" si="45">D83+F83+H83+J83+N83+P83+R83+T83+V83</f>
        <v>#REF!</v>
      </c>
      <c r="AB83" s="847"/>
      <c r="AC83" s="847"/>
      <c r="AD83" s="847"/>
      <c r="AE83" s="847"/>
      <c r="AF83" s="847"/>
      <c r="AG83" s="847"/>
      <c r="AH83" s="847"/>
      <c r="AI83" s="847"/>
      <c r="AJ83" s="847"/>
      <c r="AK83" s="847"/>
      <c r="AL83" s="847"/>
      <c r="AM83" s="847"/>
      <c r="AN83" s="847"/>
      <c r="AO83" s="847"/>
      <c r="AP83" s="847"/>
      <c r="AQ83" s="847"/>
      <c r="AR83" s="847"/>
      <c r="AS83" s="847"/>
      <c r="AT83" s="847"/>
      <c r="AU83" s="847"/>
      <c r="AV83" s="847"/>
      <c r="AW83" s="847"/>
      <c r="AX83" s="847"/>
      <c r="AY83" s="847"/>
      <c r="AZ83" s="847"/>
      <c r="BA83" s="847"/>
      <c r="BB83" s="847"/>
      <c r="BC83" s="847"/>
      <c r="BD83" s="847"/>
      <c r="BE83" s="847"/>
      <c r="BF83" s="847"/>
      <c r="BG83" s="847"/>
      <c r="BH83" s="847"/>
      <c r="BI83" s="847"/>
      <c r="BJ83" s="847"/>
      <c r="BK83" s="847"/>
      <c r="BL83" s="847"/>
      <c r="BM83" s="847"/>
      <c r="BN83" s="847"/>
      <c r="BO83" s="847"/>
      <c r="BP83" s="847"/>
      <c r="BQ83" s="847"/>
      <c r="BR83" s="847"/>
      <c r="BS83" s="847"/>
      <c r="BT83" s="847"/>
      <c r="BU83" s="847"/>
      <c r="BW83" s="1009"/>
      <c r="BX83" s="847"/>
      <c r="BY83" s="847"/>
      <c r="BZ83" s="1010"/>
      <c r="CA83" s="1010"/>
      <c r="CB83" s="847"/>
      <c r="CC83" s="847"/>
      <c r="CD83" s="847"/>
      <c r="CE83" s="847"/>
      <c r="CY83" s="995"/>
    </row>
    <row r="84" spans="1:103" s="846" customFormat="1" ht="43.5" customHeight="1">
      <c r="A84" s="1004" t="str">
        <f>A20</f>
        <v>1(b)</v>
      </c>
      <c r="B84" s="1004" t="str">
        <f>B20</f>
        <v>Enabling Works (Package 1A)</v>
      </c>
      <c r="C84" s="1005">
        <f t="shared" si="25"/>
        <v>0</v>
      </c>
      <c r="D84" s="1005">
        <f t="shared" si="26"/>
        <v>0</v>
      </c>
      <c r="E84" s="1005">
        <f t="shared" si="27"/>
        <v>0</v>
      </c>
      <c r="F84" s="1005">
        <f t="shared" si="28"/>
        <v>0</v>
      </c>
      <c r="G84" s="1005">
        <f t="shared" si="29"/>
        <v>0</v>
      </c>
      <c r="H84" s="1006">
        <f t="shared" si="30"/>
        <v>0</v>
      </c>
      <c r="I84" s="1005">
        <f t="shared" si="31"/>
        <v>0</v>
      </c>
      <c r="J84" s="1005">
        <f t="shared" si="32"/>
        <v>0</v>
      </c>
      <c r="K84" s="1005" t="e">
        <f t="shared" si="33"/>
        <v>#REF!</v>
      </c>
      <c r="L84" s="1005">
        <f t="shared" si="34"/>
        <v>0</v>
      </c>
      <c r="M84" s="1007" t="e">
        <f t="shared" si="35"/>
        <v>#REF!</v>
      </c>
      <c r="N84" s="1005">
        <f t="shared" si="36"/>
        <v>0</v>
      </c>
      <c r="O84" s="1005">
        <f t="shared" si="37"/>
        <v>0</v>
      </c>
      <c r="P84" s="1005">
        <f t="shared" si="38"/>
        <v>0</v>
      </c>
      <c r="Q84" s="1005" t="e">
        <f t="shared" si="39"/>
        <v>#REF!</v>
      </c>
      <c r="R84" s="1005"/>
      <c r="S84" s="1005">
        <f t="shared" si="40"/>
        <v>0</v>
      </c>
      <c r="T84" s="1005">
        <f t="shared" si="41"/>
        <v>0</v>
      </c>
      <c r="U84" s="1005" t="e">
        <f t="shared" si="42"/>
        <v>#REF!</v>
      </c>
      <c r="V84" s="1005">
        <f t="shared" si="43"/>
        <v>0</v>
      </c>
      <c r="W84" s="1005" t="e">
        <f t="shared" si="44"/>
        <v>#REF!</v>
      </c>
      <c r="X84" s="1008">
        <f t="shared" si="45"/>
        <v>0</v>
      </c>
      <c r="AB84" s="847"/>
      <c r="AC84" s="847"/>
      <c r="AD84" s="847"/>
      <c r="AE84" s="847"/>
      <c r="AF84" s="847"/>
      <c r="AG84" s="847"/>
      <c r="AH84" s="847"/>
      <c r="AI84" s="847"/>
      <c r="AJ84" s="847"/>
      <c r="AK84" s="847"/>
      <c r="AL84" s="847"/>
      <c r="AM84" s="847"/>
      <c r="AN84" s="847"/>
      <c r="AO84" s="847"/>
      <c r="AP84" s="847"/>
      <c r="AQ84" s="847"/>
      <c r="AR84" s="847"/>
      <c r="AS84" s="847"/>
      <c r="AT84" s="847"/>
      <c r="AU84" s="847"/>
      <c r="AV84" s="847"/>
      <c r="AW84" s="847"/>
      <c r="AX84" s="847"/>
      <c r="AY84" s="847"/>
      <c r="AZ84" s="847"/>
      <c r="BA84" s="847"/>
      <c r="BB84" s="847"/>
      <c r="BC84" s="847"/>
      <c r="BD84" s="847"/>
      <c r="BE84" s="847"/>
      <c r="BF84" s="847"/>
      <c r="BG84" s="847"/>
      <c r="BH84" s="847"/>
      <c r="BI84" s="847"/>
      <c r="BJ84" s="847"/>
      <c r="BK84" s="847"/>
      <c r="BL84" s="847"/>
      <c r="BM84" s="847"/>
      <c r="BN84" s="847"/>
      <c r="BO84" s="847"/>
      <c r="BP84" s="847"/>
      <c r="BQ84" s="847"/>
      <c r="BR84" s="847"/>
      <c r="BS84" s="847"/>
      <c r="BT84" s="847"/>
      <c r="BU84" s="847"/>
      <c r="BW84" s="1009"/>
      <c r="BX84" s="847"/>
      <c r="BY84" s="847"/>
      <c r="BZ84" s="1010"/>
      <c r="CA84" s="1010"/>
      <c r="CB84" s="847"/>
      <c r="CC84" s="847"/>
      <c r="CD84" s="847"/>
      <c r="CE84" s="847"/>
      <c r="CY84" s="995"/>
    </row>
    <row r="85" spans="1:103" s="837" customFormat="1" ht="55.5" customHeight="1">
      <c r="A85" s="1004" t="str">
        <f t="shared" ref="A85:B90" si="46">A21</f>
        <v>1 (c)</v>
      </c>
      <c r="B85" s="1004" t="str">
        <f t="shared" si="46"/>
        <v>Battery Proper along with oven machines &amp; refractory (Package 2)</v>
      </c>
      <c r="C85" s="1011" t="e">
        <f t="shared" si="25"/>
        <v>#REF!</v>
      </c>
      <c r="D85" s="1005" t="e">
        <f t="shared" si="26"/>
        <v>#REF!</v>
      </c>
      <c r="E85" s="1005" t="e">
        <f t="shared" si="27"/>
        <v>#REF!</v>
      </c>
      <c r="F85" s="1005" t="e">
        <f t="shared" si="28"/>
        <v>#REF!</v>
      </c>
      <c r="G85" s="1005">
        <f t="shared" si="29"/>
        <v>50.514750000000006</v>
      </c>
      <c r="H85" s="1006">
        <f t="shared" si="30"/>
        <v>0</v>
      </c>
      <c r="I85" s="1005">
        <f t="shared" si="31"/>
        <v>78.089849999999998</v>
      </c>
      <c r="J85" s="1005">
        <f t="shared" si="32"/>
        <v>0</v>
      </c>
      <c r="K85" s="1005" t="e">
        <f t="shared" si="33"/>
        <v>#REF!</v>
      </c>
      <c r="L85" s="1005" t="e">
        <f t="shared" si="34"/>
        <v>#REF!</v>
      </c>
      <c r="M85" s="1005" t="e">
        <f t="shared" si="35"/>
        <v>#REF!</v>
      </c>
      <c r="N85" s="1005" t="e">
        <f t="shared" si="36"/>
        <v>#REF!</v>
      </c>
      <c r="O85" s="1005" t="e">
        <f t="shared" si="37"/>
        <v>#REF!</v>
      </c>
      <c r="P85" s="1005" t="e">
        <f t="shared" si="38"/>
        <v>#REF!</v>
      </c>
      <c r="Q85" s="1005" t="e">
        <f t="shared" si="39"/>
        <v>#REF!</v>
      </c>
      <c r="R85" s="1005"/>
      <c r="S85" s="1005" t="e">
        <f t="shared" si="40"/>
        <v>#REF!</v>
      </c>
      <c r="T85" s="1005" t="e">
        <f t="shared" si="41"/>
        <v>#REF!</v>
      </c>
      <c r="U85" s="1005" t="e">
        <f t="shared" si="42"/>
        <v>#REF!</v>
      </c>
      <c r="V85" s="1005" t="e">
        <f t="shared" si="43"/>
        <v>#REF!</v>
      </c>
      <c r="W85" s="1005" t="e">
        <f t="shared" si="44"/>
        <v>#REF!</v>
      </c>
      <c r="X85" s="1008" t="e">
        <f t="shared" si="45"/>
        <v>#REF!</v>
      </c>
      <c r="AB85" s="838"/>
      <c r="AC85" s="838"/>
      <c r="AD85" s="838"/>
      <c r="AE85" s="838"/>
      <c r="AF85" s="838"/>
      <c r="AG85" s="838"/>
      <c r="AH85" s="838"/>
      <c r="AI85" s="838"/>
      <c r="AJ85" s="838"/>
      <c r="AK85" s="838"/>
      <c r="AL85" s="838"/>
      <c r="AM85" s="838"/>
      <c r="AN85" s="838"/>
      <c r="AO85" s="838"/>
      <c r="AP85" s="838"/>
      <c r="AQ85" s="838"/>
      <c r="AR85" s="838"/>
      <c r="AS85" s="838"/>
      <c r="AT85" s="838"/>
      <c r="AU85" s="838"/>
      <c r="AV85" s="838"/>
      <c r="AW85" s="838"/>
      <c r="AX85" s="838"/>
      <c r="AY85" s="838"/>
      <c r="AZ85" s="838"/>
      <c r="BA85" s="838"/>
      <c r="BB85" s="838"/>
      <c r="BC85" s="838"/>
      <c r="BD85" s="838"/>
      <c r="BE85" s="838"/>
      <c r="BF85" s="838"/>
      <c r="BG85" s="838"/>
      <c r="BH85" s="838"/>
      <c r="BI85" s="838"/>
      <c r="BJ85" s="838"/>
      <c r="BK85" s="838"/>
      <c r="BL85" s="838"/>
      <c r="BM85" s="838"/>
      <c r="BN85" s="838"/>
      <c r="BO85" s="838"/>
      <c r="BP85" s="838"/>
      <c r="BQ85" s="838"/>
      <c r="BR85" s="838"/>
      <c r="BS85" s="838"/>
      <c r="BT85" s="838"/>
      <c r="BU85" s="838"/>
      <c r="BW85" s="1001"/>
      <c r="BX85" s="838"/>
      <c r="BY85" s="838"/>
      <c r="BZ85" s="983"/>
      <c r="CA85" s="983"/>
      <c r="CB85" s="838"/>
      <c r="CC85" s="838"/>
      <c r="CD85" s="838"/>
      <c r="CE85" s="838"/>
      <c r="CY85" s="989"/>
    </row>
    <row r="86" spans="1:103" s="837" customFormat="1" ht="56.25" customHeight="1">
      <c r="A86" s="1004" t="str">
        <f t="shared" si="46"/>
        <v>1 (d)</v>
      </c>
      <c r="B86" s="1004" t="str">
        <f t="shared" si="46"/>
        <v>Coke dry cooling plant including BPTG (Package 3)</v>
      </c>
      <c r="C86" s="1011" t="e">
        <f t="shared" si="25"/>
        <v>#REF!</v>
      </c>
      <c r="D86" s="1005" t="e">
        <f t="shared" si="26"/>
        <v>#REF!</v>
      </c>
      <c r="E86" s="1005">
        <f t="shared" si="27"/>
        <v>0.32</v>
      </c>
      <c r="F86" s="1005">
        <f t="shared" si="28"/>
        <v>0</v>
      </c>
      <c r="G86" s="1005" t="e">
        <f t="shared" si="29"/>
        <v>#REF!</v>
      </c>
      <c r="H86" s="1006">
        <f t="shared" si="30"/>
        <v>0</v>
      </c>
      <c r="I86" s="1005">
        <f t="shared" si="31"/>
        <v>0</v>
      </c>
      <c r="J86" s="1005">
        <f t="shared" si="32"/>
        <v>0</v>
      </c>
      <c r="K86" s="1005" t="e">
        <f t="shared" si="33"/>
        <v>#REF!</v>
      </c>
      <c r="L86" s="1005" t="e">
        <f t="shared" si="34"/>
        <v>#REF!</v>
      </c>
      <c r="M86" s="1005" t="e">
        <f t="shared" si="35"/>
        <v>#REF!</v>
      </c>
      <c r="N86" s="1005" t="e">
        <f t="shared" si="36"/>
        <v>#REF!</v>
      </c>
      <c r="O86" s="1005" t="e">
        <f t="shared" si="37"/>
        <v>#REF!</v>
      </c>
      <c r="P86" s="1005" t="e">
        <f t="shared" si="38"/>
        <v>#REF!</v>
      </c>
      <c r="Q86" s="1005" t="e">
        <f t="shared" si="39"/>
        <v>#REF!</v>
      </c>
      <c r="R86" s="1005"/>
      <c r="S86" s="1005" t="e">
        <f t="shared" si="40"/>
        <v>#REF!</v>
      </c>
      <c r="T86" s="1005" t="e">
        <f t="shared" si="41"/>
        <v>#REF!</v>
      </c>
      <c r="U86" s="1005" t="e">
        <f t="shared" si="42"/>
        <v>#REF!</v>
      </c>
      <c r="V86" s="1005" t="e">
        <f t="shared" si="43"/>
        <v>#REF!</v>
      </c>
      <c r="W86" s="1005" t="e">
        <f t="shared" si="44"/>
        <v>#REF!</v>
      </c>
      <c r="X86" s="1008" t="e">
        <f t="shared" si="45"/>
        <v>#REF!</v>
      </c>
      <c r="AB86" s="838"/>
      <c r="AC86" s="838"/>
      <c r="AD86" s="838"/>
      <c r="AE86" s="838"/>
      <c r="AF86" s="838"/>
      <c r="AG86" s="838"/>
      <c r="AH86" s="838"/>
      <c r="AI86" s="838"/>
      <c r="AJ86" s="838"/>
      <c r="AK86" s="838"/>
      <c r="AL86" s="838"/>
      <c r="AM86" s="838"/>
      <c r="AN86" s="838"/>
      <c r="AO86" s="838"/>
      <c r="AP86" s="838"/>
      <c r="AQ86" s="838"/>
      <c r="AR86" s="838"/>
      <c r="AS86" s="838"/>
      <c r="AT86" s="838"/>
      <c r="AU86" s="838"/>
      <c r="AV86" s="838"/>
      <c r="AW86" s="838"/>
      <c r="AX86" s="838"/>
      <c r="AY86" s="838"/>
      <c r="AZ86" s="838"/>
      <c r="BA86" s="838"/>
      <c r="BB86" s="838"/>
      <c r="BC86" s="838"/>
      <c r="BD86" s="838"/>
      <c r="BE86" s="838"/>
      <c r="BF86" s="838"/>
      <c r="BG86" s="838"/>
      <c r="BH86" s="838"/>
      <c r="BI86" s="838"/>
      <c r="BJ86" s="838"/>
      <c r="BK86" s="838"/>
      <c r="BL86" s="838"/>
      <c r="BM86" s="838"/>
      <c r="BN86" s="838"/>
      <c r="BO86" s="838"/>
      <c r="BP86" s="838"/>
      <c r="BQ86" s="838"/>
      <c r="BR86" s="838"/>
      <c r="BS86" s="838"/>
      <c r="BT86" s="838"/>
      <c r="BU86" s="838"/>
      <c r="BW86" s="1001"/>
      <c r="BX86" s="838"/>
      <c r="BY86" s="838"/>
      <c r="BZ86" s="983"/>
      <c r="CA86" s="983"/>
      <c r="CB86" s="838"/>
      <c r="CC86" s="838"/>
      <c r="CD86" s="838"/>
      <c r="CE86" s="838"/>
      <c r="CY86" s="989"/>
    </row>
    <row r="87" spans="1:103" s="837" customFormat="1" ht="56.25" customHeight="1">
      <c r="A87" s="1004" t="str">
        <f t="shared" si="46"/>
        <v>1 (e)</v>
      </c>
      <c r="B87" s="1004" t="str">
        <f t="shared" si="46"/>
        <v>By-product plant including BOD plant (Package 4)</v>
      </c>
      <c r="C87" s="1011" t="e">
        <f t="shared" si="25"/>
        <v>#REF!</v>
      </c>
      <c r="D87" s="1005" t="e">
        <f t="shared" si="26"/>
        <v>#REF!</v>
      </c>
      <c r="E87" s="1005">
        <f t="shared" si="27"/>
        <v>0</v>
      </c>
      <c r="F87" s="1005">
        <f t="shared" si="28"/>
        <v>0</v>
      </c>
      <c r="G87" s="1005">
        <f t="shared" si="29"/>
        <v>19.586666666666666</v>
      </c>
      <c r="H87" s="1006">
        <f t="shared" si="30"/>
        <v>0</v>
      </c>
      <c r="I87" s="1005">
        <f t="shared" si="31"/>
        <v>0</v>
      </c>
      <c r="J87" s="1005">
        <f t="shared" si="32"/>
        <v>0</v>
      </c>
      <c r="K87" s="1005" t="e">
        <f t="shared" si="33"/>
        <v>#REF!</v>
      </c>
      <c r="L87" s="1005" t="e">
        <f t="shared" si="34"/>
        <v>#REF!</v>
      </c>
      <c r="M87" s="1005" t="e">
        <f t="shared" si="35"/>
        <v>#REF!</v>
      </c>
      <c r="N87" s="1005" t="e">
        <f t="shared" si="36"/>
        <v>#REF!</v>
      </c>
      <c r="O87" s="1005" t="e">
        <f t="shared" si="37"/>
        <v>#REF!</v>
      </c>
      <c r="P87" s="1005" t="e">
        <f t="shared" si="38"/>
        <v>#REF!</v>
      </c>
      <c r="Q87" s="1005" t="e">
        <f t="shared" si="39"/>
        <v>#REF!</v>
      </c>
      <c r="R87" s="1005"/>
      <c r="S87" s="1005" t="e">
        <f t="shared" si="40"/>
        <v>#REF!</v>
      </c>
      <c r="T87" s="1005" t="e">
        <f t="shared" si="41"/>
        <v>#REF!</v>
      </c>
      <c r="U87" s="1005" t="e">
        <f t="shared" si="42"/>
        <v>#REF!</v>
      </c>
      <c r="V87" s="1005" t="e">
        <f t="shared" si="43"/>
        <v>#REF!</v>
      </c>
      <c r="W87" s="1005" t="e">
        <f t="shared" si="44"/>
        <v>#REF!</v>
      </c>
      <c r="X87" s="1008" t="e">
        <f t="shared" si="45"/>
        <v>#REF!</v>
      </c>
      <c r="AB87" s="838"/>
      <c r="AC87" s="838"/>
      <c r="AD87" s="838"/>
      <c r="AE87" s="838"/>
      <c r="AF87" s="838"/>
      <c r="AG87" s="838"/>
      <c r="AH87" s="838"/>
      <c r="AI87" s="838"/>
      <c r="AJ87" s="838"/>
      <c r="AK87" s="838"/>
      <c r="AL87" s="838"/>
      <c r="AM87" s="838"/>
      <c r="AN87" s="838"/>
      <c r="AO87" s="838"/>
      <c r="AP87" s="838"/>
      <c r="AQ87" s="838"/>
      <c r="AR87" s="838"/>
      <c r="AS87" s="838"/>
      <c r="AT87" s="838"/>
      <c r="AU87" s="838"/>
      <c r="AV87" s="838"/>
      <c r="AW87" s="838"/>
      <c r="AX87" s="838"/>
      <c r="AY87" s="838"/>
      <c r="AZ87" s="838"/>
      <c r="BA87" s="838"/>
      <c r="BB87" s="838"/>
      <c r="BC87" s="838"/>
      <c r="BD87" s="838"/>
      <c r="BE87" s="838"/>
      <c r="BF87" s="838"/>
      <c r="BG87" s="838"/>
      <c r="BH87" s="838"/>
      <c r="BI87" s="838"/>
      <c r="BJ87" s="838"/>
      <c r="BK87" s="838"/>
      <c r="BL87" s="838"/>
      <c r="BM87" s="838"/>
      <c r="BN87" s="838"/>
      <c r="BO87" s="838"/>
      <c r="BP87" s="838"/>
      <c r="BQ87" s="838"/>
      <c r="BR87" s="838"/>
      <c r="BS87" s="838"/>
      <c r="BT87" s="838"/>
      <c r="BU87" s="838"/>
      <c r="BW87" s="1001"/>
      <c r="BX87" s="838"/>
      <c r="BY87" s="838"/>
      <c r="BZ87" s="983"/>
      <c r="CA87" s="983"/>
      <c r="CB87" s="838"/>
      <c r="CC87" s="838"/>
      <c r="CD87" s="838"/>
      <c r="CE87" s="838"/>
      <c r="CY87" s="989"/>
    </row>
    <row r="88" spans="1:103" s="837" customFormat="1" ht="56.25" customHeight="1">
      <c r="A88" s="1004" t="str">
        <f t="shared" si="46"/>
        <v>1 (f)</v>
      </c>
      <c r="B88" s="1004" t="str">
        <f t="shared" si="46"/>
        <v>Water supply system (Package 5)</v>
      </c>
      <c r="C88" s="1011">
        <f t="shared" si="25"/>
        <v>43.983061224489795</v>
      </c>
      <c r="D88" s="1005">
        <f t="shared" si="26"/>
        <v>0</v>
      </c>
      <c r="E88" s="1005">
        <f t="shared" si="27"/>
        <v>0</v>
      </c>
      <c r="F88" s="1005">
        <f t="shared" si="28"/>
        <v>0</v>
      </c>
      <c r="G88" s="1005">
        <f t="shared" si="29"/>
        <v>4.7249999999999996</v>
      </c>
      <c r="H88" s="1006">
        <f t="shared" si="30"/>
        <v>0</v>
      </c>
      <c r="I88" s="1005">
        <f t="shared" si="31"/>
        <v>0</v>
      </c>
      <c r="J88" s="1005">
        <f t="shared" si="32"/>
        <v>0</v>
      </c>
      <c r="K88" s="1005" t="e">
        <f t="shared" si="33"/>
        <v>#REF!</v>
      </c>
      <c r="L88" s="1005">
        <f t="shared" si="34"/>
        <v>6.2229673469387752</v>
      </c>
      <c r="M88" s="1005" t="e">
        <f t="shared" si="35"/>
        <v>#REF!</v>
      </c>
      <c r="N88" s="1005" t="e">
        <f t="shared" si="36"/>
        <v>#REF!</v>
      </c>
      <c r="O88" s="1005">
        <f t="shared" si="37"/>
        <v>1.3049112244897958</v>
      </c>
      <c r="P88" s="1005">
        <f t="shared" si="38"/>
        <v>0</v>
      </c>
      <c r="Q88" s="1005" t="e">
        <f t="shared" si="39"/>
        <v>#REF!</v>
      </c>
      <c r="R88" s="1005"/>
      <c r="S88" s="1005">
        <f t="shared" si="40"/>
        <v>0</v>
      </c>
      <c r="T88" s="1005">
        <f t="shared" si="41"/>
        <v>0</v>
      </c>
      <c r="U88" s="1005" t="e">
        <f t="shared" si="42"/>
        <v>#REF!</v>
      </c>
      <c r="V88" s="1005" t="e">
        <f t="shared" si="43"/>
        <v>#REF!</v>
      </c>
      <c r="W88" s="1005" t="e">
        <f t="shared" si="44"/>
        <v>#REF!</v>
      </c>
      <c r="X88" s="1008" t="e">
        <f t="shared" si="45"/>
        <v>#REF!</v>
      </c>
      <c r="AB88" s="838"/>
      <c r="AC88" s="838"/>
      <c r="AD88" s="838"/>
      <c r="AE88" s="838"/>
      <c r="AF88" s="838"/>
      <c r="AG88" s="838"/>
      <c r="AH88" s="838"/>
      <c r="AI88" s="838"/>
      <c r="AJ88" s="838"/>
      <c r="AK88" s="838"/>
      <c r="AL88" s="838"/>
      <c r="AM88" s="838"/>
      <c r="AN88" s="838"/>
      <c r="AO88" s="838"/>
      <c r="AP88" s="838"/>
      <c r="AQ88" s="838"/>
      <c r="AR88" s="838"/>
      <c r="AS88" s="838"/>
      <c r="AT88" s="838"/>
      <c r="AU88" s="838"/>
      <c r="AV88" s="838"/>
      <c r="AW88" s="838"/>
      <c r="AX88" s="838"/>
      <c r="AY88" s="838"/>
      <c r="AZ88" s="838"/>
      <c r="BA88" s="838"/>
      <c r="BB88" s="838"/>
      <c r="BC88" s="838"/>
      <c r="BD88" s="838"/>
      <c r="BE88" s="838"/>
      <c r="BF88" s="838"/>
      <c r="BG88" s="838"/>
      <c r="BH88" s="838"/>
      <c r="BI88" s="838"/>
      <c r="BJ88" s="838"/>
      <c r="BK88" s="838"/>
      <c r="BL88" s="838"/>
      <c r="BM88" s="838"/>
      <c r="BN88" s="838"/>
      <c r="BO88" s="838"/>
      <c r="BP88" s="838"/>
      <c r="BQ88" s="838"/>
      <c r="BR88" s="838"/>
      <c r="BS88" s="838"/>
      <c r="BT88" s="838"/>
      <c r="BU88" s="838"/>
      <c r="BW88" s="1001"/>
      <c r="BX88" s="838"/>
      <c r="BY88" s="838"/>
      <c r="BZ88" s="983"/>
      <c r="CA88" s="983"/>
      <c r="CB88" s="838"/>
      <c r="CC88" s="838"/>
      <c r="CD88" s="838"/>
      <c r="CE88" s="838"/>
      <c r="CY88" s="989"/>
    </row>
    <row r="89" spans="1:103" s="837" customFormat="1" ht="56.25" customHeight="1">
      <c r="A89" s="1004" t="str">
        <f t="shared" si="46"/>
        <v>1 (g)</v>
      </c>
      <c r="B89" s="1004" t="str">
        <f t="shared" si="46"/>
        <v>Boiler and DM water Plant (Package 6)</v>
      </c>
      <c r="C89" s="1011">
        <f t="shared" si="25"/>
        <v>57.968810999429273</v>
      </c>
      <c r="D89" s="1005">
        <f t="shared" si="26"/>
        <v>0</v>
      </c>
      <c r="E89" s="1005">
        <f t="shared" si="27"/>
        <v>0</v>
      </c>
      <c r="F89" s="1005">
        <f t="shared" si="28"/>
        <v>0</v>
      </c>
      <c r="G89" s="1005">
        <f t="shared" si="29"/>
        <v>11.41</v>
      </c>
      <c r="H89" s="1006">
        <f t="shared" si="30"/>
        <v>0</v>
      </c>
      <c r="I89" s="1005">
        <f t="shared" si="31"/>
        <v>0</v>
      </c>
      <c r="J89" s="1005">
        <f t="shared" si="32"/>
        <v>0</v>
      </c>
      <c r="K89" s="1005" t="e">
        <f t="shared" si="33"/>
        <v>#REF!</v>
      </c>
      <c r="L89" s="1005">
        <f t="shared" si="34"/>
        <v>9.2382573199315132</v>
      </c>
      <c r="M89" s="1005" t="e">
        <f t="shared" si="35"/>
        <v>#REF!</v>
      </c>
      <c r="N89" s="1005" t="e">
        <f t="shared" si="36"/>
        <v>#REF!</v>
      </c>
      <c r="O89" s="1005">
        <f t="shared" si="37"/>
        <v>2.1862762199885855</v>
      </c>
      <c r="P89" s="1005">
        <f t="shared" si="38"/>
        <v>0</v>
      </c>
      <c r="Q89" s="1005" t="e">
        <f t="shared" si="39"/>
        <v>#REF!</v>
      </c>
      <c r="R89" s="1005"/>
      <c r="S89" s="1005">
        <f t="shared" si="40"/>
        <v>0</v>
      </c>
      <c r="T89" s="1005">
        <f t="shared" si="41"/>
        <v>0</v>
      </c>
      <c r="U89" s="1005" t="e">
        <f t="shared" si="42"/>
        <v>#REF!</v>
      </c>
      <c r="V89" s="1005" t="e">
        <f t="shared" si="43"/>
        <v>#REF!</v>
      </c>
      <c r="W89" s="1005" t="e">
        <f t="shared" si="44"/>
        <v>#REF!</v>
      </c>
      <c r="X89" s="1008" t="e">
        <f t="shared" si="45"/>
        <v>#REF!</v>
      </c>
      <c r="AB89" s="838"/>
      <c r="AC89" s="838"/>
      <c r="AD89" s="838"/>
      <c r="AE89" s="838"/>
      <c r="AF89" s="838"/>
      <c r="AG89" s="838"/>
      <c r="AH89" s="838"/>
      <c r="AI89" s="838"/>
      <c r="AJ89" s="838"/>
      <c r="AK89" s="838"/>
      <c r="AL89" s="838"/>
      <c r="AM89" s="838"/>
      <c r="AN89" s="838"/>
      <c r="AO89" s="838"/>
      <c r="AP89" s="838"/>
      <c r="AQ89" s="838"/>
      <c r="AR89" s="838"/>
      <c r="AS89" s="838"/>
      <c r="AT89" s="838"/>
      <c r="AU89" s="838"/>
      <c r="AV89" s="838"/>
      <c r="AW89" s="838"/>
      <c r="AX89" s="838"/>
      <c r="AY89" s="838"/>
      <c r="AZ89" s="838"/>
      <c r="BA89" s="838"/>
      <c r="BB89" s="838"/>
      <c r="BC89" s="838"/>
      <c r="BD89" s="838"/>
      <c r="BE89" s="838"/>
      <c r="BF89" s="838"/>
      <c r="BG89" s="838"/>
      <c r="BH89" s="838"/>
      <c r="BI89" s="838"/>
      <c r="BJ89" s="838"/>
      <c r="BK89" s="838"/>
      <c r="BL89" s="838"/>
      <c r="BM89" s="838"/>
      <c r="BN89" s="838"/>
      <c r="BO89" s="838"/>
      <c r="BP89" s="838"/>
      <c r="BQ89" s="838"/>
      <c r="BR89" s="838"/>
      <c r="BS89" s="838"/>
      <c r="BT89" s="838"/>
      <c r="BU89" s="838"/>
      <c r="BW89" s="1001"/>
      <c r="BX89" s="838"/>
      <c r="BY89" s="838"/>
      <c r="BZ89" s="983"/>
      <c r="CA89" s="983"/>
      <c r="CB89" s="838"/>
      <c r="CC89" s="838"/>
      <c r="CD89" s="838"/>
      <c r="CE89" s="838"/>
      <c r="CY89" s="989"/>
    </row>
    <row r="90" spans="1:103" s="837" customFormat="1" ht="93.75" customHeight="1">
      <c r="A90" s="1004" t="str">
        <f t="shared" si="46"/>
        <v>1 (h)</v>
      </c>
      <c r="B90" s="1004" t="str">
        <f t="shared" si="46"/>
        <v xml:space="preserve">Charges for engaging environmental Consultant, Fee for consent to establish and provision for compliance to EC conditions &amp; towards Enterprise Social Commitment </v>
      </c>
      <c r="C90" s="1011">
        <f t="shared" si="25"/>
        <v>0</v>
      </c>
      <c r="D90" s="1005">
        <f t="shared" si="26"/>
        <v>0</v>
      </c>
      <c r="E90" s="1005">
        <f t="shared" si="27"/>
        <v>0</v>
      </c>
      <c r="F90" s="1005">
        <f t="shared" si="28"/>
        <v>0</v>
      </c>
      <c r="G90" s="1005">
        <f t="shared" si="29"/>
        <v>0</v>
      </c>
      <c r="H90" s="1006">
        <f t="shared" si="30"/>
        <v>0</v>
      </c>
      <c r="I90" s="1005">
        <f t="shared" si="31"/>
        <v>0</v>
      </c>
      <c r="J90" s="1005">
        <f t="shared" si="32"/>
        <v>0</v>
      </c>
      <c r="K90" s="1005">
        <f t="shared" si="33"/>
        <v>0</v>
      </c>
      <c r="L90" s="1005">
        <f t="shared" si="34"/>
        <v>0</v>
      </c>
      <c r="M90" s="1005">
        <f t="shared" si="35"/>
        <v>0</v>
      </c>
      <c r="N90" s="1005">
        <f t="shared" si="36"/>
        <v>0</v>
      </c>
      <c r="O90" s="1005">
        <f t="shared" si="37"/>
        <v>0</v>
      </c>
      <c r="P90" s="1005">
        <f t="shared" si="38"/>
        <v>0</v>
      </c>
      <c r="Q90" s="1005" t="e">
        <f t="shared" si="39"/>
        <v>#REF!</v>
      </c>
      <c r="R90" s="1005"/>
      <c r="S90" s="1005" t="e">
        <f t="shared" si="40"/>
        <v>#REF!</v>
      </c>
      <c r="T90" s="1005">
        <f t="shared" si="41"/>
        <v>0</v>
      </c>
      <c r="U90" s="1005" t="e">
        <f t="shared" si="42"/>
        <v>#REF!</v>
      </c>
      <c r="V90" s="1005">
        <f t="shared" si="43"/>
        <v>0</v>
      </c>
      <c r="W90" s="1005" t="e">
        <f t="shared" si="44"/>
        <v>#REF!</v>
      </c>
      <c r="X90" s="1008">
        <f t="shared" si="45"/>
        <v>0</v>
      </c>
      <c r="AB90" s="838"/>
      <c r="AC90" s="838"/>
      <c r="AD90" s="838"/>
      <c r="AE90" s="838"/>
      <c r="AF90" s="838"/>
      <c r="AG90" s="838"/>
      <c r="AH90" s="838"/>
      <c r="AI90" s="838"/>
      <c r="AJ90" s="838"/>
      <c r="AK90" s="838"/>
      <c r="AL90" s="838"/>
      <c r="AM90" s="838"/>
      <c r="AN90" s="838"/>
      <c r="AO90" s="838"/>
      <c r="AP90" s="838"/>
      <c r="AQ90" s="838"/>
      <c r="AR90" s="838"/>
      <c r="AS90" s="838"/>
      <c r="AT90" s="838"/>
      <c r="AU90" s="838"/>
      <c r="AV90" s="838"/>
      <c r="AW90" s="838"/>
      <c r="AX90" s="838"/>
      <c r="AY90" s="838"/>
      <c r="AZ90" s="838"/>
      <c r="BA90" s="838"/>
      <c r="BB90" s="838"/>
      <c r="BC90" s="838"/>
      <c r="BD90" s="838"/>
      <c r="BE90" s="838"/>
      <c r="BF90" s="838"/>
      <c r="BG90" s="838"/>
      <c r="BH90" s="838"/>
      <c r="BI90" s="838"/>
      <c r="BJ90" s="838"/>
      <c r="BK90" s="838"/>
      <c r="BL90" s="838"/>
      <c r="BM90" s="838"/>
      <c r="BN90" s="838"/>
      <c r="BO90" s="838"/>
      <c r="BP90" s="838"/>
      <c r="BQ90" s="838"/>
      <c r="BR90" s="838"/>
      <c r="BS90" s="838"/>
      <c r="BT90" s="838"/>
      <c r="BU90" s="838"/>
      <c r="BW90" s="1001"/>
      <c r="BX90" s="838"/>
      <c r="BY90" s="838"/>
      <c r="BZ90" s="983"/>
      <c r="CA90" s="983"/>
      <c r="CB90" s="838"/>
      <c r="CC90" s="838"/>
      <c r="CD90" s="838"/>
      <c r="CE90" s="838"/>
      <c r="CY90" s="989"/>
    </row>
    <row r="91" spans="1:103" s="837" customFormat="1" ht="24" customHeight="1">
      <c r="A91" s="1012">
        <f>A27</f>
        <v>1</v>
      </c>
      <c r="B91" s="1013" t="str">
        <f>B27</f>
        <v>Total Plant cost</v>
      </c>
      <c r="C91" s="1005"/>
      <c r="D91" s="1005"/>
      <c r="E91" s="1005"/>
      <c r="F91" s="1005"/>
      <c r="G91" s="1005"/>
      <c r="H91" s="1006"/>
      <c r="I91" s="1005"/>
      <c r="J91" s="1005"/>
      <c r="K91" s="1005"/>
      <c r="L91" s="1005"/>
      <c r="M91" s="1005"/>
      <c r="N91" s="1005"/>
      <c r="O91" s="1005"/>
      <c r="P91" s="1005"/>
      <c r="Q91" s="1005"/>
      <c r="R91" s="1005"/>
      <c r="S91" s="1005"/>
      <c r="T91" s="1005"/>
      <c r="U91" s="1005"/>
      <c r="V91" s="1005"/>
      <c r="W91" s="1014" t="e">
        <f>SUM(W83:W90)</f>
        <v>#REF!</v>
      </c>
      <c r="X91" s="1008"/>
      <c r="AB91" s="838"/>
      <c r="AC91" s="838"/>
      <c r="AD91" s="838"/>
      <c r="AE91" s="838"/>
      <c r="AF91" s="838"/>
      <c r="AG91" s="838"/>
      <c r="AH91" s="838"/>
      <c r="AI91" s="838"/>
      <c r="AJ91" s="838"/>
      <c r="AK91" s="838"/>
      <c r="AL91" s="838"/>
      <c r="AM91" s="838"/>
      <c r="AN91" s="838"/>
      <c r="AO91" s="838"/>
      <c r="AP91" s="838"/>
      <c r="AQ91" s="838"/>
      <c r="AR91" s="838"/>
      <c r="AS91" s="838"/>
      <c r="AT91" s="838"/>
      <c r="AU91" s="838"/>
      <c r="AV91" s="838"/>
      <c r="AW91" s="838"/>
      <c r="AX91" s="838"/>
      <c r="AY91" s="838"/>
      <c r="AZ91" s="838"/>
      <c r="BA91" s="838"/>
      <c r="BB91" s="838"/>
      <c r="BC91" s="838"/>
      <c r="BD91" s="838"/>
      <c r="BE91" s="838"/>
      <c r="BF91" s="838"/>
      <c r="BG91" s="838"/>
      <c r="BH91" s="838"/>
      <c r="BI91" s="838"/>
      <c r="BJ91" s="838"/>
      <c r="BK91" s="838"/>
      <c r="BL91" s="838"/>
      <c r="BM91" s="838"/>
      <c r="BN91" s="838"/>
      <c r="BO91" s="838"/>
      <c r="BP91" s="838"/>
      <c r="BQ91" s="838"/>
      <c r="BR91" s="838"/>
      <c r="BS91" s="838"/>
      <c r="BT91" s="838"/>
      <c r="BU91" s="838"/>
      <c r="BW91" s="1001"/>
      <c r="BX91" s="838"/>
      <c r="BY91" s="838"/>
      <c r="BZ91" s="983"/>
      <c r="CA91" s="983"/>
      <c r="CB91" s="838"/>
      <c r="CC91" s="838"/>
      <c r="CD91" s="838"/>
      <c r="CE91" s="838"/>
      <c r="CY91" s="989"/>
    </row>
    <row r="92" spans="1:103" s="837" customFormat="1" ht="25.5" customHeight="1">
      <c r="A92" s="1012">
        <v>2</v>
      </c>
      <c r="B92" s="1015" t="str">
        <f>+B28</f>
        <v>IDC</v>
      </c>
      <c r="C92" s="1016"/>
      <c r="D92" s="1016"/>
      <c r="E92" s="1016"/>
      <c r="F92" s="1016"/>
      <c r="G92" s="1016"/>
      <c r="H92" s="1016"/>
      <c r="I92" s="1016"/>
      <c r="J92" s="1016"/>
      <c r="K92" s="1016"/>
      <c r="L92" s="1016"/>
      <c r="M92" s="1016"/>
      <c r="N92" s="1016"/>
      <c r="O92" s="1016"/>
      <c r="P92" s="1016"/>
      <c r="Q92" s="1016"/>
      <c r="R92" s="1016"/>
      <c r="S92" s="1016"/>
      <c r="T92" s="1016"/>
      <c r="U92" s="1016"/>
      <c r="V92" s="1016"/>
      <c r="W92" s="1016" t="e">
        <f>+AU28</f>
        <v>#REF!</v>
      </c>
      <c r="X92" s="1017"/>
      <c r="Z92" s="838"/>
      <c r="AA92" s="838"/>
      <c r="AB92" s="838"/>
      <c r="AC92" s="838"/>
      <c r="AD92" s="838"/>
      <c r="AE92" s="838"/>
      <c r="AF92" s="838"/>
      <c r="AG92" s="838"/>
      <c r="AH92" s="838"/>
      <c r="AI92" s="838"/>
      <c r="AJ92" s="838"/>
      <c r="AK92" s="838"/>
      <c r="AL92" s="838"/>
      <c r="AM92" s="838"/>
      <c r="AN92" s="838"/>
      <c r="AO92" s="838"/>
      <c r="AP92" s="838"/>
      <c r="AQ92" s="838"/>
      <c r="AR92" s="838"/>
      <c r="AS92" s="838"/>
      <c r="AT92" s="838"/>
      <c r="AU92" s="838"/>
      <c r="AV92" s="838"/>
      <c r="AW92" s="838"/>
      <c r="AX92" s="838"/>
      <c r="AY92" s="838"/>
      <c r="AZ92" s="838"/>
      <c r="BA92" s="838"/>
      <c r="BB92" s="838"/>
      <c r="BC92" s="838"/>
      <c r="BD92" s="838"/>
      <c r="BE92" s="838"/>
      <c r="BF92" s="838"/>
      <c r="BG92" s="838"/>
      <c r="BH92" s="838"/>
      <c r="BI92" s="838"/>
      <c r="BJ92" s="838"/>
      <c r="BK92" s="838"/>
      <c r="BL92" s="838"/>
      <c r="BM92" s="838"/>
      <c r="BN92" s="838"/>
      <c r="BO92" s="838"/>
      <c r="BP92" s="838"/>
      <c r="BQ92" s="838"/>
      <c r="BR92" s="838"/>
      <c r="BS92" s="838"/>
      <c r="BT92" s="838"/>
      <c r="BU92" s="838"/>
      <c r="BW92" s="1001"/>
      <c r="BX92" s="838"/>
      <c r="BY92" s="838"/>
      <c r="BZ92" s="983"/>
      <c r="CA92" s="983"/>
      <c r="CB92" s="838"/>
      <c r="CC92" s="838"/>
      <c r="CD92" s="838"/>
      <c r="CE92" s="838"/>
    </row>
    <row r="93" spans="1:103" s="837" customFormat="1" ht="33" customHeight="1">
      <c r="A93" s="1012">
        <v>3</v>
      </c>
      <c r="B93" s="1018" t="str">
        <f>B29</f>
        <v xml:space="preserve">CAPITAL COST </v>
      </c>
      <c r="C93" s="1019"/>
      <c r="D93" s="1019"/>
      <c r="E93" s="1019"/>
      <c r="F93" s="1019"/>
      <c r="G93" s="1019"/>
      <c r="H93" s="1019"/>
      <c r="I93" s="1019"/>
      <c r="J93" s="1019"/>
      <c r="K93" s="1019"/>
      <c r="L93" s="1019"/>
      <c r="M93" s="1019"/>
      <c r="N93" s="1019"/>
      <c r="O93" s="1019"/>
      <c r="P93" s="1019"/>
      <c r="Q93" s="1019"/>
      <c r="R93" s="1019"/>
      <c r="S93" s="1019"/>
      <c r="T93" s="1019"/>
      <c r="U93" s="1019"/>
      <c r="V93" s="1019"/>
      <c r="W93" s="1020" t="e">
        <f>SUM(W91:W92)</f>
        <v>#REF!</v>
      </c>
      <c r="X93" s="1021" t="e">
        <f>SUM(X83:X92)</f>
        <v>#REF!</v>
      </c>
      <c r="Z93" s="838"/>
      <c r="AA93" s="838"/>
      <c r="AB93" s="838"/>
      <c r="AC93" s="838"/>
      <c r="AD93" s="838"/>
      <c r="AE93" s="838"/>
      <c r="AF93" s="838"/>
      <c r="AG93" s="838"/>
      <c r="AH93" s="838"/>
      <c r="AI93" s="838"/>
      <c r="AJ93" s="838"/>
      <c r="AK93" s="838"/>
      <c r="AL93" s="838"/>
      <c r="AM93" s="838"/>
      <c r="AN93" s="838"/>
      <c r="AO93" s="838"/>
      <c r="AP93" s="838"/>
      <c r="AQ93" s="838"/>
      <c r="AR93" s="838"/>
      <c r="AS93" s="838"/>
      <c r="AT93" s="838"/>
      <c r="AU93" s="838"/>
      <c r="AV93" s="838"/>
      <c r="AW93" s="838"/>
      <c r="AX93" s="838"/>
      <c r="AY93" s="838"/>
      <c r="AZ93" s="838"/>
      <c r="BA93" s="838"/>
      <c r="BB93" s="838"/>
      <c r="BC93" s="838"/>
      <c r="BD93" s="838"/>
      <c r="BE93" s="838"/>
      <c r="BF93" s="838"/>
      <c r="BG93" s="838"/>
      <c r="BH93" s="838"/>
      <c r="BI93" s="838"/>
      <c r="BJ93" s="838"/>
      <c r="BK93" s="838"/>
      <c r="BL93" s="838"/>
      <c r="BM93" s="838"/>
      <c r="BN93" s="838"/>
      <c r="BO93" s="838"/>
      <c r="BP93" s="838"/>
      <c r="BQ93" s="838"/>
      <c r="BR93" s="838"/>
      <c r="BS93" s="838"/>
      <c r="BT93" s="838"/>
      <c r="BU93" s="838"/>
      <c r="BW93" s="1001"/>
      <c r="BX93" s="838"/>
      <c r="BY93" s="838"/>
      <c r="BZ93" s="983"/>
      <c r="CA93" s="983"/>
      <c r="CB93" s="838"/>
      <c r="CC93" s="838"/>
      <c r="CD93" s="838"/>
      <c r="CE93" s="838"/>
    </row>
    <row r="94" spans="1:103" s="837" customFormat="1" ht="22.8">
      <c r="A94" s="1012">
        <v>4</v>
      </c>
      <c r="B94" s="964" t="str">
        <f>B30</f>
        <v xml:space="preserve">Input tax credit (ITC) on GST </v>
      </c>
      <c r="C94" s="1016"/>
      <c r="D94" s="1016"/>
      <c r="E94" s="1016"/>
      <c r="F94" s="1016"/>
      <c r="G94" s="1016"/>
      <c r="H94" s="1016"/>
      <c r="I94" s="1016"/>
      <c r="J94" s="1016"/>
      <c r="K94" s="1016"/>
      <c r="L94" s="1016"/>
      <c r="M94" s="1016"/>
      <c r="N94" s="1016"/>
      <c r="O94" s="1016"/>
      <c r="P94" s="1016"/>
      <c r="Q94" s="1016"/>
      <c r="R94" s="1016"/>
      <c r="S94" s="1016"/>
      <c r="T94" s="1016"/>
      <c r="U94" s="1016"/>
      <c r="V94" s="1016"/>
      <c r="W94" s="1016" t="e">
        <f>+AU30</f>
        <v>#REF!</v>
      </c>
      <c r="X94" s="1017"/>
      <c r="Z94" s="838"/>
      <c r="AA94" s="838"/>
      <c r="AB94" s="838"/>
      <c r="AC94" s="838"/>
      <c r="AD94" s="838"/>
      <c r="AE94" s="838"/>
      <c r="AF94" s="838"/>
      <c r="AG94" s="838"/>
      <c r="AH94" s="838"/>
      <c r="AI94" s="838"/>
      <c r="AJ94" s="838"/>
      <c r="AK94" s="838"/>
      <c r="AL94" s="838"/>
      <c r="AM94" s="838"/>
      <c r="AN94" s="838"/>
      <c r="AO94" s="838"/>
      <c r="AP94" s="838"/>
      <c r="AQ94" s="838"/>
      <c r="AR94" s="838"/>
      <c r="AS94" s="838"/>
      <c r="AT94" s="838"/>
      <c r="AU94" s="838"/>
      <c r="AV94" s="838"/>
      <c r="AW94" s="838"/>
      <c r="AX94" s="838"/>
      <c r="AY94" s="838"/>
      <c r="AZ94" s="838"/>
      <c r="BA94" s="838"/>
      <c r="BB94" s="838"/>
      <c r="BC94" s="838"/>
      <c r="BD94" s="838"/>
      <c r="BE94" s="838"/>
      <c r="BF94" s="838"/>
      <c r="BG94" s="838"/>
      <c r="BH94" s="838"/>
      <c r="BI94" s="838"/>
      <c r="BJ94" s="838"/>
      <c r="BK94" s="838"/>
      <c r="BL94" s="838"/>
      <c r="BM94" s="838"/>
      <c r="BN94" s="838"/>
      <c r="BO94" s="838"/>
      <c r="BP94" s="838"/>
      <c r="BQ94" s="838"/>
      <c r="BR94" s="838"/>
      <c r="BS94" s="838"/>
      <c r="BT94" s="838"/>
      <c r="BU94" s="838"/>
      <c r="BW94" s="838"/>
      <c r="BX94" s="838"/>
      <c r="BY94" s="838"/>
      <c r="BZ94" s="983"/>
      <c r="CA94" s="838"/>
      <c r="CB94" s="838"/>
      <c r="CC94" s="839"/>
      <c r="CD94" s="838"/>
      <c r="CE94" s="838"/>
    </row>
    <row r="95" spans="1:103" s="837" customFormat="1" ht="34.5" customHeight="1" thickBot="1">
      <c r="A95" s="1012">
        <v>5</v>
      </c>
      <c r="B95" s="1022" t="str">
        <f>B31</f>
        <v>Capital Cost net of ITC on GST</v>
      </c>
      <c r="C95" s="1019"/>
      <c r="D95" s="1019"/>
      <c r="E95" s="1019"/>
      <c r="F95" s="1019"/>
      <c r="G95" s="1019"/>
      <c r="H95" s="1019"/>
      <c r="I95" s="1019"/>
      <c r="J95" s="1019"/>
      <c r="K95" s="1019"/>
      <c r="L95" s="1019"/>
      <c r="M95" s="1019"/>
      <c r="N95" s="1019"/>
      <c r="O95" s="1019"/>
      <c r="P95" s="1019"/>
      <c r="Q95" s="1019"/>
      <c r="R95" s="1019"/>
      <c r="S95" s="1019"/>
      <c r="T95" s="1019"/>
      <c r="U95" s="1019"/>
      <c r="V95" s="1019"/>
      <c r="W95" s="1020" t="e">
        <f>W93-W94</f>
        <v>#REF!</v>
      </c>
      <c r="X95" s="1021" t="e">
        <f>X93-X94</f>
        <v>#REF!</v>
      </c>
      <c r="Z95" s="838"/>
      <c r="AA95" s="838"/>
      <c r="AB95" s="838"/>
      <c r="AC95" s="838"/>
      <c r="AD95" s="838"/>
      <c r="AE95" s="838"/>
      <c r="AF95" s="838"/>
      <c r="AG95" s="838"/>
      <c r="AH95" s="838"/>
      <c r="AI95" s="838"/>
      <c r="AJ95" s="838"/>
      <c r="AK95" s="838"/>
      <c r="AL95" s="838"/>
      <c r="AM95" s="838"/>
      <c r="AN95" s="838"/>
      <c r="AO95" s="838"/>
      <c r="AP95" s="838"/>
      <c r="AQ95" s="838"/>
      <c r="AR95" s="838"/>
      <c r="AS95" s="838"/>
      <c r="AT95" s="838"/>
      <c r="AU95" s="838"/>
      <c r="AV95" s="838"/>
      <c r="AW95" s="838"/>
      <c r="AX95" s="838"/>
      <c r="AY95" s="838"/>
      <c r="AZ95" s="838"/>
      <c r="BA95" s="838"/>
      <c r="BB95" s="838"/>
      <c r="BC95" s="838"/>
      <c r="BD95" s="838"/>
      <c r="BE95" s="838"/>
      <c r="BF95" s="838"/>
      <c r="BG95" s="838"/>
      <c r="BH95" s="838"/>
      <c r="BI95" s="838"/>
      <c r="BJ95" s="838"/>
      <c r="BK95" s="838"/>
      <c r="BL95" s="838"/>
      <c r="BM95" s="838"/>
      <c r="BN95" s="838"/>
      <c r="BO95" s="838"/>
      <c r="BP95" s="838"/>
      <c r="BQ95" s="838"/>
      <c r="BR95" s="838"/>
      <c r="BS95" s="838"/>
      <c r="BT95" s="838"/>
      <c r="BU95" s="838"/>
      <c r="BW95" s="838"/>
      <c r="BX95" s="838"/>
      <c r="BY95" s="838"/>
      <c r="BZ95" s="983"/>
      <c r="CA95" s="838"/>
      <c r="CB95" s="838"/>
      <c r="CC95" s="838"/>
      <c r="CD95" s="838"/>
      <c r="CE95" s="838"/>
    </row>
    <row r="96" spans="1:103" s="837" customFormat="1">
      <c r="R96" s="838"/>
      <c r="S96" s="838"/>
      <c r="T96" s="838"/>
      <c r="U96" s="838"/>
      <c r="V96" s="838"/>
      <c r="W96" s="838"/>
      <c r="X96" s="838"/>
      <c r="Y96" s="838"/>
      <c r="Z96" s="838"/>
      <c r="AA96" s="838"/>
      <c r="AB96" s="838"/>
      <c r="AC96" s="838"/>
      <c r="AD96" s="838"/>
      <c r="AE96" s="838"/>
      <c r="AF96" s="838"/>
      <c r="AG96" s="838"/>
      <c r="AH96" s="838"/>
      <c r="AI96" s="838"/>
      <c r="AJ96" s="838"/>
      <c r="AK96" s="838"/>
      <c r="AL96" s="838"/>
      <c r="AM96" s="838"/>
      <c r="AN96" s="838"/>
      <c r="AO96" s="838"/>
      <c r="AP96" s="838"/>
      <c r="AQ96" s="838"/>
      <c r="AR96" s="838"/>
      <c r="AS96" s="838"/>
      <c r="AT96" s="838"/>
      <c r="AU96" s="838"/>
      <c r="AV96" s="838"/>
      <c r="AW96" s="838"/>
      <c r="AX96" s="838"/>
      <c r="AY96" s="838"/>
      <c r="AZ96" s="838"/>
      <c r="BA96" s="838"/>
      <c r="BB96" s="838"/>
      <c r="BC96" s="838"/>
      <c r="BD96" s="838"/>
      <c r="BE96" s="838"/>
      <c r="BF96" s="838"/>
      <c r="BG96" s="838"/>
      <c r="BH96" s="838"/>
      <c r="BI96" s="838"/>
      <c r="BJ96" s="838"/>
      <c r="BK96" s="838"/>
      <c r="BL96" s="838"/>
      <c r="BM96" s="838"/>
      <c r="BN96" s="838"/>
      <c r="BO96" s="838"/>
      <c r="BP96" s="838"/>
      <c r="BQ96" s="838"/>
      <c r="BR96" s="838"/>
      <c r="BS96" s="838"/>
      <c r="BT96" s="838"/>
      <c r="BU96" s="838"/>
      <c r="BW96" s="838"/>
      <c r="BX96" s="838"/>
      <c r="BY96" s="838"/>
      <c r="BZ96" s="983"/>
      <c r="CA96" s="838"/>
      <c r="CB96" s="838"/>
      <c r="CC96" s="838"/>
      <c r="CD96" s="838"/>
      <c r="CE96" s="838"/>
    </row>
    <row r="97" spans="1:83" s="837" customFormat="1">
      <c r="R97" s="838"/>
      <c r="S97" s="838"/>
      <c r="T97" s="838"/>
      <c r="U97" s="838"/>
      <c r="V97" s="838"/>
      <c r="W97" s="838"/>
      <c r="X97" s="838"/>
      <c r="Y97" s="838"/>
      <c r="Z97" s="838"/>
      <c r="AA97" s="838"/>
      <c r="AB97" s="838"/>
      <c r="AC97" s="838"/>
      <c r="AD97" s="838"/>
      <c r="AE97" s="838"/>
      <c r="AF97" s="838"/>
      <c r="AG97" s="838"/>
      <c r="AH97" s="838"/>
      <c r="AI97" s="838"/>
      <c r="AJ97" s="838"/>
      <c r="AK97" s="838"/>
      <c r="AL97" s="838"/>
      <c r="AM97" s="838"/>
      <c r="AN97" s="838"/>
      <c r="AO97" s="838"/>
      <c r="AP97" s="838"/>
      <c r="AQ97" s="838"/>
      <c r="AR97" s="838"/>
      <c r="AS97" s="838"/>
      <c r="AT97" s="838"/>
      <c r="AU97" s="838"/>
      <c r="AV97" s="838"/>
      <c r="AW97" s="838"/>
      <c r="AX97" s="838"/>
      <c r="AY97" s="838"/>
      <c r="AZ97" s="838"/>
      <c r="BA97" s="838"/>
      <c r="BB97" s="838"/>
      <c r="BC97" s="838"/>
      <c r="BD97" s="838"/>
      <c r="BE97" s="838"/>
      <c r="BF97" s="838"/>
      <c r="BG97" s="838"/>
      <c r="BH97" s="838"/>
      <c r="BI97" s="838"/>
      <c r="BJ97" s="838"/>
      <c r="BK97" s="838"/>
      <c r="BL97" s="838"/>
      <c r="BM97" s="838"/>
      <c r="BN97" s="838"/>
      <c r="BO97" s="838"/>
      <c r="BP97" s="838"/>
      <c r="BQ97" s="838"/>
      <c r="BR97" s="838"/>
      <c r="BS97" s="838"/>
      <c r="BT97" s="838"/>
      <c r="BU97" s="838"/>
      <c r="BW97" s="838"/>
      <c r="BX97" s="838"/>
      <c r="BY97" s="838"/>
      <c r="BZ97" s="983"/>
      <c r="CA97" s="838"/>
      <c r="CB97" s="838"/>
      <c r="CC97" s="838"/>
      <c r="CD97" s="838"/>
      <c r="CE97" s="838"/>
    </row>
    <row r="98" spans="1:83" s="837" customFormat="1">
      <c r="R98" s="838"/>
      <c r="S98" s="838"/>
      <c r="T98" s="838"/>
      <c r="U98" s="838"/>
      <c r="V98" s="838"/>
      <c r="W98" s="838"/>
      <c r="X98" s="838"/>
      <c r="Y98" s="838"/>
      <c r="Z98" s="838"/>
      <c r="AA98" s="838"/>
      <c r="AB98" s="838"/>
      <c r="AC98" s="838"/>
      <c r="AD98" s="838"/>
      <c r="AE98" s="838"/>
      <c r="AF98" s="838"/>
      <c r="AG98" s="838"/>
      <c r="AH98" s="838"/>
      <c r="AI98" s="838"/>
      <c r="AJ98" s="838"/>
      <c r="AK98" s="838"/>
      <c r="AL98" s="838"/>
      <c r="AM98" s="838"/>
      <c r="AN98" s="838"/>
      <c r="AO98" s="838"/>
      <c r="AP98" s="838"/>
      <c r="AQ98" s="838"/>
      <c r="AR98" s="838"/>
      <c r="AS98" s="838"/>
      <c r="AT98" s="838"/>
      <c r="AU98" s="838"/>
      <c r="AV98" s="838"/>
      <c r="AW98" s="838"/>
      <c r="AX98" s="838"/>
      <c r="AY98" s="838"/>
      <c r="AZ98" s="838"/>
      <c r="BA98" s="838"/>
      <c r="BB98" s="838"/>
      <c r="BC98" s="838"/>
      <c r="BD98" s="838"/>
      <c r="BE98" s="838"/>
      <c r="BF98" s="838"/>
      <c r="BG98" s="838"/>
      <c r="BH98" s="838"/>
      <c r="BI98" s="838"/>
      <c r="BJ98" s="838"/>
      <c r="BK98" s="838"/>
      <c r="BL98" s="838"/>
      <c r="BM98" s="838"/>
      <c r="BN98" s="838"/>
      <c r="BO98" s="838"/>
      <c r="BP98" s="838"/>
      <c r="BQ98" s="838"/>
      <c r="BR98" s="838"/>
      <c r="BS98" s="838"/>
      <c r="BT98" s="838"/>
      <c r="BU98" s="838"/>
      <c r="BW98" s="838"/>
      <c r="BX98" s="838"/>
      <c r="BY98" s="838"/>
      <c r="BZ98" s="983"/>
      <c r="CA98" s="838"/>
      <c r="CB98" s="838"/>
      <c r="CC98" s="838"/>
      <c r="CD98" s="838"/>
      <c r="CE98" s="838"/>
    </row>
    <row r="99" spans="1:83" s="837" customFormat="1">
      <c r="D99" s="983"/>
    </row>
    <row r="100" spans="1:83" s="870" customFormat="1" ht="15.6">
      <c r="A100" s="837"/>
      <c r="B100" s="837"/>
      <c r="C100" s="1023"/>
      <c r="D100" s="837"/>
      <c r="E100" s="837"/>
      <c r="F100" s="837"/>
      <c r="G100" s="837"/>
      <c r="H100" s="837"/>
      <c r="I100" s="837"/>
      <c r="J100" s="837"/>
      <c r="K100" s="837"/>
      <c r="L100" s="837"/>
      <c r="M100" s="837"/>
      <c r="N100" s="837"/>
      <c r="O100" s="837"/>
      <c r="P100" s="837"/>
      <c r="Q100" s="837"/>
      <c r="R100" s="837"/>
      <c r="S100" s="837"/>
      <c r="T100" s="837"/>
      <c r="U100" s="837"/>
      <c r="V100" s="837"/>
      <c r="W100" s="837"/>
      <c r="X100" s="837"/>
      <c r="Y100" s="837"/>
      <c r="Z100" s="837"/>
      <c r="AA100" s="837"/>
      <c r="AB100" s="837"/>
      <c r="AC100" s="837"/>
      <c r="AD100" s="837"/>
      <c r="AE100" s="837"/>
      <c r="AF100" s="866"/>
    </row>
    <row r="101" spans="1:83">
      <c r="A101" s="837"/>
      <c r="B101" s="837"/>
      <c r="C101" s="983"/>
      <c r="D101" s="837"/>
      <c r="E101" s="837"/>
      <c r="F101" s="837"/>
      <c r="G101" s="837"/>
      <c r="H101" s="837"/>
      <c r="I101" s="837"/>
      <c r="J101" s="837"/>
      <c r="K101" s="837"/>
      <c r="L101" s="837"/>
      <c r="M101" s="837"/>
      <c r="N101" s="837"/>
      <c r="O101" s="837"/>
      <c r="P101" s="837"/>
      <c r="Q101" s="837"/>
      <c r="R101" s="837"/>
      <c r="S101" s="837"/>
      <c r="T101" s="837"/>
      <c r="U101" s="837"/>
      <c r="V101" s="837"/>
      <c r="W101" s="837"/>
      <c r="X101" s="837"/>
      <c r="Y101" s="837"/>
      <c r="Z101" s="837"/>
      <c r="AA101" s="837"/>
      <c r="AB101" s="837"/>
      <c r="AC101" s="837"/>
      <c r="AD101" s="837"/>
      <c r="AE101" s="837"/>
      <c r="AF101" s="894"/>
    </row>
    <row r="102" spans="1:83" ht="15.75" customHeight="1">
      <c r="A102" s="1744" t="s">
        <v>828</v>
      </c>
      <c r="B102" s="1744"/>
      <c r="C102" s="1744"/>
      <c r="D102" s="1744"/>
      <c r="E102" s="1744"/>
      <c r="F102" s="837"/>
      <c r="G102" s="837"/>
      <c r="H102" s="837"/>
      <c r="I102" s="837"/>
      <c r="J102" s="837"/>
      <c r="K102" s="837"/>
      <c r="L102" s="837"/>
      <c r="M102" s="837"/>
      <c r="N102" s="837"/>
      <c r="O102" s="837"/>
      <c r="P102" s="837"/>
      <c r="Q102" s="837"/>
      <c r="R102" s="837"/>
      <c r="S102" s="837"/>
      <c r="T102" s="837"/>
      <c r="U102" s="837"/>
      <c r="V102" s="837"/>
      <c r="W102" s="837"/>
      <c r="X102" s="837"/>
      <c r="Y102" s="837"/>
      <c r="Z102" s="837"/>
      <c r="AA102" s="837"/>
      <c r="AB102" s="837"/>
      <c r="AC102" s="837"/>
      <c r="AD102" s="837"/>
      <c r="AE102" s="837"/>
      <c r="AF102" s="894"/>
    </row>
    <row r="103" spans="1:83" ht="15.75" customHeight="1">
      <c r="A103" s="1744" t="str">
        <f>A71</f>
        <v>ROURKELA STEEL PLANT</v>
      </c>
      <c r="B103" s="1744"/>
      <c r="C103" s="1744"/>
      <c r="D103" s="1744"/>
      <c r="E103" s="1744"/>
      <c r="F103" s="837"/>
      <c r="G103" s="837"/>
      <c r="H103" s="837"/>
      <c r="I103" s="837"/>
      <c r="J103" s="837"/>
      <c r="K103" s="837"/>
      <c r="L103" s="837"/>
      <c r="M103" s="837"/>
      <c r="N103" s="837"/>
      <c r="O103" s="837"/>
      <c r="P103" s="837"/>
      <c r="Q103" s="837"/>
      <c r="R103" s="837"/>
      <c r="S103" s="837"/>
      <c r="T103" s="837"/>
      <c r="U103" s="837"/>
      <c r="V103" s="837"/>
      <c r="W103" s="837"/>
      <c r="X103" s="837"/>
      <c r="Y103" s="837"/>
      <c r="Z103" s="837"/>
      <c r="AA103" s="837"/>
      <c r="AB103" s="837"/>
      <c r="AC103" s="837"/>
      <c r="AD103" s="837"/>
      <c r="AE103" s="837"/>
      <c r="AF103" s="894"/>
    </row>
    <row r="104" spans="1:83" ht="30.75" customHeight="1">
      <c r="A104" s="1746" t="str">
        <f>A72</f>
        <v xml:space="preserve">Installation of Tall Coke Oven Battery # 7 at RSP </v>
      </c>
      <c r="B104" s="1746"/>
      <c r="C104" s="1746"/>
      <c r="D104" s="1746"/>
      <c r="E104" s="1746"/>
      <c r="F104" s="837"/>
      <c r="G104" s="837"/>
      <c r="H104" s="837"/>
      <c r="I104" s="837"/>
      <c r="J104" s="837"/>
      <c r="K104" s="837"/>
      <c r="L104" s="837"/>
      <c r="M104" s="837"/>
      <c r="N104" s="837"/>
      <c r="O104" s="837"/>
      <c r="P104" s="837"/>
      <c r="Q104" s="837"/>
      <c r="R104" s="837"/>
      <c r="S104" s="837"/>
      <c r="T104" s="837"/>
      <c r="U104" s="837"/>
      <c r="V104" s="837"/>
      <c r="W104" s="837"/>
      <c r="X104" s="837"/>
      <c r="Y104" s="837"/>
      <c r="Z104" s="837"/>
      <c r="AA104" s="837"/>
      <c r="AB104" s="837"/>
      <c r="AC104" s="837"/>
      <c r="AD104" s="837"/>
      <c r="AE104" s="837"/>
      <c r="AF104" s="894"/>
    </row>
    <row r="105" spans="1:83" ht="15.75" hidden="1" customHeight="1">
      <c r="A105" s="984"/>
      <c r="B105" s="984"/>
      <c r="C105" s="984"/>
      <c r="D105" s="842"/>
      <c r="E105" s="837"/>
      <c r="F105" s="837"/>
      <c r="G105" s="837"/>
      <c r="H105" s="837"/>
      <c r="I105" s="837"/>
      <c r="J105" s="837"/>
      <c r="K105" s="837"/>
      <c r="L105" s="837"/>
      <c r="M105" s="837"/>
      <c r="N105" s="837"/>
      <c r="O105" s="837"/>
      <c r="P105" s="837"/>
      <c r="Q105" s="837"/>
      <c r="R105" s="837"/>
      <c r="S105" s="837"/>
      <c r="T105" s="837"/>
      <c r="U105" s="837"/>
      <c r="V105" s="837"/>
      <c r="W105" s="837"/>
      <c r="X105" s="837"/>
      <c r="Y105" s="837"/>
      <c r="Z105" s="837"/>
      <c r="AA105" s="837"/>
      <c r="AB105" s="837"/>
      <c r="AC105" s="837"/>
      <c r="AD105" s="837"/>
      <c r="AE105" s="837"/>
      <c r="AF105" s="894"/>
    </row>
    <row r="106" spans="1:83" ht="15" customHeight="1">
      <c r="A106" s="1736" t="s">
        <v>829</v>
      </c>
      <c r="B106" s="1736"/>
      <c r="C106" s="1736"/>
      <c r="D106" s="1736"/>
      <c r="E106" s="1736"/>
      <c r="F106" s="837"/>
      <c r="G106" s="837"/>
      <c r="H106" s="837"/>
      <c r="I106" s="837"/>
      <c r="J106" s="837"/>
      <c r="K106" s="837"/>
      <c r="L106" s="837"/>
      <c r="M106" s="837"/>
      <c r="N106" s="837"/>
      <c r="O106" s="837"/>
      <c r="P106" s="837"/>
      <c r="Q106" s="837"/>
      <c r="R106" s="837"/>
      <c r="S106" s="837"/>
      <c r="T106" s="837"/>
      <c r="U106" s="837"/>
      <c r="V106" s="837"/>
      <c r="W106" s="837"/>
      <c r="X106" s="837"/>
      <c r="Y106" s="837"/>
      <c r="Z106" s="837"/>
      <c r="AA106" s="837"/>
      <c r="AB106" s="837"/>
      <c r="AC106" s="837"/>
      <c r="AD106" s="837"/>
      <c r="AE106" s="837"/>
      <c r="AF106" s="894"/>
    </row>
    <row r="107" spans="1:83" ht="15.6">
      <c r="A107" s="1747" t="s">
        <v>830</v>
      </c>
      <c r="B107" s="1747"/>
      <c r="C107" s="1747"/>
      <c r="D107" s="1747"/>
      <c r="E107" s="1747"/>
      <c r="F107" s="837"/>
      <c r="G107" s="837"/>
      <c r="H107" s="837"/>
      <c r="I107" s="837"/>
      <c r="J107" s="837"/>
      <c r="K107" s="837"/>
      <c r="L107" s="837"/>
      <c r="M107" s="837"/>
      <c r="N107" s="837"/>
      <c r="O107" s="837"/>
      <c r="P107" s="837"/>
      <c r="Q107" s="837"/>
      <c r="R107" s="837"/>
      <c r="S107" s="837"/>
      <c r="T107" s="837"/>
      <c r="U107" s="837"/>
      <c r="V107" s="837"/>
      <c r="W107" s="837"/>
      <c r="X107" s="837"/>
      <c r="Y107" s="837"/>
      <c r="Z107" s="837"/>
      <c r="AA107" s="837"/>
      <c r="AB107" s="837"/>
      <c r="AC107" s="837"/>
      <c r="AD107" s="837"/>
      <c r="AE107" s="837"/>
      <c r="AF107" s="894"/>
    </row>
    <row r="108" spans="1:83" ht="15.6">
      <c r="A108" s="837"/>
      <c r="B108" s="842"/>
      <c r="C108" s="1024" t="str">
        <f>C76</f>
        <v>1USD=Rs.(with forward premium rate)</v>
      </c>
      <c r="D108" s="993" t="e">
        <f>D76</f>
        <v>#REF!</v>
      </c>
      <c r="E108" s="837"/>
      <c r="F108" s="837"/>
      <c r="G108" s="837"/>
      <c r="H108" s="837"/>
      <c r="I108" s="837"/>
      <c r="J108" s="837"/>
      <c r="K108" s="837"/>
      <c r="L108" s="837"/>
      <c r="M108" s="837"/>
      <c r="N108" s="837"/>
      <c r="O108" s="837"/>
      <c r="P108" s="837"/>
      <c r="Q108" s="837"/>
      <c r="R108" s="837"/>
      <c r="S108" s="837"/>
      <c r="T108" s="837"/>
      <c r="U108" s="837"/>
      <c r="V108" s="837"/>
      <c r="W108" s="837"/>
      <c r="X108" s="837"/>
      <c r="Y108" s="837"/>
      <c r="Z108" s="837"/>
      <c r="AA108" s="837"/>
      <c r="AB108" s="837"/>
      <c r="AC108" s="837"/>
      <c r="AD108" s="837"/>
      <c r="AE108" s="837"/>
      <c r="AF108" s="894"/>
    </row>
    <row r="109" spans="1:83" ht="15.6">
      <c r="A109" s="837"/>
      <c r="B109" s="842"/>
      <c r="C109" s="1024" t="str">
        <f>C77</f>
        <v>1EURO=Rs.(with forward premium rate)</v>
      </c>
      <c r="D109" s="993" t="e">
        <f>D77</f>
        <v>#REF!</v>
      </c>
      <c r="E109" s="837"/>
      <c r="F109" s="837"/>
      <c r="G109" s="837"/>
      <c r="H109" s="837"/>
      <c r="I109" s="837"/>
      <c r="J109" s="837"/>
      <c r="K109" s="837"/>
      <c r="L109" s="837"/>
      <c r="M109" s="837"/>
      <c r="N109" s="837"/>
      <c r="O109" s="837"/>
      <c r="P109" s="837"/>
      <c r="Q109" s="837"/>
      <c r="R109" s="837"/>
      <c r="S109" s="837"/>
      <c r="T109" s="837"/>
      <c r="U109" s="837"/>
      <c r="V109" s="837"/>
      <c r="W109" s="837"/>
      <c r="X109" s="837"/>
      <c r="Y109" s="837"/>
      <c r="Z109" s="837"/>
      <c r="AA109" s="837"/>
      <c r="AB109" s="837"/>
      <c r="AC109" s="837"/>
      <c r="AD109" s="837"/>
      <c r="AE109" s="837"/>
      <c r="AF109" s="894"/>
    </row>
    <row r="110" spans="1:83" ht="24" customHeight="1" thickBot="1">
      <c r="A110" s="842" t="str">
        <f>+O4</f>
        <v>Base date: 3rd Qtr 2021</v>
      </c>
      <c r="B110" s="837"/>
      <c r="C110" s="1745" t="str">
        <f>O6</f>
        <v>Figures in Rs. Crore</v>
      </c>
      <c r="D110" s="1745"/>
      <c r="E110" s="1745"/>
      <c r="F110" s="837"/>
      <c r="G110" s="842"/>
      <c r="H110" s="837"/>
      <c r="I110" s="837"/>
      <c r="J110" s="842"/>
      <c r="K110" s="837"/>
      <c r="L110" s="837"/>
      <c r="M110" s="837"/>
      <c r="N110" s="837"/>
      <c r="O110" s="837"/>
      <c r="P110" s="837"/>
      <c r="Q110" s="837"/>
      <c r="R110" s="837"/>
      <c r="S110" s="837"/>
      <c r="T110" s="837"/>
      <c r="U110" s="837"/>
      <c r="V110" s="837"/>
      <c r="W110" s="837"/>
      <c r="X110" s="837"/>
      <c r="Y110" s="837"/>
      <c r="Z110" s="837"/>
      <c r="AA110" s="837"/>
      <c r="AB110" s="837"/>
      <c r="AC110" s="837"/>
      <c r="AD110" s="837"/>
      <c r="AE110" s="837"/>
      <c r="AF110" s="894"/>
    </row>
    <row r="111" spans="1:83" ht="15.6">
      <c r="A111" s="1025" t="s">
        <v>213</v>
      </c>
      <c r="B111" s="1026" t="s">
        <v>1</v>
      </c>
      <c r="C111" s="1027" t="s">
        <v>101</v>
      </c>
      <c r="D111" s="1028" t="s">
        <v>139</v>
      </c>
      <c r="E111" s="1029" t="s">
        <v>71</v>
      </c>
      <c r="F111" s="837"/>
      <c r="G111" s="837"/>
      <c r="H111" s="837"/>
      <c r="I111" s="837"/>
      <c r="J111" s="842"/>
      <c r="K111" s="837"/>
      <c r="L111" s="837"/>
      <c r="M111" s="837"/>
      <c r="N111" s="837"/>
      <c r="O111" s="837"/>
      <c r="P111" s="837"/>
      <c r="Q111" s="837"/>
      <c r="R111" s="837"/>
      <c r="S111" s="837"/>
      <c r="T111" s="837"/>
      <c r="U111" s="837"/>
      <c r="V111" s="837"/>
      <c r="W111" s="837"/>
      <c r="X111" s="837"/>
      <c r="Y111" s="837"/>
      <c r="Z111" s="837"/>
      <c r="AA111" s="837"/>
      <c r="AB111" s="837"/>
      <c r="AC111" s="837"/>
      <c r="AD111" s="837"/>
      <c r="AE111" s="837"/>
      <c r="AF111" s="894"/>
    </row>
    <row r="112" spans="1:83" ht="16.2" thickBot="1">
      <c r="A112" s="1030" t="s">
        <v>214</v>
      </c>
      <c r="B112" s="1031"/>
      <c r="C112" s="1032"/>
      <c r="D112" s="1033"/>
      <c r="E112" s="1034"/>
      <c r="F112" s="837"/>
      <c r="G112" s="837"/>
      <c r="H112" s="837"/>
      <c r="I112" s="837"/>
      <c r="J112" s="837"/>
      <c r="K112" s="837"/>
      <c r="L112" s="837"/>
      <c r="M112" s="837"/>
      <c r="N112" s="837"/>
      <c r="O112" s="837"/>
      <c r="P112" s="837"/>
      <c r="Q112" s="837"/>
      <c r="R112" s="837"/>
      <c r="S112" s="837"/>
      <c r="T112" s="837"/>
      <c r="U112" s="837"/>
      <c r="V112" s="837"/>
      <c r="W112" s="837"/>
      <c r="X112" s="837"/>
      <c r="Y112" s="837"/>
      <c r="Z112" s="837"/>
      <c r="AA112" s="837"/>
      <c r="AB112" s="837"/>
      <c r="AC112" s="837"/>
      <c r="AD112" s="837"/>
      <c r="AE112" s="837"/>
      <c r="AF112" s="894"/>
    </row>
    <row r="113" spans="1:32" ht="24.9" customHeight="1">
      <c r="A113" s="1035">
        <v>1</v>
      </c>
      <c r="B113" s="1036" t="s">
        <v>121</v>
      </c>
      <c r="C113" s="866" t="e">
        <f>SUM(D19:E25)</f>
        <v>#REF!</v>
      </c>
      <c r="D113" s="870">
        <f>SUM(F19:G25)</f>
        <v>567.24921343828726</v>
      </c>
      <c r="E113" s="1036" t="e">
        <f>C113+D113</f>
        <v>#REF!</v>
      </c>
      <c r="F113" s="837"/>
      <c r="G113" s="837"/>
      <c r="H113" s="837"/>
      <c r="I113" s="837"/>
      <c r="J113" s="837"/>
      <c r="K113" s="837"/>
      <c r="L113" s="837"/>
      <c r="M113" s="837"/>
      <c r="N113" s="837"/>
      <c r="O113" s="837"/>
      <c r="P113" s="837"/>
      <c r="Q113" s="837"/>
      <c r="R113" s="837"/>
      <c r="S113" s="837"/>
      <c r="T113" s="837"/>
      <c r="U113" s="837"/>
      <c r="V113" s="837"/>
      <c r="W113" s="837"/>
      <c r="X113" s="837"/>
      <c r="Y113" s="837"/>
      <c r="Z113" s="837"/>
      <c r="AA113" s="837"/>
      <c r="AB113" s="837"/>
      <c r="AC113" s="837"/>
      <c r="AD113" s="837"/>
      <c r="AE113" s="837"/>
      <c r="AF113" s="894"/>
    </row>
    <row r="114" spans="1:32" ht="24.9" customHeight="1">
      <c r="A114" s="1037">
        <v>2</v>
      </c>
      <c r="B114" s="1038" t="s">
        <v>215</v>
      </c>
      <c r="C114" s="894" t="e">
        <f>SUM(H19:H25)</f>
        <v>#REF!</v>
      </c>
      <c r="D114" s="900">
        <f>SUM(I19:I25)</f>
        <v>7.5126942962601033</v>
      </c>
      <c r="E114" s="1038" t="e">
        <f t="shared" ref="E114:E123" si="47">C114+D114</f>
        <v>#REF!</v>
      </c>
      <c r="F114" s="837"/>
      <c r="G114" s="837"/>
      <c r="H114" s="837"/>
      <c r="I114" s="837"/>
      <c r="J114" s="837"/>
      <c r="K114" s="837"/>
      <c r="L114" s="837"/>
      <c r="M114" s="837"/>
      <c r="N114" s="837"/>
      <c r="O114" s="837"/>
      <c r="P114" s="837"/>
      <c r="Q114" s="837"/>
      <c r="R114" s="837"/>
      <c r="S114" s="837"/>
      <c r="T114" s="837"/>
      <c r="U114" s="837"/>
      <c r="V114" s="837"/>
      <c r="W114" s="837"/>
      <c r="X114" s="837"/>
      <c r="Y114" s="837"/>
      <c r="Z114" s="837"/>
      <c r="AA114" s="837"/>
      <c r="AB114" s="837"/>
      <c r="AC114" s="837"/>
      <c r="AD114" s="837"/>
      <c r="AE114" s="837"/>
      <c r="AF114" s="894"/>
    </row>
    <row r="115" spans="1:32" ht="24.9" customHeight="1">
      <c r="A115" s="1037">
        <v>3</v>
      </c>
      <c r="B115" s="1038" t="s">
        <v>75</v>
      </c>
      <c r="C115" s="894">
        <f>SUM(J19:J25)</f>
        <v>0</v>
      </c>
      <c r="D115" s="900" t="e">
        <f>SUM(K19:M25)</f>
        <v>#REF!</v>
      </c>
      <c r="E115" s="1038" t="e">
        <f t="shared" si="47"/>
        <v>#REF!</v>
      </c>
      <c r="F115" s="837"/>
      <c r="G115" s="837"/>
      <c r="H115" s="837"/>
      <c r="I115" s="837"/>
      <c r="J115" s="837"/>
      <c r="K115" s="837"/>
      <c r="L115" s="837"/>
      <c r="M115" s="837"/>
      <c r="N115" s="837"/>
      <c r="O115" s="837"/>
      <c r="P115" s="837"/>
      <c r="Q115" s="837"/>
      <c r="R115" s="837"/>
      <c r="S115" s="837"/>
      <c r="T115" s="837"/>
      <c r="U115" s="837"/>
      <c r="V115" s="837"/>
      <c r="W115" s="837"/>
      <c r="X115" s="837"/>
      <c r="Y115" s="837"/>
      <c r="Z115" s="837"/>
      <c r="AA115" s="837"/>
      <c r="AB115" s="837"/>
      <c r="AC115" s="837"/>
      <c r="AD115" s="837"/>
      <c r="AE115" s="837"/>
      <c r="AF115" s="894"/>
    </row>
    <row r="116" spans="1:32" ht="24.9" customHeight="1">
      <c r="A116" s="1037">
        <v>4</v>
      </c>
      <c r="B116" s="1038" t="s">
        <v>79</v>
      </c>
      <c r="C116" s="894">
        <f>SUM(N19:N25)</f>
        <v>0</v>
      </c>
      <c r="D116" s="900">
        <f>SUM(O19:O25)</f>
        <v>78.089849999999998</v>
      </c>
      <c r="E116" s="1038">
        <f t="shared" si="47"/>
        <v>78.089849999999998</v>
      </c>
      <c r="F116" s="837"/>
      <c r="G116" s="837"/>
      <c r="H116" s="837"/>
      <c r="I116" s="837"/>
      <c r="J116" s="837"/>
      <c r="K116" s="837"/>
      <c r="L116" s="837"/>
      <c r="M116" s="837"/>
      <c r="N116" s="837"/>
      <c r="O116" s="837"/>
      <c r="P116" s="837"/>
      <c r="Q116" s="837"/>
      <c r="R116" s="837"/>
      <c r="S116" s="837"/>
      <c r="T116" s="837"/>
      <c r="U116" s="837"/>
      <c r="V116" s="837"/>
      <c r="W116" s="837"/>
      <c r="X116" s="837"/>
      <c r="Y116" s="837"/>
      <c r="Z116" s="837"/>
      <c r="AA116" s="837"/>
      <c r="AB116" s="837"/>
      <c r="AC116" s="837"/>
      <c r="AD116" s="837"/>
      <c r="AE116" s="837"/>
      <c r="AF116" s="894"/>
    </row>
    <row r="117" spans="1:32" ht="24.9" customHeight="1">
      <c r="A117" s="1037">
        <v>5</v>
      </c>
      <c r="B117" s="1038" t="s">
        <v>76</v>
      </c>
      <c r="C117" s="894"/>
      <c r="D117" s="900" t="e">
        <f>SUM(P19:Q25)</f>
        <v>#REF!</v>
      </c>
      <c r="E117" s="1038" t="e">
        <f t="shared" si="47"/>
        <v>#REF!</v>
      </c>
      <c r="F117" s="837"/>
      <c r="G117" s="837"/>
      <c r="H117" s="837"/>
      <c r="I117" s="837"/>
      <c r="J117" s="837"/>
      <c r="K117" s="837"/>
      <c r="L117" s="837"/>
      <c r="M117" s="837"/>
      <c r="N117" s="837"/>
      <c r="O117" s="837"/>
      <c r="P117" s="837"/>
      <c r="Q117" s="837"/>
      <c r="R117" s="837"/>
      <c r="S117" s="837"/>
      <c r="T117" s="837"/>
      <c r="U117" s="837"/>
      <c r="V117" s="866"/>
      <c r="W117" s="870"/>
      <c r="X117" s="870"/>
      <c r="Y117" s="870"/>
      <c r="Z117" s="870"/>
      <c r="AA117" s="870"/>
      <c r="AB117" s="870"/>
      <c r="AC117" s="870"/>
      <c r="AD117" s="870"/>
      <c r="AE117" s="870"/>
    </row>
    <row r="118" spans="1:32" ht="24.9" customHeight="1">
      <c r="A118" s="1037">
        <v>6</v>
      </c>
      <c r="B118" s="1038" t="s">
        <v>831</v>
      </c>
      <c r="C118" s="894"/>
      <c r="D118" s="900" t="e">
        <f>SUM(R19:U25)</f>
        <v>#REF!</v>
      </c>
      <c r="E118" s="1038" t="e">
        <f t="shared" si="47"/>
        <v>#REF!</v>
      </c>
      <c r="F118" s="837"/>
      <c r="G118" s="837"/>
      <c r="H118" s="837"/>
      <c r="I118" s="837"/>
      <c r="J118" s="837"/>
      <c r="K118" s="837"/>
      <c r="L118" s="837"/>
      <c r="M118" s="837"/>
      <c r="N118" s="837"/>
      <c r="O118" s="837"/>
      <c r="P118" s="837"/>
      <c r="Q118" s="837"/>
      <c r="R118" s="837"/>
      <c r="S118" s="837"/>
      <c r="T118" s="837"/>
      <c r="U118" s="837"/>
      <c r="V118" s="894"/>
    </row>
    <row r="119" spans="1:32" ht="24.9" customHeight="1">
      <c r="A119" s="1037">
        <v>7</v>
      </c>
      <c r="B119" s="1038" t="s">
        <v>832</v>
      </c>
      <c r="C119" s="894" t="e">
        <f>SUM(V19:W25)</f>
        <v>#REF!</v>
      </c>
      <c r="D119" s="900" t="e">
        <f>SUM(X19:Y25)</f>
        <v>#REF!</v>
      </c>
      <c r="E119" s="1038" t="e">
        <f t="shared" si="47"/>
        <v>#REF!</v>
      </c>
      <c r="F119" s="837"/>
      <c r="G119" s="837"/>
      <c r="H119" s="837"/>
      <c r="I119" s="837"/>
      <c r="J119" s="837"/>
      <c r="K119" s="837"/>
      <c r="L119" s="837"/>
      <c r="M119" s="837"/>
      <c r="N119" s="837"/>
      <c r="O119" s="837"/>
      <c r="P119" s="837"/>
      <c r="Q119" s="837"/>
      <c r="R119" s="837"/>
      <c r="S119" s="837"/>
      <c r="T119" s="837"/>
      <c r="U119" s="837"/>
      <c r="V119" s="894"/>
    </row>
    <row r="120" spans="1:32" ht="24.9" customHeight="1">
      <c r="A120" s="1037">
        <v>8</v>
      </c>
      <c r="B120" s="1038" t="s">
        <v>833</v>
      </c>
      <c r="C120" s="894" t="e">
        <f>SUM(Z19:Z25)</f>
        <v>#REF!</v>
      </c>
      <c r="D120" s="900" t="e">
        <f>SUM(AA19:AB25)</f>
        <v>#REF!</v>
      </c>
      <c r="E120" s="1038" t="e">
        <f t="shared" si="47"/>
        <v>#REF!</v>
      </c>
      <c r="F120" s="837"/>
      <c r="G120" s="837"/>
      <c r="H120" s="837"/>
      <c r="I120" s="837"/>
      <c r="J120" s="837"/>
      <c r="K120" s="837"/>
      <c r="L120" s="837"/>
      <c r="M120" s="837"/>
      <c r="N120" s="837"/>
      <c r="O120" s="837"/>
      <c r="P120" s="837"/>
      <c r="Q120" s="837"/>
      <c r="R120" s="837"/>
      <c r="S120" s="837"/>
      <c r="T120" s="837"/>
      <c r="U120" s="837"/>
      <c r="V120" s="894"/>
    </row>
    <row r="121" spans="1:32" ht="24.9" customHeight="1">
      <c r="A121" s="1037">
        <v>9</v>
      </c>
      <c r="B121" s="1038" t="s">
        <v>216</v>
      </c>
      <c r="C121" s="894"/>
      <c r="D121" s="900" t="e">
        <f>SUM(AC19:AI25)+AI26</f>
        <v>#REF!</v>
      </c>
      <c r="E121" s="1038" t="e">
        <f t="shared" si="47"/>
        <v>#REF!</v>
      </c>
      <c r="F121" s="837"/>
      <c r="G121" s="837"/>
      <c r="H121" s="837"/>
      <c r="I121" s="837"/>
      <c r="J121" s="837"/>
      <c r="K121" s="837"/>
      <c r="L121" s="837"/>
      <c r="M121" s="837"/>
      <c r="N121" s="837"/>
      <c r="O121" s="837"/>
      <c r="P121" s="837"/>
      <c r="Q121" s="837"/>
      <c r="R121" s="837"/>
      <c r="S121" s="837"/>
      <c r="T121" s="837"/>
      <c r="U121" s="837"/>
      <c r="V121" s="894"/>
    </row>
    <row r="122" spans="1:32" ht="24.9" customHeight="1">
      <c r="A122" s="1037">
        <v>10</v>
      </c>
      <c r="B122" s="1038" t="s">
        <v>864</v>
      </c>
      <c r="C122" s="894" t="e">
        <f>SUM(T83:T89)</f>
        <v>#REF!</v>
      </c>
      <c r="D122" s="900" t="e">
        <f>E122-C122</f>
        <v>#REF!</v>
      </c>
      <c r="E122" s="1038" t="e">
        <f>SUM(S83:S87)+S90</f>
        <v>#REF!</v>
      </c>
      <c r="F122" s="837"/>
      <c r="G122" s="837"/>
      <c r="H122" s="837"/>
      <c r="I122" s="837"/>
      <c r="J122" s="837"/>
      <c r="K122" s="837"/>
      <c r="L122" s="837"/>
      <c r="M122" s="837"/>
      <c r="N122" s="837"/>
      <c r="O122" s="837"/>
      <c r="P122" s="837"/>
      <c r="Q122" s="837"/>
      <c r="R122" s="837"/>
      <c r="S122" s="837"/>
      <c r="T122" s="837"/>
      <c r="U122" s="837"/>
      <c r="V122" s="894"/>
    </row>
    <row r="123" spans="1:32" ht="24.9" customHeight="1">
      <c r="A123" s="1037">
        <v>11</v>
      </c>
      <c r="B123" s="1038" t="s">
        <v>218</v>
      </c>
      <c r="C123" s="894" t="e">
        <f>SUM(AQ19:AQ25)+AQ26</f>
        <v>#REF!</v>
      </c>
      <c r="D123" s="900" t="e">
        <f>SUM(AR19:AR25)+AR26</f>
        <v>#REF!</v>
      </c>
      <c r="E123" s="1038" t="e">
        <f t="shared" si="47"/>
        <v>#REF!</v>
      </c>
      <c r="F123" s="837"/>
      <c r="G123" s="837"/>
      <c r="H123" s="837"/>
      <c r="I123" s="837"/>
      <c r="J123" s="837"/>
      <c r="K123" s="837"/>
      <c r="L123" s="837"/>
      <c r="M123" s="866"/>
      <c r="N123" s="870"/>
      <c r="O123" s="870"/>
      <c r="P123" s="870"/>
      <c r="Q123" s="870"/>
      <c r="R123" s="870"/>
      <c r="S123" s="870"/>
      <c r="T123" s="870"/>
      <c r="U123" s="870"/>
    </row>
    <row r="124" spans="1:32" ht="24.9" customHeight="1">
      <c r="A124" s="1039">
        <v>12</v>
      </c>
      <c r="B124" s="1040" t="s">
        <v>219</v>
      </c>
      <c r="C124" s="917" t="e">
        <f>SUM(C113:C123)</f>
        <v>#REF!</v>
      </c>
      <c r="D124" s="901" t="e">
        <f>SUM(D113:D123)</f>
        <v>#REF!</v>
      </c>
      <c r="E124" s="1040" t="e">
        <f>SUM(E113:E123)</f>
        <v>#REF!</v>
      </c>
      <c r="F124" s="837"/>
      <c r="G124" s="837"/>
      <c r="H124" s="837"/>
      <c r="I124" s="837"/>
      <c r="J124" s="837"/>
      <c r="K124" s="837"/>
      <c r="L124" s="837"/>
      <c r="M124" s="894"/>
    </row>
    <row r="125" spans="1:32" ht="24.9" customHeight="1">
      <c r="A125" s="1037">
        <v>13</v>
      </c>
      <c r="B125" s="1038" t="s">
        <v>834</v>
      </c>
      <c r="C125" s="894"/>
      <c r="E125" s="1038" t="e">
        <f>AU28</f>
        <v>#REF!</v>
      </c>
      <c r="F125" s="837"/>
      <c r="G125" s="837"/>
      <c r="H125" s="837"/>
      <c r="I125" s="837"/>
      <c r="J125" s="837"/>
      <c r="K125" s="837"/>
      <c r="L125" s="837"/>
      <c r="M125" s="894"/>
    </row>
    <row r="126" spans="1:32" ht="19.5" customHeight="1">
      <c r="A126" s="1037">
        <v>14</v>
      </c>
      <c r="B126" s="1040" t="s">
        <v>220</v>
      </c>
      <c r="C126" s="894"/>
      <c r="E126" s="1040" t="e">
        <f>+E125+E124</f>
        <v>#REF!</v>
      </c>
      <c r="F126" s="837"/>
      <c r="G126" s="837"/>
      <c r="H126" s="837"/>
      <c r="I126" s="837"/>
      <c r="J126" s="842"/>
      <c r="K126" s="837"/>
      <c r="L126" s="837"/>
      <c r="M126" s="894"/>
    </row>
    <row r="127" spans="1:32" ht="18.75" customHeight="1">
      <c r="A127" s="1037">
        <v>15</v>
      </c>
      <c r="B127" s="1038" t="str">
        <f>B94</f>
        <v xml:space="preserve">Input tax credit (ITC) on GST </v>
      </c>
      <c r="C127" s="894"/>
      <c r="E127" s="1038" t="e">
        <f>-AU30</f>
        <v>#REF!</v>
      </c>
      <c r="F127" s="837"/>
      <c r="G127" s="837"/>
      <c r="H127" s="837"/>
      <c r="I127" s="837"/>
      <c r="J127" s="837"/>
      <c r="K127" s="837"/>
      <c r="L127" s="837"/>
      <c r="M127" s="894"/>
    </row>
    <row r="128" spans="1:32" ht="33" customHeight="1" thickBot="1">
      <c r="A128" s="1041">
        <v>16</v>
      </c>
      <c r="B128" s="1022" t="str">
        <f>B95</f>
        <v>Capital Cost net of ITC on GST</v>
      </c>
      <c r="C128" s="1032"/>
      <c r="D128" s="1033"/>
      <c r="E128" s="1031" t="e">
        <f>+E126+E127</f>
        <v>#REF!</v>
      </c>
      <c r="F128" s="837"/>
      <c r="G128" s="837"/>
      <c r="H128" s="837"/>
      <c r="I128" s="837"/>
      <c r="J128" s="842"/>
      <c r="K128" s="837"/>
      <c r="L128" s="837"/>
      <c r="M128" s="894"/>
    </row>
    <row r="129" spans="1:13" s="973" customFormat="1">
      <c r="A129" s="837"/>
      <c r="B129" s="837"/>
      <c r="C129" s="837"/>
      <c r="D129" s="837"/>
      <c r="E129" s="837"/>
      <c r="F129" s="837"/>
      <c r="G129" s="837"/>
      <c r="H129" s="837"/>
      <c r="I129" s="837"/>
      <c r="J129" s="837"/>
      <c r="K129" s="837"/>
      <c r="L129" s="837"/>
      <c r="M129" s="1042"/>
    </row>
    <row r="130" spans="1:13" s="837" customFormat="1"/>
    <row r="131" spans="1:13" s="837" customFormat="1"/>
    <row r="132" spans="1:13" s="837" customFormat="1"/>
    <row r="133" spans="1:13" s="837" customFormat="1"/>
    <row r="134" spans="1:13" s="837" customFormat="1"/>
    <row r="135" spans="1:13" s="837" customFormat="1"/>
    <row r="136" spans="1:13" s="837" customFormat="1"/>
    <row r="137" spans="1:13" s="837" customFormat="1"/>
    <row r="138" spans="1:13" s="837" customFormat="1"/>
    <row r="139" spans="1:13" s="837" customFormat="1"/>
    <row r="140" spans="1:13" s="837" customFormat="1"/>
    <row r="141" spans="1:13" s="837" customFormat="1"/>
    <row r="142" spans="1:13" s="837" customFormat="1"/>
    <row r="143" spans="1:13" s="837" customFormat="1"/>
    <row r="144" spans="1:13" s="837" customFormat="1"/>
    <row r="145" s="837" customFormat="1"/>
    <row r="146" s="837" customFormat="1"/>
    <row r="147" s="837" customFormat="1"/>
    <row r="148" s="837" customFormat="1"/>
    <row r="149" s="837" customFormat="1"/>
  </sheetData>
  <autoFilter ref="A1:DX149">
    <filterColumn colId="4" showButton="0"/>
    <filterColumn colId="5" showButton="0"/>
    <filterColumn colId="6" showButton="0"/>
    <filterColumn colId="7" showButton="0"/>
    <filterColumn colId="8" showButton="0"/>
    <filterColumn colId="9" showButton="0"/>
  </autoFilter>
  <mergeCells count="41">
    <mergeCell ref="C110:E110"/>
    <mergeCell ref="Q78:R78"/>
    <mergeCell ref="A102:E102"/>
    <mergeCell ref="A103:E103"/>
    <mergeCell ref="A104:E104"/>
    <mergeCell ref="A106:E106"/>
    <mergeCell ref="A107:E107"/>
    <mergeCell ref="C78:D78"/>
    <mergeCell ref="E78:F78"/>
    <mergeCell ref="G78:H78"/>
    <mergeCell ref="I78:J78"/>
    <mergeCell ref="M78:N78"/>
    <mergeCell ref="O78:P78"/>
    <mergeCell ref="W43:Z43"/>
    <mergeCell ref="Y44:Z44"/>
    <mergeCell ref="A70:V70"/>
    <mergeCell ref="A71:V71"/>
    <mergeCell ref="A72:V72"/>
    <mergeCell ref="A74:V74"/>
    <mergeCell ref="D13:E13"/>
    <mergeCell ref="F13:G13"/>
    <mergeCell ref="V13:X13"/>
    <mergeCell ref="AF13:AF14"/>
    <mergeCell ref="AV13:AX13"/>
    <mergeCell ref="W14:X14"/>
    <mergeCell ref="AK12:AL12"/>
    <mergeCell ref="AM12:AN12"/>
    <mergeCell ref="AO12:AP12"/>
    <mergeCell ref="AQ12:AR12"/>
    <mergeCell ref="AS12:AU12"/>
    <mergeCell ref="AV12:AX12"/>
    <mergeCell ref="BE5:BE6"/>
    <mergeCell ref="E6:K6"/>
    <mergeCell ref="L12:M12"/>
    <mergeCell ref="N12:O12"/>
    <mergeCell ref="P12:Q12"/>
    <mergeCell ref="R12:U12"/>
    <mergeCell ref="V12:Y12"/>
    <mergeCell ref="Z12:AB12"/>
    <mergeCell ref="AC12:AG12"/>
    <mergeCell ref="AH12:AJ12"/>
  </mergeCells>
  <printOptions horizontalCentered="1"/>
  <pageMargins left="0.31496062992125984" right="0.11811023622047245" top="1.3385826771653544" bottom="0.35433070866141736" header="0.31496062992125984" footer="0.11811023622047245"/>
  <pageSetup paperSize="9" scale="43"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Report </vt:lpstr>
      <vt:lpstr>Coal &amp; Coke Data</vt:lpstr>
      <vt:lpstr>Stamp TE 1</vt:lpstr>
      <vt:lpstr>Stamp TE 2</vt:lpstr>
      <vt:lpstr>Stamp TE 3</vt:lpstr>
      <vt:lpstr>Stamp TE 4</vt:lpstr>
      <vt:lpstr>Incr TE</vt:lpstr>
      <vt:lpstr>Basis  Tall </vt:lpstr>
      <vt:lpstr>Capcost Tall </vt:lpstr>
      <vt:lpstr>TE Tall 5</vt:lpstr>
      <vt:lpstr>TE Tall 6</vt:lpstr>
      <vt:lpstr>Scope Diff stamp-stamp</vt:lpstr>
      <vt:lpstr>Scope Diff stamp-Top</vt:lpstr>
      <vt:lpstr>MOM </vt:lpstr>
      <vt:lpstr>PBE R2</vt:lpstr>
      <vt:lpstr>'Basis  Tall '!Print_Area</vt:lpstr>
      <vt:lpstr>'Capcost Tall '!Print_Area</vt:lpstr>
      <vt:lpstr>'Incr TE'!Print_Area</vt:lpstr>
      <vt:lpstr>'MOM '!Print_Area</vt:lpstr>
      <vt:lpstr>'PBE R2'!Print_Area</vt:lpstr>
      <vt:lpstr>'Report '!Print_Area</vt:lpstr>
      <vt:lpstr>'Scope Diff stamp-stamp'!Print_Area</vt:lpstr>
      <vt:lpstr>'Scope Diff stamp-Top'!Print_Area</vt:lpstr>
      <vt:lpstr>'Stamp TE 1'!Print_Area</vt:lpstr>
      <vt:lpstr>'Stamp TE 2'!Print_Area</vt:lpstr>
      <vt:lpstr>'Stamp TE 3'!Print_Area</vt:lpstr>
      <vt:lpstr>'Stamp TE 4'!Print_Area</vt:lpstr>
      <vt:lpstr>'TE Tall 5'!Print_Area</vt:lpstr>
      <vt:lpstr>'TE Tall 6'!Print_Area</vt:lpstr>
    </vt:vector>
  </TitlesOfParts>
  <Company>CET Sub Centre Bhilai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Intelisparkz</cp:lastModifiedBy>
  <cp:lastPrinted>2024-07-23T08:51:40Z</cp:lastPrinted>
  <dcterms:created xsi:type="dcterms:W3CDTF">2001-02-20T07:04:51Z</dcterms:created>
  <dcterms:modified xsi:type="dcterms:W3CDTF">2026-02-13T12:36:26Z</dcterms:modified>
</cp:coreProperties>
</file>