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 DRIVE\ASSIGNMENTS FILE\0 Major Projects\0 AI Data\Actual data for PBER AI\"/>
    </mc:Choice>
  </mc:AlternateContent>
  <xr:revisionPtr revIDLastSave="0" documentId="13_ncr:1_{03F90071-FB35-4223-AAF8-A7277444488C}" xr6:coauthVersionLast="47" xr6:coauthVersionMax="47" xr10:uidLastSave="{00000000-0000-0000-0000-000000000000}"/>
  <bookViews>
    <workbookView xWindow="-120" yWindow="-120" windowWidth="29040" windowHeight="15720" tabRatio="714" firstSheet="3" activeTab="3" xr2:uid="{00000000-000D-0000-FFFF-FFFF00000000}"/>
  </bookViews>
  <sheets>
    <sheet name="BOQ_removed by TFL" sheetId="13" state="hidden" r:id="rId1"/>
    <sheet name="BOQ_CC_R2" sheetId="14" state="hidden" r:id="rId2"/>
    <sheet name="PKGCOST_ESQUARE" sheetId="16" state="hidden" r:id="rId3"/>
    <sheet name="PBE" sheetId="25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3" l="1"/>
  <c r="H88" i="16" l="1"/>
  <c r="H93" i="16" s="1"/>
  <c r="I73" i="16"/>
  <c r="G72" i="16"/>
  <c r="F72" i="16"/>
  <c r="I72" i="16" s="1"/>
  <c r="E72" i="16"/>
  <c r="H71" i="16"/>
  <c r="H74" i="16" s="1"/>
  <c r="G71" i="16"/>
  <c r="I71" i="16" s="1"/>
  <c r="F71" i="16"/>
  <c r="I70" i="16"/>
  <c r="C70" i="16"/>
  <c r="C16" i="16" s="1"/>
  <c r="I69" i="16"/>
  <c r="I68" i="16"/>
  <c r="D67" i="16"/>
  <c r="F67" i="16" s="1"/>
  <c r="D65" i="16"/>
  <c r="F65" i="16" s="1"/>
  <c r="I65" i="16" s="1"/>
  <c r="D64" i="16"/>
  <c r="F61" i="16"/>
  <c r="I61" i="16" s="1"/>
  <c r="G60" i="16"/>
  <c r="F60" i="16"/>
  <c r="E60" i="16"/>
  <c r="G59" i="16"/>
  <c r="F59" i="16"/>
  <c r="D17" i="16" s="1"/>
  <c r="E17" i="16" s="1"/>
  <c r="E59" i="16"/>
  <c r="I59" i="16" s="1"/>
  <c r="G58" i="16"/>
  <c r="F58" i="16"/>
  <c r="E58" i="16"/>
  <c r="G57" i="16"/>
  <c r="E57" i="16"/>
  <c r="I57" i="16" s="1"/>
  <c r="D54" i="16"/>
  <c r="C37" i="16"/>
  <c r="AJ29" i="16"/>
  <c r="C27" i="16"/>
  <c r="D24" i="16"/>
  <c r="C24" i="16"/>
  <c r="E24" i="16" s="1"/>
  <c r="E23" i="16"/>
  <c r="C23" i="16"/>
  <c r="C18" i="16"/>
  <c r="A8" i="16"/>
  <c r="A7" i="16"/>
  <c r="K32" i="13"/>
  <c r="K33" i="13"/>
  <c r="K34" i="13"/>
  <c r="K35" i="13"/>
  <c r="K36" i="13"/>
  <c r="K37" i="13"/>
  <c r="K38" i="13"/>
  <c r="K39" i="13"/>
  <c r="K40" i="13"/>
  <c r="K41" i="13"/>
  <c r="K31" i="13"/>
  <c r="K20" i="13"/>
  <c r="K21" i="13"/>
  <c r="K22" i="13"/>
  <c r="K11" i="13"/>
  <c r="K12" i="13"/>
  <c r="K13" i="13"/>
  <c r="K14" i="13"/>
  <c r="K15" i="13"/>
  <c r="K16" i="13"/>
  <c r="K17" i="13"/>
  <c r="K18" i="13"/>
  <c r="K19" i="13"/>
  <c r="K23" i="13"/>
  <c r="K24" i="13"/>
  <c r="K25" i="13"/>
  <c r="K26" i="13"/>
  <c r="K10" i="13"/>
  <c r="K42" i="13" l="1"/>
  <c r="D19" i="16"/>
  <c r="E19" i="16" s="1"/>
  <c r="D25" i="16"/>
  <c r="E25" i="16" s="1"/>
  <c r="K27" i="13"/>
  <c r="D27" i="16"/>
  <c r="E27" i="16" s="1"/>
  <c r="I58" i="16"/>
  <c r="D18" i="16"/>
  <c r="E18" i="16" s="1"/>
  <c r="D22" i="16"/>
  <c r="E22" i="16" s="1"/>
  <c r="I67" i="16"/>
  <c r="D30" i="16"/>
  <c r="I60" i="16"/>
  <c r="F64" i="16"/>
  <c r="I64" i="16" s="1"/>
  <c r="E73" i="14"/>
  <c r="D73" i="14"/>
  <c r="E72" i="14"/>
  <c r="D72" i="14"/>
  <c r="F72" i="14" s="1"/>
  <c r="E71" i="14"/>
  <c r="D71" i="14"/>
  <c r="F70" i="14"/>
  <c r="E70" i="14"/>
  <c r="D70" i="14"/>
  <c r="E69" i="14"/>
  <c r="D69" i="14"/>
  <c r="E68" i="14"/>
  <c r="D68" i="14"/>
  <c r="F68" i="14" s="1"/>
  <c r="E67" i="14"/>
  <c r="D67" i="14"/>
  <c r="H61" i="14"/>
  <c r="E61" i="14"/>
  <c r="F61" i="14" s="1"/>
  <c r="F62" i="14" s="1"/>
  <c r="F54" i="14"/>
  <c r="F55" i="14" s="1"/>
  <c r="G52" i="14"/>
  <c r="F51" i="14"/>
  <c r="F50" i="14"/>
  <c r="F49" i="14"/>
  <c r="F48" i="14"/>
  <c r="E47" i="14"/>
  <c r="F47" i="14" s="1"/>
  <c r="F46" i="14"/>
  <c r="F45" i="14"/>
  <c r="H41" i="14"/>
  <c r="F41" i="14"/>
  <c r="H40" i="14"/>
  <c r="F40" i="14"/>
  <c r="H39" i="14"/>
  <c r="F39" i="14"/>
  <c r="H38" i="14"/>
  <c r="F38" i="14"/>
  <c r="H37" i="14"/>
  <c r="F37" i="14"/>
  <c r="H36" i="14"/>
  <c r="F36" i="14"/>
  <c r="H35" i="14"/>
  <c r="F35" i="14"/>
  <c r="H34" i="14"/>
  <c r="F34" i="14"/>
  <c r="H33" i="14"/>
  <c r="F33" i="14"/>
  <c r="H32" i="14"/>
  <c r="E32" i="14"/>
  <c r="F32" i="14" s="1"/>
  <c r="H31" i="14"/>
  <c r="F31" i="14"/>
  <c r="K27" i="14"/>
  <c r="H26" i="14"/>
  <c r="F26" i="14"/>
  <c r="H25" i="14"/>
  <c r="F25" i="14"/>
  <c r="H24" i="14"/>
  <c r="F24" i="14"/>
  <c r="H23" i="14"/>
  <c r="F23" i="14"/>
  <c r="H22" i="14"/>
  <c r="F22" i="14"/>
  <c r="H21" i="14"/>
  <c r="F21" i="14"/>
  <c r="H20" i="14"/>
  <c r="F20" i="14"/>
  <c r="H19" i="14"/>
  <c r="F19" i="14"/>
  <c r="H18" i="14"/>
  <c r="F18" i="14"/>
  <c r="H17" i="14"/>
  <c r="F17" i="14"/>
  <c r="H16" i="14"/>
  <c r="F16" i="14"/>
  <c r="H15" i="14"/>
  <c r="F15" i="14"/>
  <c r="H14" i="14"/>
  <c r="F14" i="14"/>
  <c r="H13" i="14"/>
  <c r="F13" i="14"/>
  <c r="H12" i="14"/>
  <c r="F12" i="14"/>
  <c r="H11" i="14"/>
  <c r="F11" i="14"/>
  <c r="G10" i="14"/>
  <c r="H10" i="14" s="1"/>
  <c r="H27" i="14" s="1"/>
  <c r="E10" i="14"/>
  <c r="F10" i="14" s="1"/>
  <c r="E73" i="13"/>
  <c r="D73" i="13"/>
  <c r="E72" i="13"/>
  <c r="D72" i="13"/>
  <c r="E71" i="13"/>
  <c r="D71" i="13"/>
  <c r="E70" i="13"/>
  <c r="D70" i="13"/>
  <c r="E69" i="13"/>
  <c r="D69" i="13"/>
  <c r="E68" i="13"/>
  <c r="D68" i="13"/>
  <c r="F68" i="13" s="1"/>
  <c r="E67" i="13"/>
  <c r="D67" i="13"/>
  <c r="F67" i="13" s="1"/>
  <c r="H61" i="13"/>
  <c r="E61" i="13"/>
  <c r="F61" i="13" s="1"/>
  <c r="F62" i="13" s="1"/>
  <c r="F54" i="13"/>
  <c r="F55" i="13" s="1"/>
  <c r="G52" i="13"/>
  <c r="F51" i="13"/>
  <c r="F50" i="13"/>
  <c r="F49" i="13"/>
  <c r="F48" i="13"/>
  <c r="F47" i="13"/>
  <c r="F46" i="13"/>
  <c r="F45" i="13"/>
  <c r="H41" i="13"/>
  <c r="F41" i="13"/>
  <c r="H40" i="13"/>
  <c r="F40" i="13"/>
  <c r="H39" i="13"/>
  <c r="F39" i="13"/>
  <c r="H38" i="13"/>
  <c r="F38" i="13"/>
  <c r="H37" i="13"/>
  <c r="F37" i="13"/>
  <c r="H36" i="13"/>
  <c r="F36" i="13"/>
  <c r="H35" i="13"/>
  <c r="F35" i="13"/>
  <c r="H34" i="13"/>
  <c r="F34" i="13"/>
  <c r="H33" i="13"/>
  <c r="F33" i="13"/>
  <c r="H32" i="13"/>
  <c r="E32" i="13"/>
  <c r="F32" i="13" s="1"/>
  <c r="H31" i="13"/>
  <c r="F31" i="13"/>
  <c r="H26" i="13"/>
  <c r="F26" i="13"/>
  <c r="H25" i="13"/>
  <c r="F25" i="13"/>
  <c r="H24" i="13"/>
  <c r="F24" i="13"/>
  <c r="H23" i="13"/>
  <c r="F23" i="13"/>
  <c r="H22" i="13"/>
  <c r="F22" i="13"/>
  <c r="H21" i="13"/>
  <c r="F21" i="13"/>
  <c r="H20" i="13"/>
  <c r="F20" i="13"/>
  <c r="H19" i="13"/>
  <c r="F19" i="13"/>
  <c r="H18" i="13"/>
  <c r="F18" i="13"/>
  <c r="H17" i="13"/>
  <c r="F17" i="13"/>
  <c r="H16" i="13"/>
  <c r="F16" i="13"/>
  <c r="H15" i="13"/>
  <c r="F15" i="13"/>
  <c r="H14" i="13"/>
  <c r="F14" i="13"/>
  <c r="H13" i="13"/>
  <c r="F13" i="13"/>
  <c r="H12" i="13"/>
  <c r="F12" i="13"/>
  <c r="H11" i="13"/>
  <c r="F11" i="13"/>
  <c r="G10" i="13"/>
  <c r="H10" i="13" s="1"/>
  <c r="E10" i="13"/>
  <c r="F10" i="13" s="1"/>
  <c r="F27" i="13" s="1"/>
  <c r="D66" i="16" l="1"/>
  <c r="F66" i="16" s="1"/>
  <c r="I66" i="16" s="1"/>
  <c r="F72" i="13"/>
  <c r="F27" i="14"/>
  <c r="I28" i="14" s="1"/>
  <c r="F42" i="13"/>
  <c r="H43" i="13" s="1"/>
  <c r="F70" i="13"/>
  <c r="F73" i="13"/>
  <c r="H42" i="14"/>
  <c r="F67" i="14"/>
  <c r="F73" i="14"/>
  <c r="H27" i="13"/>
  <c r="D31" i="16"/>
  <c r="E31" i="16" s="1"/>
  <c r="E30" i="16"/>
  <c r="I61" i="14"/>
  <c r="F71" i="14"/>
  <c r="F52" i="13"/>
  <c r="K57" i="13" s="1"/>
  <c r="D56" i="16" s="1"/>
  <c r="F42" i="14"/>
  <c r="H43" i="14" s="1"/>
  <c r="F69" i="14"/>
  <c r="F52" i="14"/>
  <c r="H42" i="13"/>
  <c r="I61" i="13"/>
  <c r="F71" i="13"/>
  <c r="F69" i="13"/>
  <c r="F74" i="14"/>
  <c r="H52" i="14"/>
  <c r="H53" i="14"/>
  <c r="I55" i="14"/>
  <c r="H55" i="14"/>
  <c r="F74" i="13"/>
  <c r="I28" i="13"/>
  <c r="D63" i="16" l="1"/>
  <c r="F63" i="16" s="1"/>
  <c r="I63" i="16" s="1"/>
  <c r="G56" i="16"/>
  <c r="G74" i="16" s="1"/>
  <c r="E56" i="16"/>
  <c r="E74" i="16" s="1"/>
  <c r="F56" i="16"/>
  <c r="I56" i="16" s="1"/>
  <c r="D62" i="16"/>
  <c r="C55" i="16" s="1"/>
  <c r="F57" i="13"/>
  <c r="E75" i="16"/>
  <c r="D16" i="16"/>
  <c r="E16" i="16" s="1"/>
  <c r="D21" i="16"/>
  <c r="E21" i="16" s="1"/>
  <c r="D32" i="16"/>
  <c r="J27" i="14"/>
  <c r="J28" i="14" s="1"/>
  <c r="K28" i="14" s="1"/>
  <c r="F57" i="14"/>
  <c r="I52" i="14"/>
  <c r="C74" i="16" l="1"/>
  <c r="C15" i="16"/>
  <c r="F62" i="16"/>
  <c r="I62" i="16"/>
  <c r="D20" i="16"/>
  <c r="E20" i="16" s="1"/>
  <c r="D55" i="16"/>
  <c r="K29" i="14"/>
  <c r="C28" i="16"/>
  <c r="D33" i="16"/>
  <c r="E33" i="16" s="1"/>
  <c r="E32" i="16"/>
  <c r="K63" i="14"/>
  <c r="K64" i="14" s="1"/>
  <c r="K63" i="13"/>
  <c r="K64" i="13" s="1"/>
  <c r="F55" i="16" l="1"/>
  <c r="D74" i="16"/>
  <c r="D34" i="16"/>
  <c r="E34" i="16" s="1"/>
  <c r="D15" i="16" l="1"/>
  <c r="I55" i="16"/>
  <c r="I74" i="16" s="1"/>
  <c r="F74" i="16"/>
  <c r="F75" i="16"/>
  <c r="H75" i="16"/>
  <c r="I75" i="16" s="1"/>
  <c r="D36" i="16" s="1"/>
  <c r="E15" i="16" l="1"/>
  <c r="D28" i="16"/>
  <c r="E36" i="16"/>
  <c r="I76" i="16"/>
  <c r="D35" i="16" l="1"/>
  <c r="D37" i="16" s="1"/>
  <c r="E28" i="16"/>
  <c r="E35" i="16" s="1"/>
  <c r="E37" i="16"/>
</calcChain>
</file>

<file path=xl/sharedStrings.xml><?xml version="1.0" encoding="utf-8"?>
<sst xmlns="http://schemas.openxmlformats.org/spreadsheetml/2006/main" count="538" uniqueCount="250">
  <si>
    <t>Item</t>
  </si>
  <si>
    <t>Total</t>
  </si>
  <si>
    <t>LC</t>
  </si>
  <si>
    <t>FC</t>
  </si>
  <si>
    <t>Refractories</t>
  </si>
  <si>
    <t>Sl.No</t>
  </si>
  <si>
    <t>i</t>
  </si>
  <si>
    <t>Foreign Supervision</t>
  </si>
  <si>
    <t>Sl.No.</t>
  </si>
  <si>
    <t>CONFIDENTIAL</t>
  </si>
  <si>
    <t>STEEL AUTHORITY OF INDIA LIMITED</t>
  </si>
  <si>
    <t>PACKAGE COST ESTIMATE</t>
  </si>
  <si>
    <t>Description of Item</t>
  </si>
  <si>
    <t>Supply of Plant &amp; Equipment Incl. Technological Structures</t>
  </si>
  <si>
    <t>Supply of Refractories</t>
  </si>
  <si>
    <t>Purchaser's Scope:</t>
  </si>
  <si>
    <t>ii</t>
  </si>
  <si>
    <t>iii</t>
  </si>
  <si>
    <t>Basic cost</t>
  </si>
  <si>
    <t xml:space="preserve">                  Indigenous supplies &amp; services</t>
  </si>
  <si>
    <t>Imp. Items</t>
  </si>
  <si>
    <t>Indg. Items</t>
  </si>
  <si>
    <t>Design &amp; Engineering</t>
  </si>
  <si>
    <t xml:space="preserve">Supply of Plant &amp; eqpt  </t>
  </si>
  <si>
    <t>Supply of  SW</t>
  </si>
  <si>
    <t xml:space="preserve">Supply of  Tech Strs </t>
  </si>
  <si>
    <t>Building structures</t>
  </si>
  <si>
    <t>Training</t>
  </si>
  <si>
    <t>a) Ocean Freight</t>
  </si>
  <si>
    <t>b) Custom, port clearance &amp; inland trasport</t>
  </si>
  <si>
    <t>-do</t>
  </si>
  <si>
    <t>Date: 04.02.2015</t>
  </si>
  <si>
    <t xml:space="preserve">Ref. No.: CET-17(4)/4004/  31       </t>
  </si>
  <si>
    <t>1 EURO=Rs.</t>
  </si>
  <si>
    <t>1 USD=Rs.</t>
  </si>
  <si>
    <t>13.05.2016</t>
  </si>
  <si>
    <t>Erection for imported supply</t>
  </si>
  <si>
    <t xml:space="preserve">Erection for refractory </t>
  </si>
  <si>
    <t>Erection for plant &amp; equipt</t>
  </si>
  <si>
    <t xml:space="preserve">Erection for structure </t>
  </si>
  <si>
    <t>Rs. Cr.</t>
  </si>
  <si>
    <t>Purchaser's scope</t>
  </si>
  <si>
    <t xml:space="preserve">Included above </t>
  </si>
  <si>
    <t>Civil Engineering Work including all related supplies- for equipment foundation</t>
  </si>
  <si>
    <t>GST Ind. supply</t>
  </si>
  <si>
    <t>GST Ind. services</t>
  </si>
  <si>
    <t xml:space="preserve">Inland Frt &amp; Ins </t>
  </si>
  <si>
    <t>CD</t>
  </si>
  <si>
    <t>Rs. Crore</t>
  </si>
  <si>
    <t xml:space="preserve">Social welfare surcharge @ 10% on BCD </t>
  </si>
  <si>
    <t>iv</t>
  </si>
  <si>
    <t>v</t>
  </si>
  <si>
    <t>Income Tax  @ 10 % grossed-up on imported services</t>
  </si>
  <si>
    <t>GST @ 18 % on imported Services &amp; IT</t>
  </si>
  <si>
    <t xml:space="preserve">GST @ 18 % on imported supply </t>
  </si>
  <si>
    <t>Dismantling</t>
  </si>
  <si>
    <t xml:space="preserve">Erection of Plant &amp; eqpt </t>
  </si>
  <si>
    <t xml:space="preserve">Erection of Tech Strs, </t>
  </si>
  <si>
    <t xml:space="preserve">Erection of  build. strs </t>
  </si>
  <si>
    <t xml:space="preserve">Erection of  Refractories </t>
  </si>
  <si>
    <t xml:space="preserve">Design &amp; Engineering </t>
  </si>
  <si>
    <t xml:space="preserve">Supply of Building steel structures including Sheeting and Glazing 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</si>
  <si>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</si>
  <si>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</si>
  <si>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</si>
  <si>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_____mandays</t>
    </r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</si>
  <si>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</si>
  <si>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</si>
  <si>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</si>
  <si>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>Supply of 2 years O &amp; M spares</t>
  </si>
  <si>
    <t>Sub-total (1 to 13)</t>
  </si>
  <si>
    <t>Input tax credit (ITC) for GST</t>
  </si>
  <si>
    <t>Civil work incl. all related supplies -Equipment foundation</t>
  </si>
  <si>
    <t>Civil work incl. all related supplies - Others</t>
  </si>
  <si>
    <t>ITC for GST</t>
  </si>
  <si>
    <t>Supply of 2 years O&amp;M spares</t>
  </si>
  <si>
    <t>BCD @7.5%  on CIF</t>
  </si>
  <si>
    <t>BOKARO STEEL PLANT</t>
  </si>
  <si>
    <t xml:space="preserve">Installation of FDA in all substations and cable cellar and CCTV surveillance with Central Control Room </t>
  </si>
  <si>
    <t>02/DE/4750</t>
  </si>
  <si>
    <t>PRICE (in Lakhs)</t>
  </si>
  <si>
    <t>SL. No.</t>
  </si>
  <si>
    <t>Description  Name of item, specification</t>
  </si>
  <si>
    <t>Unit</t>
  </si>
  <si>
    <t>Qty.</t>
  </si>
  <si>
    <t>K.K Engineering Works- Dated 01.12.2021</t>
  </si>
  <si>
    <t>Johnson Controls Dated 30.11.2021</t>
  </si>
  <si>
    <t>Unit Price (in INR)</t>
  </si>
  <si>
    <t>Total Price (in Lakhs)</t>
  </si>
  <si>
    <t>I</t>
  </si>
  <si>
    <t>Equipment</t>
  </si>
  <si>
    <t>Process, Control &amp; Automation (PC&amp;A)</t>
  </si>
  <si>
    <t>1.A</t>
  </si>
  <si>
    <t xml:space="preserve">Beam Detector with necessary power supply unit </t>
  </si>
  <si>
    <t>Nos.</t>
  </si>
  <si>
    <t>Escalation factor of 1.07 considered from Dec2021 to June 2022 as per WPI (All commodites)</t>
  </si>
  <si>
    <t>1.B</t>
  </si>
  <si>
    <t>Multicriteria Detector</t>
  </si>
  <si>
    <t>1.C</t>
  </si>
  <si>
    <t>LHS cable</t>
  </si>
  <si>
    <t>Mtr.</t>
  </si>
  <si>
    <t>1.D</t>
  </si>
  <si>
    <t>Analogue controller for LHS cable</t>
  </si>
  <si>
    <t>1.E</t>
  </si>
  <si>
    <t>MCP</t>
  </si>
  <si>
    <t>1.F</t>
  </si>
  <si>
    <t>Hooter</t>
  </si>
  <si>
    <t>1.G</t>
  </si>
  <si>
    <t>Control Module</t>
  </si>
  <si>
    <t>1.H</t>
  </si>
  <si>
    <t>Monitor Module</t>
  </si>
  <si>
    <t>Relay Module</t>
  </si>
  <si>
    <t>1.I</t>
  </si>
  <si>
    <t>Fire Alarm Panel</t>
  </si>
  <si>
    <t>1.J</t>
  </si>
  <si>
    <t>Network Repeater Panel</t>
  </si>
  <si>
    <t>1.K</t>
  </si>
  <si>
    <t>Graphic Software</t>
  </si>
  <si>
    <t>1.L</t>
  </si>
  <si>
    <t>PC base monitoring station</t>
  </si>
  <si>
    <t>1.M</t>
  </si>
  <si>
    <t>FRLS Cable</t>
  </si>
  <si>
    <t>1.N</t>
  </si>
  <si>
    <t xml:space="preserve">FO Cable </t>
  </si>
  <si>
    <t>1.O</t>
  </si>
  <si>
    <t>Chair</t>
  </si>
  <si>
    <t>1.P</t>
  </si>
  <si>
    <t>Table</t>
  </si>
  <si>
    <t>Sub-total  (PC&amp;A)</t>
  </si>
  <si>
    <t>Computer &amp; Information Technology (C&amp;IT)</t>
  </si>
  <si>
    <t>2.A</t>
  </si>
  <si>
    <t xml:space="preserve">IP based bullet type CCTV camera  </t>
  </si>
  <si>
    <t>2.B</t>
  </si>
  <si>
    <t xml:space="preserve">NVR/VMS </t>
  </si>
  <si>
    <t>2.C</t>
  </si>
  <si>
    <t xml:space="preserve">60 TB Storage Server </t>
  </si>
  <si>
    <t>Lot</t>
  </si>
  <si>
    <t>2.D</t>
  </si>
  <si>
    <t xml:space="preserve">PC based monitoring station </t>
  </si>
  <si>
    <t>2.E</t>
  </si>
  <si>
    <t>8 port POE with 2 SFP port</t>
  </si>
  <si>
    <t>2.F</t>
  </si>
  <si>
    <t>24 port switch with 4 SFP port</t>
  </si>
  <si>
    <t>2.G</t>
  </si>
  <si>
    <t xml:space="preserve">9 U Rack </t>
  </si>
  <si>
    <t>2.H</t>
  </si>
  <si>
    <t>42 U Rack</t>
  </si>
  <si>
    <t>2.I</t>
  </si>
  <si>
    <t xml:space="preserve">52 inch LED monitor </t>
  </si>
  <si>
    <t>2.J</t>
  </si>
  <si>
    <t xml:space="preserve">Laser Jet Printer </t>
  </si>
  <si>
    <t>2.K</t>
  </si>
  <si>
    <t>UTP cable</t>
  </si>
  <si>
    <t>Sub-total ( C&amp;IT)</t>
  </si>
  <si>
    <t>Electrical</t>
  </si>
  <si>
    <t>Unit Rate</t>
  </si>
  <si>
    <t>Price (in Lakhs)</t>
  </si>
  <si>
    <t>Basis</t>
  </si>
  <si>
    <t>3.A</t>
  </si>
  <si>
    <t>Standalone UPS of 1 kVA capacity , 30 min battery with backup SMF VRLA battery, input/output -1 ph,  rack etc-56 nos. (model Liebert GXT MT+ CX 1 kVA Long Backup UPS System)</t>
  </si>
  <si>
    <t>no</t>
  </si>
  <si>
    <t>Vertiv BQ dated 3.12.21 +3.2 % IEEMA escalation from DEc21 to Aug22</t>
  </si>
  <si>
    <t>3.B</t>
  </si>
  <si>
    <t>15/5A (4 nos.) distritubion board for each UPS</t>
  </si>
  <si>
    <t xml:space="preserve"> Engg estimate based on cost database</t>
  </si>
  <si>
    <t>3.C</t>
  </si>
  <si>
    <t>Parallel redundant  2X3 KVA UPS system, 30 min battery back up with ACDB</t>
  </si>
  <si>
    <t>Vertiv BQ dated 2.12.21+3.2 % IEEMA escalation</t>
  </si>
  <si>
    <t>3.D</t>
  </si>
  <si>
    <t>Power/ control junction boxes (1 no each substation= 57no)</t>
  </si>
  <si>
    <t>set</t>
  </si>
  <si>
    <t>Illumination system in Central control room with LED lights, wall mounted fans, SDBs, battery operated emergency light, DB for split AC units etc</t>
  </si>
  <si>
    <t>3.E</t>
  </si>
  <si>
    <t>Earthing protection system and other associated earthing material at 57 substations</t>
  </si>
  <si>
    <t>Engg estimate based on executed project in BSL</t>
  </si>
  <si>
    <t>3.F</t>
  </si>
  <si>
    <t>LT Power and Control Cable etc.</t>
  </si>
  <si>
    <t>List price of M/s Havells July 22 with 20% discount</t>
  </si>
  <si>
    <t>Sub-total(Electrical)</t>
  </si>
  <si>
    <t xml:space="preserve">Utility </t>
  </si>
  <si>
    <t>4.A</t>
  </si>
  <si>
    <t>Split type AC</t>
  </si>
  <si>
    <t>GeM Portal</t>
  </si>
  <si>
    <t>Sub-total(Utility)</t>
  </si>
  <si>
    <t>Total Equipment Cost</t>
  </si>
  <si>
    <t>Equipment / items</t>
  </si>
  <si>
    <t>Qty./ Weight</t>
  </si>
  <si>
    <t>Rate</t>
  </si>
  <si>
    <t>II</t>
  </si>
  <si>
    <t xml:space="preserve">Dismantling </t>
  </si>
  <si>
    <t>Dismantling of existing dead panels in Existing Telemetry room of MSDS-1 in Central Control Room</t>
  </si>
  <si>
    <t>T</t>
  </si>
  <si>
    <t>Engineering Estimate</t>
  </si>
  <si>
    <t>Total Cost of Dismantling</t>
  </si>
  <si>
    <t xml:space="preserve">Total increase in basic cost </t>
  </si>
  <si>
    <t>Description of Civil works</t>
  </si>
  <si>
    <t>Amount (in Lakh)</t>
  </si>
  <si>
    <t>DSR-2021 Item No.</t>
  </si>
  <si>
    <t>III</t>
  </si>
  <si>
    <t>Civil Work</t>
  </si>
  <si>
    <t>Other than Equipment Foundation</t>
  </si>
  <si>
    <t>Dismatling of loose plaster and Patch Plastering</t>
  </si>
  <si>
    <t>Sqm</t>
  </si>
  <si>
    <t>14.1.2</t>
  </si>
  <si>
    <t>Removal of the existing paint of both the rooms and repainting with acrylic emulsion paints (2 coats) after necessary surface preparation and providing cement based putty</t>
  </si>
  <si>
    <t>13.88+13.82.2+13.80</t>
  </si>
  <si>
    <t>Removal of existing windows and providing new powder coated aluminium framed windows with shutter and glazing of minimum thickness of 5mm</t>
  </si>
  <si>
    <t>15.57+4*21.1.1.2+8*21.1.2.2+21.3.2</t>
  </si>
  <si>
    <t>Hacking of existing damaged flooring and making good of the same as per the existing finish</t>
  </si>
  <si>
    <t>14.83+11.3.1</t>
  </si>
  <si>
    <t>Removal of existing false flooring and providing 2mm thick heavy duty PVC tiles (heavy duty vinyl flooring) on IPS floors and skirting with adhesive etc.</t>
  </si>
  <si>
    <t>Item F1 of WO. No. -17(7)/536/02/CONT/Renovation273 dtd.14.12.2016 =Rs. 600/m2+ dismantling of false flooring item no DIS-4 rate Rs300/=</t>
  </si>
  <si>
    <t xml:space="preserve">Dismantling of exiting wall of Telementy room </t>
  </si>
  <si>
    <t>Providing new gypsum board false ceiling in existing telemetry room with hangers, Tees and angles</t>
  </si>
  <si>
    <t>12.45.1</t>
  </si>
  <si>
    <t>Total cost of Civil Works for other than Equipment Foundation</t>
  </si>
  <si>
    <t>TS NO.:</t>
  </si>
  <si>
    <t>Package cost net of ITC for GST (15-16)</t>
  </si>
  <si>
    <t>Total Package Cost</t>
  </si>
  <si>
    <t>E-Square
Dated 12.06.2023</t>
  </si>
  <si>
    <t>E-Square
Dated 09.06.2023</t>
  </si>
  <si>
    <t>BQ of M/s Fuji dated 14.06.2023</t>
  </si>
  <si>
    <t>List price of M/s Havells Jan 23 with 20% discount</t>
  </si>
  <si>
    <t>List Price of M/s Bluestar from Website dated 16.06.2023</t>
  </si>
  <si>
    <t>Escalation factor of 1.07 considered from Dec2021 to June 2022 as per WPI (All commodites); 2% ESCALATION FROM June 2022 to JUNE 2023</t>
  </si>
  <si>
    <t>Escalation factor of 1.07 considered from Dec2021 to June 2022 as per WPI (All commodites) 2% ESCALATION FROM June 2022 to JUNE 2023</t>
  </si>
  <si>
    <t>Annexure-I</t>
  </si>
  <si>
    <t xml:space="preserve">Comparative statement of the quoted prices w.r.t. estimate </t>
  </si>
  <si>
    <t>₹ Crore</t>
  </si>
  <si>
    <t xml:space="preserve">ESTIMATE </t>
  </si>
  <si>
    <t>Included above</t>
  </si>
  <si>
    <t>Package cost net of ITC for GST (14-15)</t>
  </si>
  <si>
    <t>Variance w.r.t estimate</t>
  </si>
  <si>
    <t>Ranking</t>
  </si>
  <si>
    <t>L-1</t>
  </si>
  <si>
    <t>L-2</t>
  </si>
  <si>
    <t>This is a computer generated document. This does not require signature.</t>
  </si>
  <si>
    <t>M/s DG Micropronix pvt. Ltd.- Kolkata</t>
  </si>
  <si>
    <t>M/s Reliance Fire Protection Systems. - Mumbai</t>
  </si>
  <si>
    <t>L-3</t>
  </si>
  <si>
    <t>L-4</t>
  </si>
  <si>
    <t xml:space="preserve">M/s West Bengal Electronics Industry Devleopment Corporation   ltd. </t>
  </si>
  <si>
    <t>Procurement of Installation of FDA &amp; CCTV system in all HT substations along with centralized monitoring at BSL</t>
  </si>
  <si>
    <t xml:space="preserve">REVISED PRICE BID EVALUATION </t>
  </si>
  <si>
    <t xml:space="preserve">TOTAL ITC </t>
  </si>
  <si>
    <t>M/s Glyptic India Revised Price Break Up dt.22.09.2023 (vide email from BSL dt.05.10.2023)</t>
  </si>
  <si>
    <t>Ref. No.: CET-17(4)/4750-243</t>
  </si>
  <si>
    <t>Date:07.10.2023</t>
  </si>
  <si>
    <t>Foreign Supervision charges in India during erection, startup, commissioning and PG test for _____mandays</t>
  </si>
  <si>
    <t xml:space="preserve">Total Package Cost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</si>
</sst>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.00_);_(* \(#,##0.00\);_(* &quot;-&quot;??_);_(@_)"/>
    <numFmt numFmtId="165" formatCode="0.00_)"/>
    <numFmt numFmtId="166" formatCode="0_)"/>
    <numFmt numFmtId="167" formatCode="0.0%"/>
    <numFmt numFmtId="168" formatCode="0.0_)"/>
    <numFmt numFmtId="169" formatCode="0.00000_)"/>
    <numFmt numFmtId="170" formatCode="0.000000_)"/>
    <numFmt numFmtId="171" formatCode="_-* #,##0_-;\-* #,##0_-;_-* &quot;-&quot;??_-;_-@_-"/>
    <numFmt numFmtId="172" formatCode="0.0"/>
    <numFmt numFmtId="173" formatCode="&quot;Rs&quot;#,##0.00_);[Red]\(&quot;Rs&quot;#,##0.00\)"/>
    <numFmt numFmtId="174" formatCode="0.00000000000"/>
    <numFmt numFmtId="175" formatCode="_(* #,##0.0000_);_(* \(#,##0.0000\);_(* &quot;-&quot;????_);_(@_)"/>
    <numFmt numFmtId="176" formatCode="0.0000000_)"/>
  </numFmts>
  <fonts count="58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0"/>
      <color indexed="56"/>
      <name val="Arial"/>
      <family val="2"/>
    </font>
    <font>
      <sz val="10"/>
      <color indexed="10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56"/>
      <name val="Arial"/>
      <family val="2"/>
    </font>
    <font>
      <b/>
      <sz val="11"/>
      <name val="Segoe UI"/>
      <family val="2"/>
    </font>
    <font>
      <sz val="11"/>
      <name val="Arial"/>
      <family val="2"/>
    </font>
    <font>
      <sz val="11"/>
      <name val="Segoe UI"/>
      <family val="2"/>
    </font>
    <font>
      <b/>
      <sz val="12"/>
      <name val="Segoe UI"/>
      <family val="2"/>
    </font>
    <font>
      <b/>
      <sz val="11"/>
      <color theme="1"/>
      <name val="Segoe UI"/>
      <family val="2"/>
    </font>
    <font>
      <b/>
      <sz val="16"/>
      <name val="Segoe UI"/>
      <family val="2"/>
    </font>
    <font>
      <b/>
      <sz val="16"/>
      <color theme="1"/>
      <name val="Segoe UI"/>
      <family val="2"/>
    </font>
    <font>
      <sz val="11"/>
      <color theme="1"/>
      <name val="Segoe UI"/>
      <family val="2"/>
    </font>
    <font>
      <b/>
      <i/>
      <sz val="11"/>
      <name val="Segoe UI"/>
      <family val="2"/>
    </font>
    <font>
      <b/>
      <sz val="11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i/>
      <sz val="10"/>
      <name val="Segoe U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Courier"/>
      <family val="3"/>
    </font>
    <font>
      <b/>
      <u/>
      <sz val="11"/>
      <color theme="1"/>
      <name val="Calibri"/>
      <family val="2"/>
      <scheme val="minor"/>
    </font>
    <font>
      <b/>
      <sz val="11"/>
      <color theme="1" tint="4.9989318521683403E-2"/>
      <name val="Cambria"/>
      <family val="1"/>
      <scheme val="major"/>
    </font>
    <font>
      <sz val="11"/>
      <color theme="1" tint="4.9989318521683403E-2"/>
      <name val="Cambria"/>
      <family val="1"/>
      <scheme val="maj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4">
    <xf numFmtId="165" fontId="0" fillId="0" borderId="0"/>
    <xf numFmtId="165" fontId="15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9" fontId="6" fillId="0" borderId="0" applyFont="0" applyFill="0" applyBorder="0" applyAlignment="0" applyProtection="0"/>
    <xf numFmtId="171" fontId="10" fillId="0" borderId="0"/>
    <xf numFmtId="0" fontId="4" fillId="0" borderId="0"/>
    <xf numFmtId="164" fontId="10" fillId="0" borderId="0"/>
    <xf numFmtId="0" fontId="2" fillId="0" borderId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3" borderId="0" applyNumberFormat="0" applyBorder="0" applyAlignment="0" applyProtection="0"/>
    <xf numFmtId="0" fontId="38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1" borderId="0" applyNumberFormat="0" applyBorder="0" applyAlignment="0" applyProtection="0"/>
    <xf numFmtId="0" fontId="39" fillId="19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40" fillId="22" borderId="0" applyNumberFormat="0" applyBorder="0" applyAlignment="0" applyProtection="0"/>
    <xf numFmtId="0" fontId="52" fillId="23" borderId="16" applyNumberFormat="0" applyAlignment="0" applyProtection="0"/>
    <xf numFmtId="0" fontId="41" fillId="24" borderId="17" applyNumberFormat="0" applyAlignment="0" applyProtection="0"/>
    <xf numFmtId="164" fontId="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13" borderId="0" applyNumberFormat="0" applyBorder="0" applyAlignment="0" applyProtection="0"/>
    <xf numFmtId="0" fontId="44" fillId="0" borderId="18" applyNumberFormat="0" applyFill="0" applyAlignment="0" applyProtection="0"/>
    <xf numFmtId="0" fontId="45" fillId="0" borderId="19" applyNumberFormat="0" applyFill="0" applyAlignment="0" applyProtection="0"/>
    <xf numFmtId="0" fontId="46" fillId="0" borderId="20" applyNumberFormat="0" applyFill="0" applyAlignment="0" applyProtection="0"/>
    <xf numFmtId="0" fontId="46" fillId="0" borderId="0" applyNumberFormat="0" applyFill="0" applyBorder="0" applyAlignment="0" applyProtection="0"/>
    <xf numFmtId="0" fontId="47" fillId="14" borderId="16" applyNumberFormat="0" applyAlignment="0" applyProtection="0"/>
    <xf numFmtId="0" fontId="51" fillId="0" borderId="21" applyNumberFormat="0" applyFill="0" applyAlignment="0" applyProtection="0"/>
    <xf numFmtId="0" fontId="53" fillId="14" borderId="0" applyNumberFormat="0" applyBorder="0" applyAlignment="0" applyProtection="0"/>
    <xf numFmtId="0" fontId="1" fillId="0" borderId="0"/>
    <xf numFmtId="169" fontId="10" fillId="0" borderId="0"/>
    <xf numFmtId="0" fontId="1" fillId="0" borderId="0"/>
    <xf numFmtId="165" fontId="10" fillId="0" borderId="0"/>
    <xf numFmtId="175" fontId="10" fillId="0" borderId="0"/>
    <xf numFmtId="167" fontId="54" fillId="0" borderId="0"/>
    <xf numFmtId="174" fontId="54" fillId="0" borderId="0"/>
    <xf numFmtId="165" fontId="10" fillId="0" borderId="0"/>
    <xf numFmtId="165" fontId="10" fillId="0" borderId="0"/>
    <xf numFmtId="165" fontId="10" fillId="0" borderId="0"/>
    <xf numFmtId="173" fontId="10" fillId="0" borderId="0"/>
    <xf numFmtId="0" fontId="1" fillId="0" borderId="0"/>
    <xf numFmtId="0" fontId="6" fillId="12" borderId="22" applyNumberFormat="0" applyFont="0" applyAlignment="0" applyProtection="0"/>
    <xf numFmtId="0" fontId="48" fillId="23" borderId="23" applyNumberFormat="0" applyAlignment="0" applyProtection="0"/>
    <xf numFmtId="9" fontId="6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</cellStyleXfs>
  <cellXfs count="385">
    <xf numFmtId="165" fontId="0" fillId="0" borderId="0" xfId="0"/>
    <xf numFmtId="9" fontId="10" fillId="0" borderId="0" xfId="2" applyFont="1" applyBorder="1"/>
    <xf numFmtId="10" fontId="10" fillId="0" borderId="0" xfId="2" applyNumberFormat="1" applyFont="1" applyBorder="1"/>
    <xf numFmtId="165" fontId="10" fillId="0" borderId="0" xfId="15" applyNumberFormat="1"/>
    <xf numFmtId="165" fontId="12" fillId="0" borderId="0" xfId="15" applyNumberFormat="1" applyFont="1" applyAlignment="1">
      <alignment horizontal="right"/>
    </xf>
    <xf numFmtId="0" fontId="4" fillId="0" borderId="0" xfId="16"/>
    <xf numFmtId="165" fontId="10" fillId="0" borderId="0" xfId="15" applyNumberFormat="1" applyAlignment="1">
      <alignment vertical="top"/>
    </xf>
    <xf numFmtId="165" fontId="10" fillId="0" borderId="0" xfId="15" applyNumberFormat="1" applyAlignment="1">
      <alignment horizontal="right"/>
    </xf>
    <xf numFmtId="165" fontId="10" fillId="0" borderId="0" xfId="15" applyNumberFormat="1" applyAlignment="1">
      <alignment horizontal="left" vertical="top"/>
    </xf>
    <xf numFmtId="165" fontId="10" fillId="0" borderId="0" xfId="15" applyNumberFormat="1" applyAlignment="1">
      <alignment horizontal="left"/>
    </xf>
    <xf numFmtId="165" fontId="9" fillId="0" borderId="0" xfId="15" applyNumberFormat="1" applyFont="1" applyAlignment="1">
      <alignment horizontal="center"/>
    </xf>
    <xf numFmtId="165" fontId="10" fillId="0" borderId="0" xfId="15" applyNumberFormat="1" applyAlignment="1">
      <alignment horizontal="center"/>
    </xf>
    <xf numFmtId="165" fontId="8" fillId="0" borderId="0" xfId="15" applyNumberFormat="1" applyFont="1" applyAlignment="1">
      <alignment horizontal="center"/>
    </xf>
    <xf numFmtId="3" fontId="8" fillId="0" borderId="12" xfId="16" applyNumberFormat="1" applyFont="1" applyBorder="1"/>
    <xf numFmtId="165" fontId="10" fillId="0" borderId="12" xfId="16" applyNumberFormat="1" applyFont="1" applyBorder="1" applyAlignment="1">
      <alignment horizontal="left"/>
    </xf>
    <xf numFmtId="165" fontId="10" fillId="0" borderId="12" xfId="15" applyNumberFormat="1" applyBorder="1"/>
    <xf numFmtId="165" fontId="8" fillId="0" borderId="12" xfId="16" applyNumberFormat="1" applyFont="1" applyBorder="1" applyAlignment="1">
      <alignment horizontal="left"/>
    </xf>
    <xf numFmtId="165" fontId="8" fillId="0" borderId="0" xfId="15" applyNumberFormat="1" applyFont="1" applyAlignment="1">
      <alignment horizontal="right"/>
    </xf>
    <xf numFmtId="165" fontId="8" fillId="0" borderId="0" xfId="16" applyNumberFormat="1" applyFont="1"/>
    <xf numFmtId="165" fontId="4" fillId="0" borderId="0" xfId="16" applyNumberFormat="1"/>
    <xf numFmtId="166" fontId="4" fillId="0" borderId="0" xfId="16" applyNumberFormat="1"/>
    <xf numFmtId="3" fontId="8" fillId="0" borderId="13" xfId="16" applyNumberFormat="1" applyFont="1" applyBorder="1" applyAlignment="1">
      <alignment horizontal="center" vertical="top"/>
    </xf>
    <xf numFmtId="170" fontId="8" fillId="0" borderId="14" xfId="16" applyNumberFormat="1" applyFont="1" applyBorder="1" applyAlignment="1">
      <alignment horizontal="center" vertical="top"/>
    </xf>
    <xf numFmtId="165" fontId="8" fillId="0" borderId="14" xfId="15" applyNumberFormat="1" applyFont="1" applyBorder="1" applyAlignment="1">
      <alignment horizontal="center" vertical="top"/>
    </xf>
    <xf numFmtId="170" fontId="8" fillId="0" borderId="13" xfId="16" applyNumberFormat="1" applyFont="1" applyBorder="1" applyAlignment="1">
      <alignment horizontal="center" vertical="top"/>
    </xf>
    <xf numFmtId="165" fontId="8" fillId="0" borderId="0" xfId="15" applyNumberFormat="1" applyFont="1" applyAlignment="1">
      <alignment vertical="top" wrapText="1"/>
    </xf>
    <xf numFmtId="165" fontId="10" fillId="0" borderId="0" xfId="15" applyNumberFormat="1" applyAlignment="1">
      <alignment horizontal="center" vertical="center"/>
    </xf>
    <xf numFmtId="165" fontId="8" fillId="0" borderId="0" xfId="16" applyNumberFormat="1" applyFont="1" applyAlignment="1">
      <alignment horizontal="left"/>
    </xf>
    <xf numFmtId="172" fontId="10" fillId="0" borderId="0" xfId="15" applyNumberFormat="1" applyAlignment="1">
      <alignment horizontal="center"/>
    </xf>
    <xf numFmtId="165" fontId="11" fillId="0" borderId="0" xfId="16" applyNumberFormat="1" applyFont="1" applyAlignment="1">
      <alignment horizontal="right"/>
    </xf>
    <xf numFmtId="3" fontId="10" fillId="0" borderId="2" xfId="16" applyNumberFormat="1" applyFont="1" applyBorder="1" applyAlignment="1">
      <alignment horizontal="center" vertical="top"/>
    </xf>
    <xf numFmtId="170" fontId="10" fillId="0" borderId="2" xfId="16" applyNumberFormat="1" applyFont="1" applyBorder="1" applyAlignment="1">
      <alignment horizontal="left" vertical="top" wrapText="1"/>
    </xf>
    <xf numFmtId="165" fontId="10" fillId="0" borderId="7" xfId="16" applyNumberFormat="1" applyFont="1" applyBorder="1" applyAlignment="1">
      <alignment vertical="top"/>
    </xf>
    <xf numFmtId="165" fontId="10" fillId="0" borderId="7" xfId="15" applyNumberFormat="1" applyBorder="1" applyAlignment="1">
      <alignment vertical="top" wrapText="1"/>
    </xf>
    <xf numFmtId="165" fontId="10" fillId="0" borderId="2" xfId="15" applyNumberFormat="1" applyBorder="1" applyAlignment="1">
      <alignment vertical="top" wrapText="1"/>
    </xf>
    <xf numFmtId="0" fontId="18" fillId="0" borderId="0" xfId="16" applyFont="1" applyAlignment="1">
      <alignment vertical="top"/>
    </xf>
    <xf numFmtId="165" fontId="8" fillId="0" borderId="0" xfId="15" applyNumberFormat="1" applyFont="1" applyAlignment="1">
      <alignment horizontal="center" vertical="center"/>
    </xf>
    <xf numFmtId="165" fontId="10" fillId="0" borderId="0" xfId="15" applyNumberFormat="1" applyAlignment="1">
      <alignment horizontal="center" vertical="top"/>
    </xf>
    <xf numFmtId="165" fontId="10" fillId="0" borderId="0" xfId="15" applyNumberFormat="1" applyAlignment="1">
      <alignment vertical="top" wrapText="1"/>
    </xf>
    <xf numFmtId="2" fontId="10" fillId="0" borderId="0" xfId="15" applyNumberFormat="1" applyAlignment="1">
      <alignment vertical="top"/>
    </xf>
    <xf numFmtId="165" fontId="12" fillId="0" borderId="0" xfId="16" applyNumberFormat="1" applyFont="1"/>
    <xf numFmtId="1" fontId="4" fillId="0" borderId="0" xfId="16" applyNumberFormat="1" applyAlignment="1">
      <alignment vertical="top"/>
    </xf>
    <xf numFmtId="165" fontId="4" fillId="0" borderId="0" xfId="16" applyNumberFormat="1" applyAlignment="1">
      <alignment vertical="top"/>
    </xf>
    <xf numFmtId="169" fontId="10" fillId="0" borderId="2" xfId="17" applyNumberFormat="1" applyBorder="1" applyAlignment="1">
      <alignment vertical="top" wrapText="1"/>
    </xf>
    <xf numFmtId="165" fontId="10" fillId="0" borderId="7" xfId="15" applyNumberFormat="1" applyBorder="1" applyAlignment="1">
      <alignment vertical="top"/>
    </xf>
    <xf numFmtId="2" fontId="10" fillId="0" borderId="0" xfId="16" applyNumberFormat="1" applyFont="1" applyAlignment="1">
      <alignment vertical="top"/>
    </xf>
    <xf numFmtId="165" fontId="10" fillId="0" borderId="0" xfId="15" applyNumberFormat="1" applyAlignment="1">
      <alignment horizontal="right" vertical="top"/>
    </xf>
    <xf numFmtId="1" fontId="4" fillId="0" borderId="0" xfId="16" applyNumberFormat="1" applyAlignment="1">
      <alignment horizontal="center" vertical="top"/>
    </xf>
    <xf numFmtId="165" fontId="8" fillId="0" borderId="0" xfId="16" applyNumberFormat="1" applyFont="1" applyAlignment="1">
      <alignment horizontal="center" vertical="top"/>
    </xf>
    <xf numFmtId="165" fontId="4" fillId="0" borderId="0" xfId="16" applyNumberFormat="1" applyAlignment="1">
      <alignment horizontal="center" vertical="top"/>
    </xf>
    <xf numFmtId="165" fontId="4" fillId="0" borderId="0" xfId="16" applyNumberFormat="1" applyAlignment="1">
      <alignment horizontal="right" vertical="top"/>
    </xf>
    <xf numFmtId="165" fontId="4" fillId="0" borderId="0" xfId="16" applyNumberFormat="1" applyAlignment="1">
      <alignment horizontal="left"/>
    </xf>
    <xf numFmtId="2" fontId="10" fillId="0" borderId="7" xfId="15" applyNumberFormat="1" applyBorder="1" applyAlignment="1">
      <alignment vertical="top"/>
    </xf>
    <xf numFmtId="2" fontId="10" fillId="0" borderId="0" xfId="15" applyNumberFormat="1"/>
    <xf numFmtId="2" fontId="10" fillId="0" borderId="0" xfId="15" applyNumberFormat="1" applyAlignment="1">
      <alignment vertical="top" wrapText="1"/>
    </xf>
    <xf numFmtId="166" fontId="10" fillId="0" borderId="0" xfId="15" applyNumberFormat="1" applyAlignment="1">
      <alignment horizontal="center" vertical="top" wrapText="1"/>
    </xf>
    <xf numFmtId="165" fontId="4" fillId="0" borderId="0" xfId="16" applyNumberFormat="1" applyAlignment="1">
      <alignment horizontal="left" vertical="top" wrapText="1"/>
    </xf>
    <xf numFmtId="170" fontId="10" fillId="0" borderId="2" xfId="16" applyNumberFormat="1" applyFont="1" applyBorder="1" applyAlignment="1">
      <alignment vertical="top"/>
    </xf>
    <xf numFmtId="165" fontId="10" fillId="0" borderId="0" xfId="16" applyNumberFormat="1" applyFont="1" applyAlignment="1">
      <alignment vertical="top"/>
    </xf>
    <xf numFmtId="165" fontId="11" fillId="0" borderId="0" xfId="16" applyNumberFormat="1" applyFont="1" applyAlignment="1">
      <alignment horizontal="center"/>
    </xf>
    <xf numFmtId="165" fontId="11" fillId="0" borderId="0" xfId="16" applyNumberFormat="1" applyFont="1"/>
    <xf numFmtId="165" fontId="6" fillId="0" borderId="0" xfId="16" applyNumberFormat="1" applyFont="1" applyAlignment="1">
      <alignment horizontal="center"/>
    </xf>
    <xf numFmtId="165" fontId="19" fillId="0" borderId="0" xfId="16" applyNumberFormat="1" applyFont="1" applyAlignment="1">
      <alignment vertical="top"/>
    </xf>
    <xf numFmtId="0" fontId="4" fillId="0" borderId="0" xfId="16" applyAlignment="1">
      <alignment vertical="top"/>
    </xf>
    <xf numFmtId="170" fontId="10" fillId="0" borderId="2" xfId="16" applyNumberFormat="1" applyFont="1" applyBorder="1" applyAlignment="1">
      <alignment vertical="top" wrapText="1"/>
    </xf>
    <xf numFmtId="165" fontId="10" fillId="0" borderId="7" xfId="16" applyNumberFormat="1" applyFont="1" applyBorder="1" applyAlignment="1">
      <alignment vertical="top" wrapText="1"/>
    </xf>
    <xf numFmtId="2" fontId="10" fillId="0" borderId="7" xfId="15" applyNumberFormat="1" applyBorder="1" applyAlignment="1">
      <alignment vertical="top" wrapText="1"/>
    </xf>
    <xf numFmtId="168" fontId="10" fillId="0" borderId="0" xfId="15" applyNumberFormat="1" applyAlignment="1">
      <alignment horizontal="center" vertical="top"/>
    </xf>
    <xf numFmtId="1" fontId="6" fillId="0" borderId="0" xfId="16" applyNumberFormat="1" applyFont="1" applyAlignment="1">
      <alignment horizontal="center" vertical="top"/>
    </xf>
    <xf numFmtId="165" fontId="14" fillId="0" borderId="0" xfId="16" applyNumberFormat="1" applyFont="1" applyAlignment="1">
      <alignment vertical="top" wrapText="1"/>
    </xf>
    <xf numFmtId="165" fontId="14" fillId="0" borderId="0" xfId="16" applyNumberFormat="1" applyFont="1" applyAlignment="1">
      <alignment horizontal="center" vertical="top" wrapText="1"/>
    </xf>
    <xf numFmtId="166" fontId="14" fillId="0" borderId="0" xfId="16" applyNumberFormat="1" applyFont="1" applyAlignment="1">
      <alignment horizontal="center" vertical="top" wrapText="1"/>
    </xf>
    <xf numFmtId="166" fontId="14" fillId="0" borderId="0" xfId="16" applyNumberFormat="1" applyFont="1" applyAlignment="1">
      <alignment vertical="top" wrapText="1"/>
    </xf>
    <xf numFmtId="166" fontId="4" fillId="0" borderId="0" xfId="16" applyNumberFormat="1" applyAlignment="1">
      <alignment horizontal="center"/>
    </xf>
    <xf numFmtId="0" fontId="4" fillId="0" borderId="0" xfId="16" applyAlignment="1">
      <alignment horizontal="center" vertical="top"/>
    </xf>
    <xf numFmtId="2" fontId="10" fillId="0" borderId="7" xfId="16" applyNumberFormat="1" applyFont="1" applyBorder="1" applyAlignment="1">
      <alignment vertical="top"/>
    </xf>
    <xf numFmtId="165" fontId="10" fillId="0" borderId="0" xfId="15" applyNumberFormat="1" applyAlignment="1">
      <alignment wrapText="1"/>
    </xf>
    <xf numFmtId="1" fontId="6" fillId="0" borderId="0" xfId="16" applyNumberFormat="1" applyFont="1" applyAlignment="1">
      <alignment horizontal="center"/>
    </xf>
    <xf numFmtId="0" fontId="4" fillId="0" borderId="0" xfId="16" applyAlignment="1">
      <alignment horizontal="center"/>
    </xf>
    <xf numFmtId="2" fontId="18" fillId="0" borderId="0" xfId="16" applyNumberFormat="1" applyFont="1" applyAlignment="1">
      <alignment horizontal="center" vertical="top"/>
    </xf>
    <xf numFmtId="165" fontId="6" fillId="0" borderId="0" xfId="16" applyNumberFormat="1" applyFont="1" applyAlignment="1">
      <alignment horizontal="right"/>
    </xf>
    <xf numFmtId="3" fontId="10" fillId="0" borderId="8" xfId="16" applyNumberFormat="1" applyFont="1" applyBorder="1" applyAlignment="1">
      <alignment horizontal="center" vertical="top"/>
    </xf>
    <xf numFmtId="170" fontId="10" fillId="0" borderId="8" xfId="16" applyNumberFormat="1" applyFont="1" applyBorder="1" applyAlignment="1">
      <alignment vertical="top" wrapText="1"/>
    </xf>
    <xf numFmtId="165" fontId="8" fillId="0" borderId="0" xfId="15" applyNumberFormat="1" applyFont="1" applyAlignment="1">
      <alignment horizontal="center" vertical="top"/>
    </xf>
    <xf numFmtId="165" fontId="8" fillId="0" borderId="0" xfId="15" applyNumberFormat="1" applyFont="1" applyAlignment="1">
      <alignment vertical="top"/>
    </xf>
    <xf numFmtId="165" fontId="6" fillId="0" borderId="0" xfId="16" applyNumberFormat="1" applyFont="1" applyAlignment="1">
      <alignment horizontal="left" vertical="top" wrapText="1"/>
    </xf>
    <xf numFmtId="166" fontId="4" fillId="0" borderId="0" xfId="16" applyNumberFormat="1" applyAlignment="1">
      <alignment horizontal="center" vertical="top"/>
    </xf>
    <xf numFmtId="165" fontId="6" fillId="0" borderId="0" xfId="16" applyNumberFormat="1" applyFont="1" applyAlignment="1">
      <alignment horizontal="right" vertical="top"/>
    </xf>
    <xf numFmtId="170" fontId="8" fillId="0" borderId="8" xfId="16" applyNumberFormat="1" applyFont="1" applyBorder="1" applyAlignment="1">
      <alignment horizontal="right" vertical="top" wrapText="1"/>
    </xf>
    <xf numFmtId="165" fontId="8" fillId="0" borderId="7" xfId="16" applyNumberFormat="1" applyFont="1" applyBorder="1" applyAlignment="1">
      <alignment vertical="top"/>
    </xf>
    <xf numFmtId="165" fontId="8" fillId="0" borderId="2" xfId="15" applyNumberFormat="1" applyFont="1" applyBorder="1" applyAlignment="1">
      <alignment vertical="top" wrapText="1"/>
    </xf>
    <xf numFmtId="2" fontId="10" fillId="0" borderId="0" xfId="15" applyNumberFormat="1" applyAlignment="1">
      <alignment horizontal="right"/>
    </xf>
    <xf numFmtId="166" fontId="8" fillId="0" borderId="0" xfId="15" applyNumberFormat="1" applyFont="1" applyAlignment="1">
      <alignment horizontal="center"/>
    </xf>
    <xf numFmtId="165" fontId="8" fillId="0" borderId="0" xfId="15" applyNumberFormat="1" applyFont="1" applyAlignment="1">
      <alignment horizontal="left"/>
    </xf>
    <xf numFmtId="165" fontId="8" fillId="0" borderId="0" xfId="15" applyNumberFormat="1" applyFont="1"/>
    <xf numFmtId="170" fontId="8" fillId="0" borderId="7" xfId="16" applyNumberFormat="1" applyFont="1" applyBorder="1" applyAlignment="1">
      <alignment vertical="top"/>
    </xf>
    <xf numFmtId="165" fontId="8" fillId="0" borderId="3" xfId="16" applyNumberFormat="1" applyFont="1" applyBorder="1" applyAlignment="1">
      <alignment vertical="top"/>
    </xf>
    <xf numFmtId="2" fontId="8" fillId="0" borderId="3" xfId="15" applyNumberFormat="1" applyFont="1" applyBorder="1" applyAlignment="1">
      <alignment vertical="top"/>
    </xf>
    <xf numFmtId="165" fontId="10" fillId="0" borderId="7" xfId="15" applyNumberFormat="1" applyBorder="1"/>
    <xf numFmtId="1" fontId="6" fillId="0" borderId="0" xfId="16" applyNumberFormat="1" applyFont="1" applyAlignment="1">
      <alignment horizontal="right"/>
    </xf>
    <xf numFmtId="165" fontId="11" fillId="0" borderId="0" xfId="16" applyNumberFormat="1" applyFont="1" applyAlignment="1">
      <alignment horizontal="right" wrapText="1"/>
    </xf>
    <xf numFmtId="166" fontId="11" fillId="0" borderId="0" xfId="16" applyNumberFormat="1" applyFont="1" applyAlignment="1">
      <alignment horizontal="right"/>
    </xf>
    <xf numFmtId="3" fontId="10" fillId="0" borderId="2" xfId="16" applyNumberFormat="1" applyFont="1" applyBorder="1" applyAlignment="1">
      <alignment horizontal="right" vertical="top"/>
    </xf>
    <xf numFmtId="170" fontId="10" fillId="0" borderId="0" xfId="16" applyNumberFormat="1" applyFont="1" applyAlignment="1">
      <alignment vertical="top"/>
    </xf>
    <xf numFmtId="165" fontId="11" fillId="0" borderId="0" xfId="16" applyNumberFormat="1" applyFont="1" applyAlignment="1">
      <alignment horizontal="left"/>
    </xf>
    <xf numFmtId="165" fontId="6" fillId="0" borderId="0" xfId="16" applyNumberFormat="1" applyFont="1" applyAlignment="1">
      <alignment horizontal="left"/>
    </xf>
    <xf numFmtId="165" fontId="16" fillId="0" borderId="0" xfId="16" applyNumberFormat="1" applyFont="1"/>
    <xf numFmtId="165" fontId="6" fillId="0" borderId="0" xfId="16" applyNumberFormat="1" applyFont="1"/>
    <xf numFmtId="172" fontId="10" fillId="0" borderId="0" xfId="15" applyNumberFormat="1"/>
    <xf numFmtId="165" fontId="6" fillId="0" borderId="0" xfId="16" applyNumberFormat="1" applyFont="1" applyAlignment="1">
      <alignment wrapText="1"/>
    </xf>
    <xf numFmtId="165" fontId="10" fillId="0" borderId="2" xfId="17" applyNumberFormat="1" applyBorder="1" applyAlignment="1">
      <alignment vertical="top"/>
    </xf>
    <xf numFmtId="3" fontId="10" fillId="0" borderId="5" xfId="16" applyNumberFormat="1" applyFont="1" applyBorder="1" applyAlignment="1">
      <alignment horizontal="center" vertical="top"/>
    </xf>
    <xf numFmtId="170" fontId="8" fillId="0" borderId="5" xfId="16" applyNumberFormat="1" applyFont="1" applyBorder="1" applyAlignment="1">
      <alignment vertical="top"/>
    </xf>
    <xf numFmtId="165" fontId="8" fillId="0" borderId="5" xfId="16" applyNumberFormat="1" applyFont="1" applyBorder="1" applyAlignment="1">
      <alignment vertical="top"/>
    </xf>
    <xf numFmtId="166" fontId="6" fillId="0" borderId="0" xfId="16" applyNumberFormat="1" applyFont="1" applyAlignment="1">
      <alignment horizontal="right"/>
    </xf>
    <xf numFmtId="3" fontId="10" fillId="0" borderId="1" xfId="16" applyNumberFormat="1" applyFont="1" applyBorder="1" applyAlignment="1">
      <alignment horizontal="center" vertical="top"/>
    </xf>
    <xf numFmtId="165" fontId="6" fillId="0" borderId="0" xfId="16" applyNumberFormat="1" applyFont="1" applyAlignment="1">
      <alignment vertical="top"/>
    </xf>
    <xf numFmtId="165" fontId="8" fillId="0" borderId="5" xfId="15" applyNumberFormat="1" applyFont="1" applyBorder="1" applyAlignment="1">
      <alignment vertical="top"/>
    </xf>
    <xf numFmtId="172" fontId="6" fillId="0" borderId="0" xfId="13" applyNumberFormat="1" applyAlignment="1">
      <alignment horizontal="right" vertical="top" wrapText="1"/>
    </xf>
    <xf numFmtId="2" fontId="11" fillId="0" borderId="0" xfId="15" applyNumberFormat="1" applyFont="1"/>
    <xf numFmtId="165" fontId="11" fillId="0" borderId="0" xfId="15" applyNumberFormat="1" applyFont="1" applyAlignment="1">
      <alignment wrapText="1"/>
    </xf>
    <xf numFmtId="165" fontId="20" fillId="0" borderId="0" xfId="15" applyNumberFormat="1" applyFont="1"/>
    <xf numFmtId="165" fontId="10" fillId="0" borderId="0" xfId="16" applyNumberFormat="1" applyFont="1" applyAlignment="1">
      <alignment horizontal="right"/>
    </xf>
    <xf numFmtId="0" fontId="21" fillId="3" borderId="0" xfId="17" applyNumberFormat="1" applyFont="1" applyFill="1" applyAlignment="1">
      <alignment horizontal="left" vertical="top" wrapText="1"/>
    </xf>
    <xf numFmtId="0" fontId="16" fillId="0" borderId="0" xfId="16" applyFont="1" applyAlignment="1">
      <alignment vertical="top"/>
    </xf>
    <xf numFmtId="0" fontId="17" fillId="0" borderId="0" xfId="16" applyFont="1" applyAlignment="1">
      <alignment vertical="top" wrapText="1"/>
    </xf>
    <xf numFmtId="0" fontId="17" fillId="0" borderId="0" xfId="16" applyFont="1" applyAlignment="1">
      <alignment vertical="top"/>
    </xf>
    <xf numFmtId="1" fontId="17" fillId="0" borderId="0" xfId="16" applyNumberFormat="1" applyFont="1" applyAlignment="1">
      <alignment vertical="top"/>
    </xf>
    <xf numFmtId="3" fontId="10" fillId="0" borderId="1" xfId="16" applyNumberFormat="1" applyFont="1" applyBorder="1" applyAlignment="1">
      <alignment horizontal="center"/>
    </xf>
    <xf numFmtId="170" fontId="10" fillId="0" borderId="11" xfId="16" applyNumberFormat="1" applyFont="1" applyBorder="1"/>
    <xf numFmtId="0" fontId="22" fillId="0" borderId="0" xfId="17" applyNumberFormat="1" applyFont="1" applyAlignment="1">
      <alignment vertical="top" wrapText="1"/>
    </xf>
    <xf numFmtId="3" fontId="10" fillId="0" borderId="8" xfId="16" applyNumberFormat="1" applyFont="1" applyBorder="1" applyAlignment="1">
      <alignment horizontal="center"/>
    </xf>
    <xf numFmtId="165" fontId="4" fillId="0" borderId="9" xfId="16" applyNumberFormat="1" applyBorder="1" applyAlignment="1">
      <alignment horizontal="center"/>
    </xf>
    <xf numFmtId="165" fontId="6" fillId="0" borderId="5" xfId="16" applyNumberFormat="1" applyFont="1" applyBorder="1" applyAlignment="1">
      <alignment horizontal="center" vertical="center" wrapText="1"/>
    </xf>
    <xf numFmtId="165" fontId="6" fillId="0" borderId="5" xfId="16" applyNumberFormat="1" applyFont="1" applyBorder="1" applyAlignment="1">
      <alignment vertical="center" wrapText="1"/>
    </xf>
    <xf numFmtId="165" fontId="6" fillId="0" borderId="5" xfId="16" applyNumberFormat="1" applyFont="1" applyBorder="1" applyAlignment="1">
      <alignment horizontal="center" vertical="center"/>
    </xf>
    <xf numFmtId="0" fontId="4" fillId="0" borderId="0" xfId="16" applyAlignment="1">
      <alignment vertical="top" wrapText="1"/>
    </xf>
    <xf numFmtId="170" fontId="10" fillId="0" borderId="11" xfId="16" applyNumberFormat="1" applyFont="1" applyBorder="1" applyAlignment="1">
      <alignment vertical="top"/>
    </xf>
    <xf numFmtId="2" fontId="18" fillId="0" borderId="5" xfId="16" applyNumberFormat="1" applyFont="1" applyBorder="1" applyAlignment="1">
      <alignment vertical="top"/>
    </xf>
    <xf numFmtId="165" fontId="8" fillId="0" borderId="5" xfId="16" applyNumberFormat="1" applyFont="1" applyBorder="1" applyAlignment="1">
      <alignment horizontal="center"/>
    </xf>
    <xf numFmtId="2" fontId="10" fillId="0" borderId="5" xfId="16" applyNumberFormat="1" applyFont="1" applyBorder="1" applyAlignment="1">
      <alignment horizontal="right" vertical="top"/>
    </xf>
    <xf numFmtId="2" fontId="10" fillId="0" borderId="5" xfId="16" applyNumberFormat="1" applyFont="1" applyBorder="1" applyAlignment="1">
      <alignment horizontal="right"/>
    </xf>
    <xf numFmtId="3" fontId="10" fillId="0" borderId="5" xfId="16" applyNumberFormat="1" applyFont="1" applyBorder="1" applyAlignment="1">
      <alignment horizontal="center"/>
    </xf>
    <xf numFmtId="170" fontId="10" fillId="0" borderId="11" xfId="16" applyNumberFormat="1" applyFont="1" applyBorder="1" applyAlignment="1">
      <alignment wrapText="1"/>
    </xf>
    <xf numFmtId="165" fontId="10" fillId="0" borderId="5" xfId="16" applyNumberFormat="1" applyFont="1" applyBorder="1" applyAlignment="1">
      <alignment horizontal="right" vertical="top"/>
    </xf>
    <xf numFmtId="2" fontId="18" fillId="0" borderId="5" xfId="16" applyNumberFormat="1" applyFont="1" applyBorder="1"/>
    <xf numFmtId="165" fontId="10" fillId="0" borderId="5" xfId="16" applyNumberFormat="1" applyFont="1" applyBorder="1" applyAlignment="1">
      <alignment horizontal="right"/>
    </xf>
    <xf numFmtId="0" fontId="22" fillId="0" borderId="0" xfId="17" applyNumberFormat="1" applyFont="1" applyAlignment="1">
      <alignment horizontal="left" vertical="top" wrapText="1"/>
    </xf>
    <xf numFmtId="0" fontId="10" fillId="0" borderId="0" xfId="17" applyNumberFormat="1" applyAlignment="1">
      <alignment vertical="top"/>
    </xf>
    <xf numFmtId="0" fontId="21" fillId="0" borderId="0" xfId="17" applyNumberFormat="1" applyFont="1" applyAlignment="1">
      <alignment horizontal="left" vertical="top" wrapText="1"/>
    </xf>
    <xf numFmtId="165" fontId="8" fillId="0" borderId="10" xfId="16" applyNumberFormat="1" applyFont="1" applyBorder="1" applyAlignment="1">
      <alignment horizontal="center"/>
    </xf>
    <xf numFmtId="0" fontId="23" fillId="0" borderId="0" xfId="17" applyNumberFormat="1" applyFont="1" applyAlignment="1">
      <alignment horizontal="left" vertical="top"/>
    </xf>
    <xf numFmtId="170" fontId="10" fillId="0" borderId="2" xfId="16" applyNumberFormat="1" applyFont="1" applyBorder="1" applyAlignment="1">
      <alignment horizontal="left" vertical="center" wrapText="1"/>
    </xf>
    <xf numFmtId="170" fontId="8" fillId="0" borderId="11" xfId="16" applyNumberFormat="1" applyFont="1" applyBorder="1"/>
    <xf numFmtId="2" fontId="8" fillId="0" borderId="5" xfId="16" applyNumberFormat="1" applyFont="1" applyBorder="1" applyAlignment="1">
      <alignment horizontal="right"/>
    </xf>
    <xf numFmtId="3" fontId="4" fillId="0" borderId="0" xfId="16" applyNumberFormat="1"/>
    <xf numFmtId="165" fontId="4" fillId="0" borderId="0" xfId="16" applyNumberFormat="1" applyAlignment="1">
      <alignment horizontal="right"/>
    </xf>
    <xf numFmtId="165" fontId="8" fillId="0" borderId="0" xfId="16" applyNumberFormat="1" applyFont="1" applyAlignment="1">
      <alignment horizontal="center" vertical="top" wrapText="1"/>
    </xf>
    <xf numFmtId="1" fontId="19" fillId="0" borderId="0" xfId="16" applyNumberFormat="1" applyFont="1" applyAlignment="1">
      <alignment horizontal="center"/>
    </xf>
    <xf numFmtId="165" fontId="19" fillId="0" borderId="0" xfId="16" applyNumberFormat="1" applyFont="1" applyAlignment="1">
      <alignment horizontal="left" wrapText="1"/>
    </xf>
    <xf numFmtId="165" fontId="4" fillId="0" borderId="0" xfId="16" applyNumberFormat="1" applyAlignment="1">
      <alignment horizontal="center"/>
    </xf>
    <xf numFmtId="165" fontId="6" fillId="0" borderId="0" xfId="16" applyNumberFormat="1" applyFont="1" applyAlignment="1">
      <alignment horizontal="left" wrapText="1"/>
    </xf>
    <xf numFmtId="165" fontId="6" fillId="0" borderId="0" xfId="16" applyNumberFormat="1" applyFont="1" applyAlignment="1">
      <alignment horizontal="center" vertical="center"/>
    </xf>
    <xf numFmtId="165" fontId="6" fillId="0" borderId="0" xfId="16" quotePrefix="1" applyNumberFormat="1" applyFont="1" applyAlignment="1">
      <alignment horizontal="center" vertical="center"/>
    </xf>
    <xf numFmtId="165" fontId="11" fillId="0" borderId="0" xfId="16" applyNumberFormat="1" applyFont="1" applyAlignment="1">
      <alignment horizontal="center" vertical="center" wrapText="1"/>
    </xf>
    <xf numFmtId="165" fontId="6" fillId="0" borderId="0" xfId="16" quotePrefix="1" applyNumberFormat="1" applyFont="1" applyAlignment="1">
      <alignment horizontal="center"/>
    </xf>
    <xf numFmtId="0" fontId="4" fillId="0" borderId="0" xfId="16" applyAlignment="1">
      <alignment wrapText="1"/>
    </xf>
    <xf numFmtId="165" fontId="6" fillId="0" borderId="0" xfId="16" applyNumberFormat="1" applyFont="1" applyAlignment="1">
      <alignment horizontal="center" vertical="top"/>
    </xf>
    <xf numFmtId="165" fontId="6" fillId="0" borderId="0" xfId="16" applyNumberFormat="1" applyFont="1" applyAlignment="1">
      <alignment vertical="center" wrapText="1"/>
    </xf>
    <xf numFmtId="166" fontId="6" fillId="0" borderId="0" xfId="16" applyNumberFormat="1" applyFont="1" applyAlignment="1">
      <alignment horizontal="right" vertical="center"/>
    </xf>
    <xf numFmtId="165" fontId="6" fillId="0" borderId="0" xfId="16" applyNumberFormat="1" applyFont="1" applyAlignment="1">
      <alignment horizontal="right" vertical="center"/>
    </xf>
    <xf numFmtId="166" fontId="6" fillId="0" borderId="0" xfId="16" applyNumberFormat="1" applyFont="1" applyAlignment="1">
      <alignment horizontal="center" vertical="top"/>
    </xf>
    <xf numFmtId="166" fontId="6" fillId="0" borderId="0" xfId="16" applyNumberFormat="1" applyFont="1" applyAlignment="1">
      <alignment horizontal="center" vertical="center"/>
    </xf>
    <xf numFmtId="165" fontId="4" fillId="0" borderId="0" xfId="16" applyNumberFormat="1" applyAlignment="1">
      <alignment wrapText="1"/>
    </xf>
    <xf numFmtId="165" fontId="4" fillId="0" borderId="0" xfId="16" applyNumberFormat="1" applyAlignment="1">
      <alignment horizontal="center" vertical="center"/>
    </xf>
    <xf numFmtId="0" fontId="4" fillId="0" borderId="0" xfId="16" applyAlignment="1">
      <alignment horizontal="center" vertical="center"/>
    </xf>
    <xf numFmtId="0" fontId="4" fillId="0" borderId="0" xfId="16" applyAlignment="1">
      <alignment horizontal="left" vertical="center"/>
    </xf>
    <xf numFmtId="165" fontId="6" fillId="0" borderId="0" xfId="16" quotePrefix="1" applyNumberFormat="1" applyFont="1" applyAlignment="1">
      <alignment horizontal="left"/>
    </xf>
    <xf numFmtId="1" fontId="24" fillId="0" borderId="0" xfId="16" applyNumberFormat="1" applyFont="1" applyAlignment="1">
      <alignment horizontal="right"/>
    </xf>
    <xf numFmtId="165" fontId="11" fillId="0" borderId="0" xfId="16" applyNumberFormat="1" applyFont="1" applyAlignment="1">
      <alignment horizontal="left" wrapText="1"/>
    </xf>
    <xf numFmtId="2" fontId="4" fillId="0" borderId="0" xfId="16" applyNumberFormat="1"/>
    <xf numFmtId="165" fontId="10" fillId="2" borderId="0" xfId="15" applyNumberFormat="1" applyFill="1" applyAlignment="1">
      <alignment horizontal="right"/>
    </xf>
    <xf numFmtId="170" fontId="10" fillId="2" borderId="12" xfId="16" applyNumberFormat="1" applyFont="1" applyFill="1" applyBorder="1" applyAlignment="1">
      <alignment horizontal="right"/>
    </xf>
    <xf numFmtId="165" fontId="10" fillId="2" borderId="0" xfId="16" applyNumberFormat="1" applyFont="1" applyFill="1" applyAlignment="1">
      <alignment horizontal="right"/>
    </xf>
    <xf numFmtId="165" fontId="10" fillId="2" borderId="5" xfId="16" applyNumberFormat="1" applyFont="1" applyFill="1" applyBorder="1" applyAlignment="1">
      <alignment horizontal="right" vertical="top"/>
    </xf>
    <xf numFmtId="167" fontId="6" fillId="0" borderId="5" xfId="2" applyNumberFormat="1" applyFont="1" applyBorder="1" applyAlignment="1">
      <alignment horizontal="center" vertical="center" wrapText="1"/>
    </xf>
    <xf numFmtId="167" fontId="4" fillId="2" borderId="9" xfId="2" applyNumberFormat="1" applyFont="1" applyFill="1" applyBorder="1" applyAlignment="1">
      <alignment horizontal="right"/>
    </xf>
    <xf numFmtId="165" fontId="10" fillId="0" borderId="5" xfId="15" applyNumberFormat="1" applyBorder="1"/>
    <xf numFmtId="165" fontId="10" fillId="0" borderId="0" xfId="16" quotePrefix="1" applyNumberFormat="1" applyFont="1" applyAlignment="1">
      <alignment horizontal="right"/>
    </xf>
    <xf numFmtId="165" fontId="10" fillId="0" borderId="5" xfId="15" applyNumberFormat="1" applyBorder="1" applyAlignment="1">
      <alignment horizontal="right" vertical="top" wrapText="1"/>
    </xf>
    <xf numFmtId="165" fontId="10" fillId="2" borderId="5" xfId="15" applyNumberFormat="1" applyFill="1" applyBorder="1" applyAlignment="1">
      <alignment horizontal="left" vertical="top"/>
    </xf>
    <xf numFmtId="167" fontId="10" fillId="2" borderId="5" xfId="2" applyNumberFormat="1" applyFont="1" applyFill="1" applyBorder="1" applyAlignment="1">
      <alignment horizontal="left" vertical="top" wrapText="1"/>
    </xf>
    <xf numFmtId="170" fontId="10" fillId="0" borderId="5" xfId="16" applyNumberFormat="1" applyFont="1" applyBorder="1" applyAlignment="1">
      <alignment horizontal="right"/>
    </xf>
    <xf numFmtId="2" fontId="10" fillId="0" borderId="5" xfId="16" applyNumberFormat="1" applyFont="1" applyBorder="1" applyAlignment="1">
      <alignment vertical="top"/>
    </xf>
    <xf numFmtId="165" fontId="10" fillId="2" borderId="5" xfId="16" quotePrefix="1" applyNumberFormat="1" applyFont="1" applyFill="1" applyBorder="1" applyAlignment="1">
      <alignment horizontal="right" vertical="top"/>
    </xf>
    <xf numFmtId="165" fontId="10" fillId="0" borderId="5" xfId="16" quotePrefix="1" applyNumberFormat="1" applyFont="1" applyBorder="1" applyAlignment="1">
      <alignment horizontal="right"/>
    </xf>
    <xf numFmtId="167" fontId="7" fillId="0" borderId="5" xfId="2" applyNumberFormat="1" applyFont="1" applyFill="1" applyBorder="1" applyAlignment="1" applyProtection="1">
      <alignment horizontal="center" vertical="center" wrapText="1"/>
    </xf>
    <xf numFmtId="9" fontId="6" fillId="2" borderId="5" xfId="2" applyFont="1" applyFill="1" applyBorder="1" applyAlignment="1">
      <alignment horizontal="center" vertical="center"/>
    </xf>
    <xf numFmtId="170" fontId="10" fillId="0" borderId="11" xfId="16" applyNumberFormat="1" applyFont="1" applyBorder="1" applyAlignment="1">
      <alignment vertical="top" wrapText="1"/>
    </xf>
    <xf numFmtId="165" fontId="8" fillId="0" borderId="5" xfId="16" applyNumberFormat="1" applyFont="1" applyBorder="1" applyAlignment="1">
      <alignment horizontal="right" vertical="top"/>
    </xf>
    <xf numFmtId="165" fontId="8" fillId="0" borderId="10" xfId="16" applyNumberFormat="1" applyFont="1" applyBorder="1" applyAlignment="1">
      <alignment horizontal="center" vertical="top"/>
    </xf>
    <xf numFmtId="165" fontId="8" fillId="0" borderId="5" xfId="16" applyNumberFormat="1" applyFont="1" applyBorder="1" applyAlignment="1">
      <alignment horizontal="center" vertical="top"/>
    </xf>
    <xf numFmtId="170" fontId="10" fillId="0" borderId="11" xfId="16" applyNumberFormat="1" applyFont="1" applyBorder="1" applyAlignment="1">
      <alignment horizontal="left" vertical="top" wrapText="1"/>
    </xf>
    <xf numFmtId="170" fontId="10" fillId="0" borderId="5" xfId="16" applyNumberFormat="1" applyFont="1" applyBorder="1" applyAlignment="1">
      <alignment horizontal="left" vertical="top" wrapText="1"/>
    </xf>
    <xf numFmtId="165" fontId="10" fillId="0" borderId="9" xfId="16" applyNumberFormat="1" applyFont="1" applyBorder="1" applyAlignment="1">
      <alignment vertical="top"/>
    </xf>
    <xf numFmtId="165" fontId="10" fillId="0" borderId="8" xfId="17" applyNumberFormat="1" applyBorder="1" applyAlignment="1">
      <alignment vertical="top"/>
    </xf>
    <xf numFmtId="165" fontId="10" fillId="0" borderId="8" xfId="15" applyNumberFormat="1" applyBorder="1" applyAlignment="1">
      <alignment vertical="top" wrapText="1"/>
    </xf>
    <xf numFmtId="170" fontId="10" fillId="0" borderId="0" xfId="16" applyNumberFormat="1" applyFont="1" applyAlignment="1">
      <alignment vertical="top" wrapText="1"/>
    </xf>
    <xf numFmtId="170" fontId="10" fillId="0" borderId="5" xfId="16" applyNumberFormat="1" applyFont="1" applyBorder="1" applyAlignment="1">
      <alignment vertical="top" wrapText="1"/>
    </xf>
    <xf numFmtId="167" fontId="6" fillId="2" borderId="5" xfId="2" applyNumberFormat="1" applyFont="1" applyFill="1" applyBorder="1" applyAlignment="1">
      <alignment horizontal="center" vertical="center" wrapText="1"/>
    </xf>
    <xf numFmtId="165" fontId="10" fillId="0" borderId="5" xfId="0" applyFont="1" applyBorder="1" applyAlignment="1">
      <alignment horizontal="center" vertical="center" wrapText="1"/>
    </xf>
    <xf numFmtId="165" fontId="10" fillId="0" borderId="11" xfId="15" applyNumberFormat="1" applyBorder="1" applyAlignment="1">
      <alignment horizontal="right" vertical="top" wrapText="1"/>
    </xf>
    <xf numFmtId="165" fontId="6" fillId="0" borderId="5" xfId="16" applyNumberFormat="1" applyFont="1" applyBorder="1" applyAlignment="1">
      <alignment horizontal="center" vertical="top" wrapText="1"/>
    </xf>
    <xf numFmtId="170" fontId="10" fillId="0" borderId="4" xfId="16" applyNumberFormat="1" applyFont="1" applyBorder="1" applyAlignment="1">
      <alignment vertical="top"/>
    </xf>
    <xf numFmtId="165" fontId="10" fillId="0" borderId="2" xfId="16" applyNumberFormat="1" applyFont="1" applyBorder="1" applyAlignment="1">
      <alignment vertical="top"/>
    </xf>
    <xf numFmtId="165" fontId="10" fillId="0" borderId="1" xfId="16" applyNumberFormat="1" applyFont="1" applyBorder="1" applyAlignment="1">
      <alignment vertical="top"/>
    </xf>
    <xf numFmtId="165" fontId="6" fillId="0" borderId="5" xfId="16" applyNumberFormat="1" applyFont="1" applyBorder="1"/>
    <xf numFmtId="165" fontId="10" fillId="0" borderId="10" xfId="16" applyNumberFormat="1" applyFont="1" applyBorder="1" applyAlignment="1">
      <alignment horizontal="center"/>
    </xf>
    <xf numFmtId="3" fontId="3" fillId="0" borderId="2" xfId="16" applyNumberFormat="1" applyFont="1" applyBorder="1" applyAlignment="1">
      <alignment horizontal="right" vertical="top"/>
    </xf>
    <xf numFmtId="0" fontId="4" fillId="0" borderId="5" xfId="16" applyBorder="1"/>
    <xf numFmtId="2" fontId="10" fillId="2" borderId="5" xfId="16" applyNumberFormat="1" applyFont="1" applyFill="1" applyBorder="1" applyAlignment="1">
      <alignment vertical="top"/>
    </xf>
    <xf numFmtId="165" fontId="10" fillId="0" borderId="4" xfId="15" applyNumberFormat="1" applyBorder="1" applyAlignment="1">
      <alignment vertical="top" wrapText="1"/>
    </xf>
    <xf numFmtId="2" fontId="10" fillId="0" borderId="6" xfId="15" applyNumberFormat="1" applyBorder="1" applyAlignment="1">
      <alignment vertical="top"/>
    </xf>
    <xf numFmtId="2" fontId="10" fillId="0" borderId="8" xfId="15" applyNumberFormat="1" applyBorder="1" applyAlignment="1">
      <alignment vertical="top"/>
    </xf>
    <xf numFmtId="3" fontId="10" fillId="0" borderId="6" xfId="16" applyNumberFormat="1" applyFont="1" applyBorder="1" applyAlignment="1">
      <alignment horizontal="center" vertical="top"/>
    </xf>
    <xf numFmtId="2" fontId="10" fillId="0" borderId="10" xfId="16" applyNumberFormat="1" applyFont="1" applyBorder="1" applyAlignment="1">
      <alignment horizontal="right" vertical="top"/>
    </xf>
    <xf numFmtId="165" fontId="10" fillId="0" borderId="10" xfId="16" applyNumberFormat="1" applyFont="1" applyBorder="1" applyAlignment="1">
      <alignment horizontal="right"/>
    </xf>
    <xf numFmtId="165" fontId="10" fillId="0" borderId="10" xfId="16" applyNumberFormat="1" applyFont="1" applyBorder="1" applyAlignment="1">
      <alignment horizontal="right" vertical="top"/>
    </xf>
    <xf numFmtId="2" fontId="18" fillId="2" borderId="5" xfId="16" applyNumberFormat="1" applyFont="1" applyFill="1" applyBorder="1" applyAlignment="1">
      <alignment vertical="top"/>
    </xf>
    <xf numFmtId="165" fontId="26" fillId="0" borderId="0" xfId="0" applyFont="1"/>
    <xf numFmtId="2" fontId="25" fillId="0" borderId="5" xfId="0" applyNumberFormat="1" applyFont="1" applyBorder="1" applyAlignment="1">
      <alignment horizontal="left" vertical="top" wrapText="1"/>
    </xf>
    <xf numFmtId="165" fontId="27" fillId="0" borderId="5" xfId="0" applyFont="1" applyBorder="1" applyAlignment="1">
      <alignment wrapText="1"/>
    </xf>
    <xf numFmtId="165" fontId="27" fillId="0" borderId="5" xfId="0" applyFont="1" applyBorder="1" applyAlignment="1">
      <alignment horizontal="center"/>
    </xf>
    <xf numFmtId="165" fontId="29" fillId="4" borderId="5" xfId="0" applyFont="1" applyFill="1" applyBorder="1" applyAlignment="1">
      <alignment horizontal="center" vertical="top" wrapText="1"/>
    </xf>
    <xf numFmtId="0" fontId="30" fillId="0" borderId="5" xfId="0" applyNumberFormat="1" applyFont="1" applyBorder="1" applyAlignment="1">
      <alignment horizontal="center" vertical="top" wrapText="1"/>
    </xf>
    <xf numFmtId="0" fontId="31" fillId="0" borderId="5" xfId="0" applyNumberFormat="1" applyFont="1" applyBorder="1" applyAlignment="1">
      <alignment vertical="top" wrapText="1"/>
    </xf>
    <xf numFmtId="0" fontId="29" fillId="3" borderId="15" xfId="0" applyNumberFormat="1" applyFont="1" applyFill="1" applyBorder="1" applyAlignment="1">
      <alignment vertical="top" wrapText="1"/>
    </xf>
    <xf numFmtId="2" fontId="29" fillId="3" borderId="10" xfId="0" applyNumberFormat="1" applyFont="1" applyFill="1" applyBorder="1" applyAlignment="1">
      <alignment horizontal="center" vertical="center" wrapText="1"/>
    </xf>
    <xf numFmtId="165" fontId="29" fillId="3" borderId="5" xfId="0" applyFont="1" applyFill="1" applyBorder="1" applyAlignment="1">
      <alignment horizontal="center" vertical="top" wrapText="1"/>
    </xf>
    <xf numFmtId="1" fontId="28" fillId="0" borderId="5" xfId="0" applyNumberFormat="1" applyFont="1" applyBorder="1" applyAlignment="1">
      <alignment horizontal="center" vertical="top" wrapText="1"/>
    </xf>
    <xf numFmtId="2" fontId="32" fillId="0" borderId="5" xfId="18" applyNumberFormat="1" applyFont="1" applyBorder="1" applyAlignment="1">
      <alignment horizontal="right" vertical="top"/>
    </xf>
    <xf numFmtId="165" fontId="27" fillId="0" borderId="5" xfId="0" applyFont="1" applyBorder="1" applyAlignment="1">
      <alignment vertical="top" wrapText="1"/>
    </xf>
    <xf numFmtId="165" fontId="26" fillId="0" borderId="5" xfId="0" applyFont="1" applyBorder="1"/>
    <xf numFmtId="1" fontId="27" fillId="0" borderId="5" xfId="0" applyNumberFormat="1" applyFont="1" applyBorder="1" applyAlignment="1">
      <alignment horizontal="center" vertical="top" wrapText="1"/>
    </xf>
    <xf numFmtId="2" fontId="27" fillId="0" borderId="5" xfId="0" applyNumberFormat="1" applyFont="1" applyBorder="1" applyAlignment="1">
      <alignment horizontal="center" vertical="center" wrapText="1"/>
    </xf>
    <xf numFmtId="0" fontId="27" fillId="0" borderId="5" xfId="18" applyFont="1" applyBorder="1" applyAlignment="1">
      <alignment horizontal="center" vertical="top"/>
    </xf>
    <xf numFmtId="165" fontId="26" fillId="0" borderId="5" xfId="0" applyFont="1" applyBorder="1" applyAlignment="1">
      <alignment vertical="top" wrapText="1"/>
    </xf>
    <xf numFmtId="2" fontId="32" fillId="0" borderId="5" xfId="18" applyNumberFormat="1" applyFont="1" applyBorder="1" applyAlignment="1">
      <alignment horizontal="right" vertical="center"/>
    </xf>
    <xf numFmtId="2" fontId="27" fillId="0" borderId="5" xfId="0" applyNumberFormat="1" applyFont="1" applyBorder="1" applyAlignment="1">
      <alignment horizontal="center" vertical="top" wrapText="1"/>
    </xf>
    <xf numFmtId="165" fontId="27" fillId="0" borderId="5" xfId="0" applyFont="1" applyBorder="1" applyAlignment="1">
      <alignment vertical="top"/>
    </xf>
    <xf numFmtId="165" fontId="27" fillId="0" borderId="2" xfId="0" applyFont="1" applyBorder="1" applyAlignment="1">
      <alignment vertical="top" wrapText="1"/>
    </xf>
    <xf numFmtId="165" fontId="27" fillId="0" borderId="10" xfId="0" applyFont="1" applyBorder="1" applyAlignment="1">
      <alignment wrapText="1"/>
    </xf>
    <xf numFmtId="165" fontId="33" fillId="0" borderId="5" xfId="0" applyFont="1" applyBorder="1" applyAlignment="1">
      <alignment horizontal="right" vertical="top" wrapText="1"/>
    </xf>
    <xf numFmtId="165" fontId="33" fillId="6" borderId="5" xfId="0" applyFont="1" applyFill="1" applyBorder="1" applyAlignment="1">
      <alignment horizontal="right" vertical="top" wrapText="1"/>
    </xf>
    <xf numFmtId="165" fontId="34" fillId="6" borderId="5" xfId="0" applyFont="1" applyFill="1" applyBorder="1"/>
    <xf numFmtId="1" fontId="25" fillId="0" borderId="5" xfId="0" applyNumberFormat="1" applyFont="1" applyBorder="1" applyAlignment="1">
      <alignment horizontal="center" vertical="top" wrapText="1"/>
    </xf>
    <xf numFmtId="165" fontId="25" fillId="5" borderId="5" xfId="0" applyFont="1" applyFill="1" applyBorder="1" applyAlignment="1">
      <alignment vertical="top" wrapText="1"/>
    </xf>
    <xf numFmtId="2" fontId="27" fillId="0" borderId="5" xfId="18" applyNumberFormat="1" applyFont="1" applyBorder="1" applyAlignment="1">
      <alignment horizontal="right" vertical="top"/>
    </xf>
    <xf numFmtId="165" fontId="27" fillId="0" borderId="5" xfId="0" applyFont="1" applyBorder="1"/>
    <xf numFmtId="165" fontId="34" fillId="6" borderId="5" xfId="0" applyFont="1" applyFill="1" applyBorder="1" applyAlignment="1">
      <alignment vertical="top" wrapText="1"/>
    </xf>
    <xf numFmtId="1" fontId="32" fillId="0" borderId="5" xfId="18" applyNumberFormat="1" applyFont="1" applyBorder="1" applyAlignment="1">
      <alignment horizontal="right" vertical="top"/>
    </xf>
    <xf numFmtId="165" fontId="27" fillId="0" borderId="5" xfId="0" applyFont="1" applyBorder="1" applyAlignment="1">
      <alignment horizontal="left" vertical="top" wrapText="1"/>
    </xf>
    <xf numFmtId="165" fontId="27" fillId="0" borderId="5" xfId="0" applyFont="1" applyBorder="1" applyAlignment="1">
      <alignment horizontal="center" vertical="top" wrapText="1"/>
    </xf>
    <xf numFmtId="166" fontId="27" fillId="0" borderId="5" xfId="0" applyNumberFormat="1" applyFont="1" applyBorder="1" applyAlignment="1">
      <alignment horizontal="center" vertical="top" wrapText="1"/>
    </xf>
    <xf numFmtId="2" fontId="26" fillId="7" borderId="5" xfId="0" applyNumberFormat="1" applyFont="1" applyFill="1" applyBorder="1" applyAlignment="1">
      <alignment horizontal="center" vertical="top" wrapText="1"/>
    </xf>
    <xf numFmtId="165" fontId="27" fillId="7" borderId="5" xfId="0" applyFont="1" applyFill="1" applyBorder="1" applyAlignment="1">
      <alignment horizontal="left" vertical="top" wrapText="1"/>
    </xf>
    <xf numFmtId="2" fontId="26" fillId="0" borderId="5" xfId="0" applyNumberFormat="1" applyFont="1" applyBorder="1" applyAlignment="1">
      <alignment horizontal="center" vertical="top" wrapText="1"/>
    </xf>
    <xf numFmtId="2" fontId="26" fillId="7" borderId="5" xfId="0" applyNumberFormat="1" applyFont="1" applyFill="1" applyBorder="1" applyAlignment="1">
      <alignment horizontal="center" vertical="center"/>
    </xf>
    <xf numFmtId="2" fontId="29" fillId="0" borderId="5" xfId="18" applyNumberFormat="1" applyFont="1" applyBorder="1" applyAlignment="1">
      <alignment horizontal="right" vertical="top"/>
    </xf>
    <xf numFmtId="0" fontId="32" fillId="0" borderId="5" xfId="18" applyFont="1" applyBorder="1" applyAlignment="1">
      <alignment horizontal="right" vertical="top"/>
    </xf>
    <xf numFmtId="165" fontId="27" fillId="0" borderId="5" xfId="0" applyFont="1" applyBorder="1" applyAlignment="1">
      <alignment vertical="center" wrapText="1"/>
    </xf>
    <xf numFmtId="165" fontId="33" fillId="2" borderId="10" xfId="0" applyFont="1" applyFill="1" applyBorder="1" applyAlignment="1">
      <alignment vertical="top" wrapText="1"/>
    </xf>
    <xf numFmtId="165" fontId="27" fillId="0" borderId="5" xfId="0" applyFont="1" applyBorder="1" applyAlignment="1">
      <alignment horizontal="center" vertical="top"/>
    </xf>
    <xf numFmtId="165" fontId="27" fillId="0" borderId="5" xfId="0" applyFont="1" applyBorder="1" applyAlignment="1">
      <alignment horizontal="right" vertical="top"/>
    </xf>
    <xf numFmtId="165" fontId="29" fillId="4" borderId="5" xfId="0" applyFont="1" applyFill="1" applyBorder="1" applyAlignment="1">
      <alignment horizontal="center" vertical="center"/>
    </xf>
    <xf numFmtId="0" fontId="25" fillId="4" borderId="5" xfId="0" applyNumberFormat="1" applyFont="1" applyFill="1" applyBorder="1" applyAlignment="1">
      <alignment horizontal="center" vertical="top"/>
    </xf>
    <xf numFmtId="0" fontId="25" fillId="4" borderId="5" xfId="0" applyNumberFormat="1" applyFont="1" applyFill="1" applyBorder="1" applyAlignment="1">
      <alignment horizontal="center" vertical="top" wrapText="1"/>
    </xf>
    <xf numFmtId="0" fontId="25" fillId="0" borderId="5" xfId="0" applyNumberFormat="1" applyFont="1" applyBorder="1" applyAlignment="1">
      <alignment horizontal="center" vertical="top" wrapText="1"/>
    </xf>
    <xf numFmtId="0" fontId="29" fillId="2" borderId="5" xfId="0" applyNumberFormat="1" applyFont="1" applyFill="1" applyBorder="1" applyAlignment="1">
      <alignment vertical="top" wrapText="1"/>
    </xf>
    <xf numFmtId="0" fontId="25" fillId="3" borderId="5" xfId="0" applyNumberFormat="1" applyFont="1" applyFill="1" applyBorder="1" applyAlignment="1">
      <alignment horizontal="center" vertical="top"/>
    </xf>
    <xf numFmtId="0" fontId="25" fillId="3" borderId="5" xfId="0" applyNumberFormat="1" applyFont="1" applyFill="1" applyBorder="1" applyAlignment="1">
      <alignment horizontal="center" vertical="top" wrapText="1"/>
    </xf>
    <xf numFmtId="165" fontId="26" fillId="0" borderId="5" xfId="0" applyFont="1" applyBorder="1" applyAlignment="1">
      <alignment horizontal="left" vertical="center" wrapText="1"/>
    </xf>
    <xf numFmtId="0" fontId="27" fillId="3" borderId="5" xfId="0" applyNumberFormat="1" applyFont="1" applyFill="1" applyBorder="1" applyAlignment="1">
      <alignment horizontal="center" vertical="top"/>
    </xf>
    <xf numFmtId="0" fontId="27" fillId="3" borderId="5" xfId="0" applyNumberFormat="1" applyFont="1" applyFill="1" applyBorder="1" applyAlignment="1">
      <alignment horizontal="center" vertical="top" wrapText="1"/>
    </xf>
    <xf numFmtId="165" fontId="32" fillId="3" borderId="5" xfId="0" applyFont="1" applyFill="1" applyBorder="1" applyAlignment="1">
      <alignment horizontal="center" vertical="top" wrapText="1"/>
    </xf>
    <xf numFmtId="165" fontId="27" fillId="3" borderId="5" xfId="0" applyFont="1" applyFill="1" applyBorder="1" applyAlignment="1">
      <alignment horizontal="center" vertical="top" wrapText="1"/>
    </xf>
    <xf numFmtId="165" fontId="25" fillId="2" borderId="5" xfId="0" applyFont="1" applyFill="1" applyBorder="1" applyAlignment="1">
      <alignment horizontal="right" vertical="top"/>
    </xf>
    <xf numFmtId="165" fontId="25" fillId="3" borderId="5" xfId="0" applyFont="1" applyFill="1" applyBorder="1" applyAlignment="1">
      <alignment horizontal="right" vertical="top"/>
    </xf>
    <xf numFmtId="165" fontId="27" fillId="0" borderId="0" xfId="0" applyFont="1" applyAlignment="1">
      <alignment vertical="top" wrapText="1"/>
    </xf>
    <xf numFmtId="165" fontId="27" fillId="0" borderId="0" xfId="0" applyFont="1" applyAlignment="1">
      <alignment vertical="top"/>
    </xf>
    <xf numFmtId="166" fontId="27" fillId="3" borderId="5" xfId="0" applyNumberFormat="1" applyFont="1" applyFill="1" applyBorder="1" applyAlignment="1">
      <alignment wrapText="1"/>
    </xf>
    <xf numFmtId="165" fontId="27" fillId="3" borderId="5" xfId="0" applyFont="1" applyFill="1" applyBorder="1" applyAlignment="1">
      <alignment wrapText="1"/>
    </xf>
    <xf numFmtId="168" fontId="27" fillId="3" borderId="5" xfId="0" applyNumberFormat="1" applyFont="1" applyFill="1" applyBorder="1" applyAlignment="1">
      <alignment horizontal="right" vertical="top"/>
    </xf>
    <xf numFmtId="165" fontId="27" fillId="3" borderId="5" xfId="0" applyFont="1" applyFill="1" applyBorder="1" applyAlignment="1">
      <alignment vertical="center"/>
    </xf>
    <xf numFmtId="165" fontId="32" fillId="0" borderId="5" xfId="0" applyFont="1" applyBorder="1" applyAlignment="1">
      <alignment vertical="center" wrapText="1"/>
    </xf>
    <xf numFmtId="165" fontId="32" fillId="0" borderId="5" xfId="0" applyFont="1" applyBorder="1" applyAlignment="1">
      <alignment horizontal="center" vertical="center" wrapText="1"/>
    </xf>
    <xf numFmtId="165" fontId="32" fillId="0" borderId="5" xfId="0" applyFont="1" applyBorder="1" applyAlignment="1">
      <alignment horizontal="right" wrapText="1"/>
    </xf>
    <xf numFmtId="165" fontId="32" fillId="0" borderId="5" xfId="0" applyFont="1" applyBorder="1" applyAlignment="1">
      <alignment horizontal="right" vertical="top" wrapText="1"/>
    </xf>
    <xf numFmtId="165" fontId="32" fillId="0" borderId="5" xfId="0" applyFont="1" applyBorder="1" applyAlignment="1">
      <alignment horizontal="left" vertical="top" wrapText="1"/>
    </xf>
    <xf numFmtId="0" fontId="32" fillId="0" borderId="5" xfId="0" applyNumberFormat="1" applyFont="1" applyBorder="1" applyAlignment="1">
      <alignment wrapText="1"/>
    </xf>
    <xf numFmtId="1" fontId="25" fillId="3" borderId="5" xfId="0" applyNumberFormat="1" applyFont="1" applyFill="1" applyBorder="1" applyAlignment="1">
      <alignment horizontal="center" vertical="top" wrapText="1"/>
    </xf>
    <xf numFmtId="165" fontId="26" fillId="0" borderId="0" xfId="0" applyFont="1" applyAlignment="1">
      <alignment vertical="top" wrapText="1"/>
    </xf>
    <xf numFmtId="165" fontId="8" fillId="0" borderId="0" xfId="0" applyFont="1" applyAlignment="1">
      <alignment horizontal="right" vertical="center"/>
    </xf>
    <xf numFmtId="165" fontId="29" fillId="8" borderId="5" xfId="0" applyFont="1" applyFill="1" applyBorder="1" applyAlignment="1">
      <alignment horizontal="center" vertical="top" wrapText="1"/>
    </xf>
    <xf numFmtId="2" fontId="32" fillId="8" borderId="5" xfId="18" applyNumberFormat="1" applyFont="1" applyFill="1" applyBorder="1" applyAlignment="1">
      <alignment horizontal="right" vertical="top"/>
    </xf>
    <xf numFmtId="165" fontId="35" fillId="8" borderId="5" xfId="0" applyFont="1" applyFill="1" applyBorder="1" applyAlignment="1">
      <alignment vertical="top" wrapText="1"/>
    </xf>
    <xf numFmtId="2" fontId="36" fillId="8" borderId="5" xfId="18" applyNumberFormat="1" applyFont="1" applyFill="1" applyBorder="1" applyAlignment="1">
      <alignment horizontal="right" vertical="top"/>
    </xf>
    <xf numFmtId="2" fontId="36" fillId="8" borderId="5" xfId="18" applyNumberFormat="1" applyFont="1" applyFill="1" applyBorder="1" applyAlignment="1">
      <alignment horizontal="right" vertical="center"/>
    </xf>
    <xf numFmtId="165" fontId="37" fillId="8" borderId="5" xfId="0" applyFont="1" applyFill="1" applyBorder="1" applyAlignment="1">
      <alignment horizontal="right" vertical="top" wrapText="1"/>
    </xf>
    <xf numFmtId="165" fontId="27" fillId="8" borderId="5" xfId="0" applyFont="1" applyFill="1" applyBorder="1" applyAlignment="1">
      <alignment vertical="top" wrapText="1"/>
    </xf>
    <xf numFmtId="165" fontId="27" fillId="8" borderId="5" xfId="0" applyFont="1" applyFill="1" applyBorder="1"/>
    <xf numFmtId="165" fontId="27" fillId="3" borderId="0" xfId="0" applyFont="1" applyFill="1"/>
    <xf numFmtId="165" fontId="27" fillId="3" borderId="0" xfId="0" applyFont="1" applyFill="1" applyAlignment="1">
      <alignment vertical="top" wrapText="1"/>
    </xf>
    <xf numFmtId="165" fontId="25" fillId="8" borderId="5" xfId="0" applyFont="1" applyFill="1" applyBorder="1" applyAlignment="1">
      <alignment vertical="top" wrapText="1"/>
    </xf>
    <xf numFmtId="165" fontId="34" fillId="0" borderId="0" xfId="0" applyFont="1"/>
    <xf numFmtId="165" fontId="55" fillId="0" borderId="0" xfId="0" applyFont="1"/>
    <xf numFmtId="165" fontId="16" fillId="0" borderId="0" xfId="0" applyFont="1" applyAlignment="1">
      <alignment horizontal="right"/>
    </xf>
    <xf numFmtId="165" fontId="8" fillId="0" borderId="0" xfId="0" applyFont="1" applyAlignment="1">
      <alignment horizontal="right"/>
    </xf>
    <xf numFmtId="165" fontId="10" fillId="0" borderId="0" xfId="0" applyFont="1" applyAlignment="1">
      <alignment horizontal="right"/>
    </xf>
    <xf numFmtId="3" fontId="57" fillId="3" borderId="28" xfId="16" applyNumberFormat="1" applyFont="1" applyFill="1" applyBorder="1" applyAlignment="1">
      <alignment horizontal="center" vertical="top"/>
    </xf>
    <xf numFmtId="170" fontId="10" fillId="0" borderId="28" xfId="16" applyNumberFormat="1" applyFont="1" applyBorder="1" applyAlignment="1">
      <alignment horizontal="left" vertical="top" wrapText="1"/>
    </xf>
    <xf numFmtId="176" fontId="56" fillId="3" borderId="30" xfId="16" applyNumberFormat="1" applyFont="1" applyFill="1" applyBorder="1" applyAlignment="1">
      <alignment horizontal="center" vertical="center"/>
    </xf>
    <xf numFmtId="176" fontId="56" fillId="3" borderId="30" xfId="16" applyNumberFormat="1" applyFont="1" applyFill="1" applyBorder="1" applyAlignment="1">
      <alignment horizontal="right" vertical="center"/>
    </xf>
    <xf numFmtId="170" fontId="56" fillId="3" borderId="28" xfId="16" applyNumberFormat="1" applyFont="1" applyFill="1" applyBorder="1" applyAlignment="1">
      <alignment horizontal="center" vertical="center"/>
    </xf>
    <xf numFmtId="169" fontId="10" fillId="0" borderId="28" xfId="57" applyBorder="1" applyAlignment="1">
      <alignment vertical="top" wrapText="1"/>
    </xf>
    <xf numFmtId="170" fontId="10" fillId="0" borderId="28" xfId="16" applyNumberFormat="1" applyFont="1" applyBorder="1" applyAlignment="1">
      <alignment vertical="top"/>
    </xf>
    <xf numFmtId="165" fontId="56" fillId="3" borderId="30" xfId="16" applyNumberFormat="1" applyFont="1" applyFill="1" applyBorder="1" applyAlignment="1">
      <alignment horizontal="right" vertical="center"/>
    </xf>
    <xf numFmtId="170" fontId="10" fillId="0" borderId="28" xfId="16" applyNumberFormat="1" applyFont="1" applyBorder="1" applyAlignment="1">
      <alignment vertical="top" wrapText="1"/>
    </xf>
    <xf numFmtId="3" fontId="57" fillId="3" borderId="32" xfId="16" applyNumberFormat="1" applyFont="1" applyFill="1" applyBorder="1" applyAlignment="1">
      <alignment horizontal="center" vertical="top"/>
    </xf>
    <xf numFmtId="170" fontId="8" fillId="0" borderId="28" xfId="16" applyNumberFormat="1" applyFont="1" applyBorder="1" applyAlignment="1">
      <alignment vertical="top" wrapText="1"/>
    </xf>
    <xf numFmtId="176" fontId="56" fillId="3" borderId="28" xfId="15" applyNumberFormat="1" applyFont="1" applyFill="1" applyBorder="1" applyAlignment="1">
      <alignment vertical="top" wrapText="1"/>
    </xf>
    <xf numFmtId="10" fontId="56" fillId="3" borderId="28" xfId="2" applyNumberFormat="1" applyFont="1" applyFill="1" applyBorder="1" applyAlignment="1">
      <alignment horizontal="center" vertical="top" wrapText="1"/>
    </xf>
    <xf numFmtId="165" fontId="8" fillId="0" borderId="28" xfId="0" applyFont="1" applyBorder="1"/>
    <xf numFmtId="165" fontId="0" fillId="0" borderId="28" xfId="0" applyBorder="1"/>
    <xf numFmtId="165" fontId="34" fillId="0" borderId="28" xfId="0" applyFont="1" applyBorder="1" applyAlignment="1">
      <alignment horizontal="center" vertical="center"/>
    </xf>
    <xf numFmtId="176" fontId="56" fillId="3" borderId="34" xfId="16" applyNumberFormat="1" applyFont="1" applyFill="1" applyBorder="1" applyAlignment="1">
      <alignment horizontal="right" vertical="center"/>
    </xf>
    <xf numFmtId="165" fontId="56" fillId="3" borderId="34" xfId="16" applyNumberFormat="1" applyFont="1" applyFill="1" applyBorder="1" applyAlignment="1">
      <alignment horizontal="right" vertical="center"/>
    </xf>
    <xf numFmtId="170" fontId="56" fillId="3" borderId="26" xfId="16" applyNumberFormat="1" applyFont="1" applyFill="1" applyBorder="1" applyAlignment="1">
      <alignment horizontal="center" vertical="top" wrapText="1"/>
    </xf>
    <xf numFmtId="170" fontId="56" fillId="3" borderId="27" xfId="16" applyNumberFormat="1" applyFont="1" applyFill="1" applyBorder="1" applyAlignment="1">
      <alignment horizontal="center" vertical="top" wrapText="1"/>
    </xf>
    <xf numFmtId="170" fontId="56" fillId="3" borderId="33" xfId="16" applyNumberFormat="1" applyFont="1" applyFill="1" applyBorder="1" applyAlignment="1">
      <alignment horizontal="center" vertical="top" wrapText="1"/>
    </xf>
    <xf numFmtId="170" fontId="56" fillId="3" borderId="28" xfId="16" applyNumberFormat="1" applyFont="1" applyFill="1" applyBorder="1" applyAlignment="1">
      <alignment horizontal="center" vertical="top" wrapText="1"/>
    </xf>
    <xf numFmtId="170" fontId="56" fillId="3" borderId="30" xfId="16" applyNumberFormat="1" applyFont="1" applyFill="1" applyBorder="1" applyAlignment="1">
      <alignment horizontal="center" vertical="top"/>
    </xf>
    <xf numFmtId="170" fontId="56" fillId="3" borderId="31" xfId="16" applyNumberFormat="1" applyFont="1" applyFill="1" applyBorder="1" applyAlignment="1">
      <alignment horizontal="center" vertical="top" wrapText="1"/>
    </xf>
    <xf numFmtId="165" fontId="29" fillId="8" borderId="11" xfId="0" applyFont="1" applyFill="1" applyBorder="1" applyAlignment="1">
      <alignment horizontal="center" vertical="top" wrapText="1"/>
    </xf>
    <xf numFmtId="165" fontId="29" fillId="8" borderId="10" xfId="0" applyFont="1" applyFill="1" applyBorder="1" applyAlignment="1">
      <alignment horizontal="center" vertical="top" wrapText="1"/>
    </xf>
    <xf numFmtId="165" fontId="25" fillId="0" borderId="5" xfId="0" applyFont="1" applyBorder="1" applyAlignment="1">
      <alignment horizontal="center" vertical="top"/>
    </xf>
    <xf numFmtId="2" fontId="25" fillId="0" borderId="5" xfId="0" applyNumberFormat="1" applyFont="1" applyBorder="1" applyAlignment="1">
      <alignment horizontal="center" vertical="top"/>
    </xf>
    <xf numFmtId="165" fontId="28" fillId="2" borderId="11" xfId="0" applyFont="1" applyFill="1" applyBorder="1" applyAlignment="1">
      <alignment horizontal="center" vertical="top"/>
    </xf>
    <xf numFmtId="165" fontId="28" fillId="2" borderId="15" xfId="0" applyFont="1" applyFill="1" applyBorder="1" applyAlignment="1">
      <alignment horizontal="center" vertical="top"/>
    </xf>
    <xf numFmtId="165" fontId="29" fillId="4" borderId="11" xfId="0" applyFont="1" applyFill="1" applyBorder="1" applyAlignment="1">
      <alignment horizontal="center" vertical="top" wrapText="1"/>
    </xf>
    <xf numFmtId="165" fontId="29" fillId="4" borderId="10" xfId="0" applyFont="1" applyFill="1" applyBorder="1" applyAlignment="1">
      <alignment horizontal="center" vertical="top" wrapText="1"/>
    </xf>
    <xf numFmtId="165" fontId="28" fillId="5" borderId="11" xfId="0" applyFont="1" applyFill="1" applyBorder="1" applyAlignment="1">
      <alignment horizontal="left" vertical="center" wrapText="1"/>
    </xf>
    <xf numFmtId="165" fontId="28" fillId="5" borderId="15" xfId="0" applyFont="1" applyFill="1" applyBorder="1" applyAlignment="1">
      <alignment horizontal="left" vertical="center" wrapText="1"/>
    </xf>
    <xf numFmtId="165" fontId="28" fillId="5" borderId="10" xfId="0" applyFont="1" applyFill="1" applyBorder="1" applyAlignment="1">
      <alignment horizontal="left" vertical="center" wrapText="1"/>
    </xf>
    <xf numFmtId="165" fontId="26" fillId="0" borderId="7" xfId="0" applyFont="1" applyBorder="1" applyAlignment="1">
      <alignment horizontal="center" vertical="center" wrapText="1"/>
    </xf>
    <xf numFmtId="165" fontId="33" fillId="0" borderId="11" xfId="0" applyFont="1" applyBorder="1" applyAlignment="1">
      <alignment horizontal="center" vertical="top" wrapText="1"/>
    </xf>
    <xf numFmtId="165" fontId="33" fillId="0" borderId="15" xfId="0" applyFont="1" applyBorder="1" applyAlignment="1">
      <alignment horizontal="center" vertical="top" wrapText="1"/>
    </xf>
    <xf numFmtId="165" fontId="33" fillId="0" borderId="10" xfId="0" applyFont="1" applyBorder="1" applyAlignment="1">
      <alignment horizontal="center" vertical="top" wrapText="1"/>
    </xf>
    <xf numFmtId="165" fontId="29" fillId="4" borderId="1" xfId="0" applyFont="1" applyFill="1" applyBorder="1" applyAlignment="1">
      <alignment horizontal="center" vertical="top" wrapText="1"/>
    </xf>
    <xf numFmtId="165" fontId="29" fillId="4" borderId="8" xfId="0" applyFont="1" applyFill="1" applyBorder="1" applyAlignment="1">
      <alignment horizontal="center" vertical="top" wrapText="1"/>
    </xf>
    <xf numFmtId="165" fontId="29" fillId="4" borderId="1" xfId="0" applyFont="1" applyFill="1" applyBorder="1" applyAlignment="1">
      <alignment horizontal="center" vertical="top"/>
    </xf>
    <xf numFmtId="165" fontId="29" fillId="4" borderId="8" xfId="0" applyFont="1" applyFill="1" applyBorder="1" applyAlignment="1">
      <alignment horizontal="center" vertical="top"/>
    </xf>
    <xf numFmtId="165" fontId="29" fillId="4" borderId="5" xfId="0" applyFont="1" applyFill="1" applyBorder="1" applyAlignment="1">
      <alignment horizontal="center" vertical="top" wrapText="1"/>
    </xf>
    <xf numFmtId="165" fontId="29" fillId="4" borderId="5" xfId="0" applyFont="1" applyFill="1" applyBorder="1" applyAlignment="1">
      <alignment horizontal="center" vertical="top"/>
    </xf>
    <xf numFmtId="165" fontId="33" fillId="3" borderId="5" xfId="0" applyFont="1" applyFill="1" applyBorder="1" applyAlignment="1">
      <alignment horizontal="right" vertical="center" wrapText="1"/>
    </xf>
    <xf numFmtId="165" fontId="33" fillId="0" borderId="11" xfId="0" applyFont="1" applyBorder="1" applyAlignment="1">
      <alignment horizontal="right" vertical="top" wrapText="1"/>
    </xf>
    <xf numFmtId="165" fontId="33" fillId="0" borderId="15" xfId="0" applyFont="1" applyBorder="1" applyAlignment="1">
      <alignment horizontal="right" vertical="top" wrapText="1"/>
    </xf>
    <xf numFmtId="165" fontId="33" fillId="0" borderId="10" xfId="0" applyFont="1" applyBorder="1" applyAlignment="1">
      <alignment horizontal="right" vertical="top" wrapText="1"/>
    </xf>
    <xf numFmtId="165" fontId="33" fillId="2" borderId="11" xfId="0" applyFont="1" applyFill="1" applyBorder="1" applyAlignment="1">
      <alignment horizontal="right" vertical="top" wrapText="1"/>
    </xf>
    <xf numFmtId="165" fontId="33" fillId="2" borderId="15" xfId="0" applyFont="1" applyFill="1" applyBorder="1" applyAlignment="1">
      <alignment horizontal="right" vertical="top" wrapText="1"/>
    </xf>
    <xf numFmtId="165" fontId="33" fillId="2" borderId="10" xfId="0" applyFont="1" applyFill="1" applyBorder="1" applyAlignment="1">
      <alignment horizontal="right" vertical="top" wrapText="1"/>
    </xf>
    <xf numFmtId="165" fontId="33" fillId="2" borderId="5" xfId="0" applyFont="1" applyFill="1" applyBorder="1" applyAlignment="1">
      <alignment horizontal="right" vertical="center" wrapText="1"/>
    </xf>
    <xf numFmtId="165" fontId="4" fillId="0" borderId="5" xfId="16" applyNumberFormat="1" applyBorder="1" applyAlignment="1">
      <alignment horizontal="center"/>
    </xf>
    <xf numFmtId="165" fontId="6" fillId="0" borderId="5" xfId="16" applyNumberFormat="1" applyFont="1" applyBorder="1" applyAlignment="1">
      <alignment horizontal="center"/>
    </xf>
    <xf numFmtId="165" fontId="13" fillId="0" borderId="0" xfId="15" applyNumberFormat="1" applyFont="1" applyAlignment="1">
      <alignment horizontal="center"/>
    </xf>
    <xf numFmtId="165" fontId="13" fillId="2" borderId="0" xfId="15" applyNumberFormat="1" applyFont="1" applyFill="1" applyAlignment="1">
      <alignment horizontal="center"/>
    </xf>
    <xf numFmtId="165" fontId="13" fillId="2" borderId="0" xfId="15" applyNumberFormat="1" applyFont="1" applyFill="1" applyAlignment="1">
      <alignment horizontal="center" vertical="center" wrapText="1"/>
    </xf>
    <xf numFmtId="165" fontId="8" fillId="0" borderId="0" xfId="15" applyNumberFormat="1" applyFont="1" applyAlignment="1">
      <alignment horizontal="center"/>
    </xf>
    <xf numFmtId="165" fontId="8" fillId="2" borderId="0" xfId="15" applyNumberFormat="1" applyFont="1" applyFill="1" applyAlignment="1">
      <alignment horizontal="center"/>
    </xf>
    <xf numFmtId="165" fontId="8" fillId="0" borderId="0" xfId="0" applyFont="1" applyAlignment="1">
      <alignment horizontal="center"/>
    </xf>
    <xf numFmtId="165" fontId="8" fillId="0" borderId="0" xfId="0" applyFont="1" applyAlignment="1">
      <alignment horizontal="center" vertical="top"/>
    </xf>
    <xf numFmtId="3" fontId="56" fillId="3" borderId="25" xfId="16" applyNumberFormat="1" applyFont="1" applyFill="1" applyBorder="1" applyAlignment="1">
      <alignment horizontal="center" vertical="top"/>
    </xf>
    <xf numFmtId="3" fontId="56" fillId="3" borderId="29" xfId="16" applyNumberFormat="1" applyFont="1" applyFill="1" applyBorder="1" applyAlignment="1">
      <alignment horizontal="center" vertical="top"/>
    </xf>
    <xf numFmtId="170" fontId="56" fillId="3" borderId="25" xfId="16" applyNumberFormat="1" applyFont="1" applyFill="1" applyBorder="1" applyAlignment="1">
      <alignment horizontal="center" vertical="top"/>
    </xf>
    <xf numFmtId="170" fontId="56" fillId="3" borderId="29" xfId="16" applyNumberFormat="1" applyFont="1" applyFill="1" applyBorder="1" applyAlignment="1">
      <alignment horizontal="center" vertical="top"/>
    </xf>
  </cellXfs>
  <cellStyles count="74">
    <cellStyle name="20% - Accent1 2" xfId="19" xr:uid="{00000000-0005-0000-0000-000000000000}"/>
    <cellStyle name="20% - Accent2 2" xfId="20" xr:uid="{00000000-0005-0000-0000-000001000000}"/>
    <cellStyle name="20% - Accent3 2" xfId="21" xr:uid="{00000000-0005-0000-0000-000002000000}"/>
    <cellStyle name="20% - Accent4 2" xfId="22" xr:uid="{00000000-0005-0000-0000-000003000000}"/>
    <cellStyle name="20% - Accent5 2" xfId="23" xr:uid="{00000000-0005-0000-0000-000004000000}"/>
    <cellStyle name="20% - Accent6 2" xfId="24" xr:uid="{00000000-0005-0000-0000-000005000000}"/>
    <cellStyle name="40% - Accent1 2" xfId="25" xr:uid="{00000000-0005-0000-0000-000006000000}"/>
    <cellStyle name="40% - Accent2 2" xfId="26" xr:uid="{00000000-0005-0000-0000-000007000000}"/>
    <cellStyle name="40% - Accent3 2" xfId="27" xr:uid="{00000000-0005-0000-0000-000008000000}"/>
    <cellStyle name="40% - Accent4 2" xfId="28" xr:uid="{00000000-0005-0000-0000-000009000000}"/>
    <cellStyle name="40% - Accent5 2" xfId="29" xr:uid="{00000000-0005-0000-0000-00000A000000}"/>
    <cellStyle name="40% - Accent6 2" xfId="30" xr:uid="{00000000-0005-0000-0000-00000B000000}"/>
    <cellStyle name="60% - Accent1 2" xfId="31" xr:uid="{00000000-0005-0000-0000-00000C000000}"/>
    <cellStyle name="60% - Accent2 2" xfId="32" xr:uid="{00000000-0005-0000-0000-00000D000000}"/>
    <cellStyle name="60% - Accent3 2" xfId="33" xr:uid="{00000000-0005-0000-0000-00000E000000}"/>
    <cellStyle name="60% - Accent4 2" xfId="34" xr:uid="{00000000-0005-0000-0000-00000F000000}"/>
    <cellStyle name="60% - Accent5 2" xfId="35" xr:uid="{00000000-0005-0000-0000-000010000000}"/>
    <cellStyle name="60% - Accent6 2" xfId="36" xr:uid="{00000000-0005-0000-0000-000011000000}"/>
    <cellStyle name="Accent1 2" xfId="37" xr:uid="{00000000-0005-0000-0000-000012000000}"/>
    <cellStyle name="Accent2 2" xfId="38" xr:uid="{00000000-0005-0000-0000-000013000000}"/>
    <cellStyle name="Accent3 2" xfId="39" xr:uid="{00000000-0005-0000-0000-000014000000}"/>
    <cellStyle name="Accent4 2" xfId="40" xr:uid="{00000000-0005-0000-0000-000015000000}"/>
    <cellStyle name="Accent5 2" xfId="41" xr:uid="{00000000-0005-0000-0000-000016000000}"/>
    <cellStyle name="Accent6 2" xfId="42" xr:uid="{00000000-0005-0000-0000-000017000000}"/>
    <cellStyle name="Bad 2" xfId="43" xr:uid="{00000000-0005-0000-0000-000018000000}"/>
    <cellStyle name="Calculation 2" xfId="44" xr:uid="{00000000-0005-0000-0000-000019000000}"/>
    <cellStyle name="Check Cell 2" xfId="45" xr:uid="{00000000-0005-0000-0000-00001A000000}"/>
    <cellStyle name="Comma 2" xfId="46" xr:uid="{00000000-0005-0000-0000-00001B000000}"/>
    <cellStyle name="Explanatory Text 2" xfId="47" xr:uid="{00000000-0005-0000-0000-00001C000000}"/>
    <cellStyle name="Good 2" xfId="48" xr:uid="{00000000-0005-0000-0000-00001D000000}"/>
    <cellStyle name="Heading 1 2" xfId="49" xr:uid="{00000000-0005-0000-0000-00001E000000}"/>
    <cellStyle name="Heading 2 2" xfId="50" xr:uid="{00000000-0005-0000-0000-00001F000000}"/>
    <cellStyle name="Heading 3 2" xfId="51" xr:uid="{00000000-0005-0000-0000-000020000000}"/>
    <cellStyle name="Heading 4 2" xfId="52" xr:uid="{00000000-0005-0000-0000-000021000000}"/>
    <cellStyle name="Input 2" xfId="53" xr:uid="{00000000-0005-0000-0000-000022000000}"/>
    <cellStyle name="Linked Cell 2" xfId="54" xr:uid="{00000000-0005-0000-0000-000023000000}"/>
    <cellStyle name="Neutral 2" xfId="55" xr:uid="{00000000-0005-0000-0000-000024000000}"/>
    <cellStyle name="Normal" xfId="0" builtinId="0"/>
    <cellStyle name="Normal 10" xfId="8" xr:uid="{00000000-0005-0000-0000-000026000000}"/>
    <cellStyle name="Normal 10 2" xfId="56" xr:uid="{00000000-0005-0000-0000-000027000000}"/>
    <cellStyle name="Normal 11" xfId="10" xr:uid="{00000000-0005-0000-0000-000028000000}"/>
    <cellStyle name="Normal 12" xfId="9" xr:uid="{00000000-0005-0000-0000-000029000000}"/>
    <cellStyle name="Normal 13" xfId="11" xr:uid="{00000000-0005-0000-0000-00002A000000}"/>
    <cellStyle name="Normal 14" xfId="12" xr:uid="{00000000-0005-0000-0000-00002B000000}"/>
    <cellStyle name="Normal 2" xfId="1" xr:uid="{00000000-0005-0000-0000-00002C000000}"/>
    <cellStyle name="Normal 2 2" xfId="13" xr:uid="{00000000-0005-0000-0000-00002D000000}"/>
    <cellStyle name="Normal 2 2 2" xfId="16" xr:uid="{00000000-0005-0000-0000-00002E000000}"/>
    <cellStyle name="Normal 3" xfId="17" xr:uid="{00000000-0005-0000-0000-00002F000000}"/>
    <cellStyle name="Normal 3 11" xfId="18" xr:uid="{00000000-0005-0000-0000-000030000000}"/>
    <cellStyle name="Normal 3 11 2" xfId="58" xr:uid="{00000000-0005-0000-0000-000031000000}"/>
    <cellStyle name="Normal 3 2" xfId="59" xr:uid="{00000000-0005-0000-0000-000032000000}"/>
    <cellStyle name="Normal 3 2 2" xfId="60" xr:uid="{00000000-0005-0000-0000-000033000000}"/>
    <cellStyle name="Normal 3 3" xfId="57" xr:uid="{00000000-0005-0000-0000-000034000000}"/>
    <cellStyle name="Normal 4" xfId="61" xr:uid="{00000000-0005-0000-0000-000035000000}"/>
    <cellStyle name="Normal 5" xfId="3" xr:uid="{00000000-0005-0000-0000-000036000000}"/>
    <cellStyle name="Normal 5 2" xfId="62" xr:uid="{00000000-0005-0000-0000-000037000000}"/>
    <cellStyle name="Normal 6" xfId="5" xr:uid="{00000000-0005-0000-0000-000038000000}"/>
    <cellStyle name="Normal 6 2" xfId="64" xr:uid="{00000000-0005-0000-0000-000039000000}"/>
    <cellStyle name="Normal 6 3" xfId="63" xr:uid="{00000000-0005-0000-0000-00003A000000}"/>
    <cellStyle name="Normal 6 4" xfId="65" xr:uid="{00000000-0005-0000-0000-00003B000000}"/>
    <cellStyle name="Normal 7" xfId="6" xr:uid="{00000000-0005-0000-0000-00003C000000}"/>
    <cellStyle name="Normal 7 2" xfId="66" xr:uid="{00000000-0005-0000-0000-00003D000000}"/>
    <cellStyle name="Normal 8" xfId="4" xr:uid="{00000000-0005-0000-0000-00003E000000}"/>
    <cellStyle name="Normal 8 2" xfId="67" xr:uid="{00000000-0005-0000-0000-00003F000000}"/>
    <cellStyle name="Normal 9" xfId="7" xr:uid="{00000000-0005-0000-0000-000040000000}"/>
    <cellStyle name="Normal_Sheet2" xfId="15" xr:uid="{00000000-0005-0000-0000-000041000000}"/>
    <cellStyle name="Note 2" xfId="68" xr:uid="{00000000-0005-0000-0000-000042000000}"/>
    <cellStyle name="Output 2" xfId="69" xr:uid="{00000000-0005-0000-0000-000043000000}"/>
    <cellStyle name="Percent" xfId="2" builtinId="5"/>
    <cellStyle name="Percent 10" xfId="70" xr:uid="{00000000-0005-0000-0000-000045000000}"/>
    <cellStyle name="Percent 3" xfId="14" xr:uid="{00000000-0005-0000-0000-000046000000}"/>
    <cellStyle name="Title 2" xfId="71" xr:uid="{00000000-0005-0000-0000-000047000000}"/>
    <cellStyle name="Total 2" xfId="72" xr:uid="{00000000-0005-0000-0000-000048000000}"/>
    <cellStyle name="Warning Text 2" xfId="73" xr:uid="{00000000-0005-0000-0000-00004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%20DRIVE\Assignment%20File\BSL\4750-Installation%20of%20FDA%20in%20all%20sub%20stations%20and%20cable%20cellar%20and%20CCTV,%20BSL\PBE%20REVISED%20OCT%202023\4750-Updated%20Capital%20cost%20R=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"/>
      <sheetName val="GM (2)"/>
      <sheetName val="GM(3)"/>
      <sheetName val="cash flow"/>
      <sheetName val="BOQ-R2"/>
      <sheetName val="Capital cost R=2"/>
      <sheetName val="R=0 vs R=1"/>
      <sheetName val="Sheet1"/>
      <sheetName val="MOM"/>
      <sheetName val="Escalation"/>
      <sheetName val="BOQ_R1"/>
      <sheetName val="CC_R1"/>
      <sheetName val="MOM_R1_CC"/>
    </sheetNames>
    <sheetDataSet>
      <sheetData sheetId="0"/>
      <sheetData sheetId="1"/>
      <sheetData sheetId="2"/>
      <sheetData sheetId="3"/>
      <sheetData sheetId="4">
        <row r="57">
          <cell r="F57">
            <v>532.64831736781571</v>
          </cell>
        </row>
      </sheetData>
      <sheetData sheetId="5"/>
      <sheetData sheetId="6"/>
      <sheetData sheetId="7"/>
      <sheetData sheetId="8"/>
      <sheetData sheetId="9">
        <row r="9">
          <cell r="E9">
            <v>1.0732728541521284</v>
          </cell>
        </row>
      </sheetData>
      <sheetData sheetId="10">
        <row r="27">
          <cell r="F27">
            <v>396.27566000000002</v>
          </cell>
        </row>
        <row r="42">
          <cell r="F42">
            <v>92.320000000000007</v>
          </cell>
        </row>
        <row r="52">
          <cell r="F52">
            <v>31.992720000000002</v>
          </cell>
        </row>
        <row r="62">
          <cell r="F62">
            <v>0.6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opLeftCell="A11" workbookViewId="0">
      <selection activeCell="B25" sqref="B25"/>
    </sheetView>
  </sheetViews>
  <sheetFormatPr defaultRowHeight="14.25" x14ac:dyDescent="0.2"/>
  <cols>
    <col min="1" max="1" width="8.88671875" style="301"/>
    <col min="2" max="2" width="37.5546875" style="229" customWidth="1"/>
    <col min="3" max="3" width="6.6640625" style="229" customWidth="1"/>
    <col min="4" max="4" width="8.109375" style="229" customWidth="1"/>
    <col min="5" max="5" width="10.5546875" style="229" customWidth="1"/>
    <col min="6" max="6" width="11.88671875" style="229" customWidth="1"/>
    <col min="7" max="7" width="9.6640625" style="229" customWidth="1"/>
    <col min="8" max="8" width="12.6640625" style="229" customWidth="1"/>
    <col min="9" max="9" width="11.21875" style="229" customWidth="1"/>
    <col min="10" max="10" width="9.6640625" style="229" bestFit="1" customWidth="1"/>
    <col min="11" max="257" width="8.88671875" style="229"/>
    <col min="258" max="258" width="37.5546875" style="229" customWidth="1"/>
    <col min="259" max="259" width="6.6640625" style="229" customWidth="1"/>
    <col min="260" max="260" width="8.109375" style="229" customWidth="1"/>
    <col min="261" max="261" width="10.5546875" style="229" customWidth="1"/>
    <col min="262" max="262" width="11.88671875" style="229" customWidth="1"/>
    <col min="263" max="263" width="9.6640625" style="229" customWidth="1"/>
    <col min="264" max="264" width="12.6640625" style="229" customWidth="1"/>
    <col min="265" max="265" width="11.21875" style="229" customWidth="1"/>
    <col min="266" max="513" width="8.88671875" style="229"/>
    <col min="514" max="514" width="37.5546875" style="229" customWidth="1"/>
    <col min="515" max="515" width="6.6640625" style="229" customWidth="1"/>
    <col min="516" max="516" width="8.109375" style="229" customWidth="1"/>
    <col min="517" max="517" width="10.5546875" style="229" customWidth="1"/>
    <col min="518" max="518" width="11.88671875" style="229" customWidth="1"/>
    <col min="519" max="519" width="9.6640625" style="229" customWidth="1"/>
    <col min="520" max="520" width="12.6640625" style="229" customWidth="1"/>
    <col min="521" max="521" width="11.21875" style="229" customWidth="1"/>
    <col min="522" max="769" width="8.88671875" style="229"/>
    <col min="770" max="770" width="37.5546875" style="229" customWidth="1"/>
    <col min="771" max="771" width="6.6640625" style="229" customWidth="1"/>
    <col min="772" max="772" width="8.109375" style="229" customWidth="1"/>
    <col min="773" max="773" width="10.5546875" style="229" customWidth="1"/>
    <col min="774" max="774" width="11.88671875" style="229" customWidth="1"/>
    <col min="775" max="775" width="9.6640625" style="229" customWidth="1"/>
    <col min="776" max="776" width="12.6640625" style="229" customWidth="1"/>
    <col min="777" max="777" width="11.21875" style="229" customWidth="1"/>
    <col min="778" max="1025" width="8.88671875" style="229"/>
    <col min="1026" max="1026" width="37.5546875" style="229" customWidth="1"/>
    <col min="1027" max="1027" width="6.6640625" style="229" customWidth="1"/>
    <col min="1028" max="1028" width="8.109375" style="229" customWidth="1"/>
    <col min="1029" max="1029" width="10.5546875" style="229" customWidth="1"/>
    <col min="1030" max="1030" width="11.88671875" style="229" customWidth="1"/>
    <col min="1031" max="1031" width="9.6640625" style="229" customWidth="1"/>
    <col min="1032" max="1032" width="12.6640625" style="229" customWidth="1"/>
    <col min="1033" max="1033" width="11.21875" style="229" customWidth="1"/>
    <col min="1034" max="1281" width="8.88671875" style="229"/>
    <col min="1282" max="1282" width="37.5546875" style="229" customWidth="1"/>
    <col min="1283" max="1283" width="6.6640625" style="229" customWidth="1"/>
    <col min="1284" max="1284" width="8.109375" style="229" customWidth="1"/>
    <col min="1285" max="1285" width="10.5546875" style="229" customWidth="1"/>
    <col min="1286" max="1286" width="11.88671875" style="229" customWidth="1"/>
    <col min="1287" max="1287" width="9.6640625" style="229" customWidth="1"/>
    <col min="1288" max="1288" width="12.6640625" style="229" customWidth="1"/>
    <col min="1289" max="1289" width="11.21875" style="229" customWidth="1"/>
    <col min="1290" max="1537" width="8.88671875" style="229"/>
    <col min="1538" max="1538" width="37.5546875" style="229" customWidth="1"/>
    <col min="1539" max="1539" width="6.6640625" style="229" customWidth="1"/>
    <col min="1540" max="1540" width="8.109375" style="229" customWidth="1"/>
    <col min="1541" max="1541" width="10.5546875" style="229" customWidth="1"/>
    <col min="1542" max="1542" width="11.88671875" style="229" customWidth="1"/>
    <col min="1543" max="1543" width="9.6640625" style="229" customWidth="1"/>
    <col min="1544" max="1544" width="12.6640625" style="229" customWidth="1"/>
    <col min="1545" max="1545" width="11.21875" style="229" customWidth="1"/>
    <col min="1546" max="1793" width="8.88671875" style="229"/>
    <col min="1794" max="1794" width="37.5546875" style="229" customWidth="1"/>
    <col min="1795" max="1795" width="6.6640625" style="229" customWidth="1"/>
    <col min="1796" max="1796" width="8.109375" style="229" customWidth="1"/>
    <col min="1797" max="1797" width="10.5546875" style="229" customWidth="1"/>
    <col min="1798" max="1798" width="11.88671875" style="229" customWidth="1"/>
    <col min="1799" max="1799" width="9.6640625" style="229" customWidth="1"/>
    <col min="1800" max="1800" width="12.6640625" style="229" customWidth="1"/>
    <col min="1801" max="1801" width="11.21875" style="229" customWidth="1"/>
    <col min="1802" max="2049" width="8.88671875" style="229"/>
    <col min="2050" max="2050" width="37.5546875" style="229" customWidth="1"/>
    <col min="2051" max="2051" width="6.6640625" style="229" customWidth="1"/>
    <col min="2052" max="2052" width="8.109375" style="229" customWidth="1"/>
    <col min="2053" max="2053" width="10.5546875" style="229" customWidth="1"/>
    <col min="2054" max="2054" width="11.88671875" style="229" customWidth="1"/>
    <col min="2055" max="2055" width="9.6640625" style="229" customWidth="1"/>
    <col min="2056" max="2056" width="12.6640625" style="229" customWidth="1"/>
    <col min="2057" max="2057" width="11.21875" style="229" customWidth="1"/>
    <col min="2058" max="2305" width="8.88671875" style="229"/>
    <col min="2306" max="2306" width="37.5546875" style="229" customWidth="1"/>
    <col min="2307" max="2307" width="6.6640625" style="229" customWidth="1"/>
    <col min="2308" max="2308" width="8.109375" style="229" customWidth="1"/>
    <col min="2309" max="2309" width="10.5546875" style="229" customWidth="1"/>
    <col min="2310" max="2310" width="11.88671875" style="229" customWidth="1"/>
    <col min="2311" max="2311" width="9.6640625" style="229" customWidth="1"/>
    <col min="2312" max="2312" width="12.6640625" style="229" customWidth="1"/>
    <col min="2313" max="2313" width="11.21875" style="229" customWidth="1"/>
    <col min="2314" max="2561" width="8.88671875" style="229"/>
    <col min="2562" max="2562" width="37.5546875" style="229" customWidth="1"/>
    <col min="2563" max="2563" width="6.6640625" style="229" customWidth="1"/>
    <col min="2564" max="2564" width="8.109375" style="229" customWidth="1"/>
    <col min="2565" max="2565" width="10.5546875" style="229" customWidth="1"/>
    <col min="2566" max="2566" width="11.88671875" style="229" customWidth="1"/>
    <col min="2567" max="2567" width="9.6640625" style="229" customWidth="1"/>
    <col min="2568" max="2568" width="12.6640625" style="229" customWidth="1"/>
    <col min="2569" max="2569" width="11.21875" style="229" customWidth="1"/>
    <col min="2570" max="2817" width="8.88671875" style="229"/>
    <col min="2818" max="2818" width="37.5546875" style="229" customWidth="1"/>
    <col min="2819" max="2819" width="6.6640625" style="229" customWidth="1"/>
    <col min="2820" max="2820" width="8.109375" style="229" customWidth="1"/>
    <col min="2821" max="2821" width="10.5546875" style="229" customWidth="1"/>
    <col min="2822" max="2822" width="11.88671875" style="229" customWidth="1"/>
    <col min="2823" max="2823" width="9.6640625" style="229" customWidth="1"/>
    <col min="2824" max="2824" width="12.6640625" style="229" customWidth="1"/>
    <col min="2825" max="2825" width="11.21875" style="229" customWidth="1"/>
    <col min="2826" max="3073" width="8.88671875" style="229"/>
    <col min="3074" max="3074" width="37.5546875" style="229" customWidth="1"/>
    <col min="3075" max="3075" width="6.6640625" style="229" customWidth="1"/>
    <col min="3076" max="3076" width="8.109375" style="229" customWidth="1"/>
    <col min="3077" max="3077" width="10.5546875" style="229" customWidth="1"/>
    <col min="3078" max="3078" width="11.88671875" style="229" customWidth="1"/>
    <col min="3079" max="3079" width="9.6640625" style="229" customWidth="1"/>
    <col min="3080" max="3080" width="12.6640625" style="229" customWidth="1"/>
    <col min="3081" max="3081" width="11.21875" style="229" customWidth="1"/>
    <col min="3082" max="3329" width="8.88671875" style="229"/>
    <col min="3330" max="3330" width="37.5546875" style="229" customWidth="1"/>
    <col min="3331" max="3331" width="6.6640625" style="229" customWidth="1"/>
    <col min="3332" max="3332" width="8.109375" style="229" customWidth="1"/>
    <col min="3333" max="3333" width="10.5546875" style="229" customWidth="1"/>
    <col min="3334" max="3334" width="11.88671875" style="229" customWidth="1"/>
    <col min="3335" max="3335" width="9.6640625" style="229" customWidth="1"/>
    <col min="3336" max="3336" width="12.6640625" style="229" customWidth="1"/>
    <col min="3337" max="3337" width="11.21875" style="229" customWidth="1"/>
    <col min="3338" max="3585" width="8.88671875" style="229"/>
    <col min="3586" max="3586" width="37.5546875" style="229" customWidth="1"/>
    <col min="3587" max="3587" width="6.6640625" style="229" customWidth="1"/>
    <col min="3588" max="3588" width="8.109375" style="229" customWidth="1"/>
    <col min="3589" max="3589" width="10.5546875" style="229" customWidth="1"/>
    <col min="3590" max="3590" width="11.88671875" style="229" customWidth="1"/>
    <col min="3591" max="3591" width="9.6640625" style="229" customWidth="1"/>
    <col min="3592" max="3592" width="12.6640625" style="229" customWidth="1"/>
    <col min="3593" max="3593" width="11.21875" style="229" customWidth="1"/>
    <col min="3594" max="3841" width="8.88671875" style="229"/>
    <col min="3842" max="3842" width="37.5546875" style="229" customWidth="1"/>
    <col min="3843" max="3843" width="6.6640625" style="229" customWidth="1"/>
    <col min="3844" max="3844" width="8.109375" style="229" customWidth="1"/>
    <col min="3845" max="3845" width="10.5546875" style="229" customWidth="1"/>
    <col min="3846" max="3846" width="11.88671875" style="229" customWidth="1"/>
    <col min="3847" max="3847" width="9.6640625" style="229" customWidth="1"/>
    <col min="3848" max="3848" width="12.6640625" style="229" customWidth="1"/>
    <col min="3849" max="3849" width="11.21875" style="229" customWidth="1"/>
    <col min="3850" max="4097" width="8.88671875" style="229"/>
    <col min="4098" max="4098" width="37.5546875" style="229" customWidth="1"/>
    <col min="4099" max="4099" width="6.6640625" style="229" customWidth="1"/>
    <col min="4100" max="4100" width="8.109375" style="229" customWidth="1"/>
    <col min="4101" max="4101" width="10.5546875" style="229" customWidth="1"/>
    <col min="4102" max="4102" width="11.88671875" style="229" customWidth="1"/>
    <col min="4103" max="4103" width="9.6640625" style="229" customWidth="1"/>
    <col min="4104" max="4104" width="12.6640625" style="229" customWidth="1"/>
    <col min="4105" max="4105" width="11.21875" style="229" customWidth="1"/>
    <col min="4106" max="4353" width="8.88671875" style="229"/>
    <col min="4354" max="4354" width="37.5546875" style="229" customWidth="1"/>
    <col min="4355" max="4355" width="6.6640625" style="229" customWidth="1"/>
    <col min="4356" max="4356" width="8.109375" style="229" customWidth="1"/>
    <col min="4357" max="4357" width="10.5546875" style="229" customWidth="1"/>
    <col min="4358" max="4358" width="11.88671875" style="229" customWidth="1"/>
    <col min="4359" max="4359" width="9.6640625" style="229" customWidth="1"/>
    <col min="4360" max="4360" width="12.6640625" style="229" customWidth="1"/>
    <col min="4361" max="4361" width="11.21875" style="229" customWidth="1"/>
    <col min="4362" max="4609" width="8.88671875" style="229"/>
    <col min="4610" max="4610" width="37.5546875" style="229" customWidth="1"/>
    <col min="4611" max="4611" width="6.6640625" style="229" customWidth="1"/>
    <col min="4612" max="4612" width="8.109375" style="229" customWidth="1"/>
    <col min="4613" max="4613" width="10.5546875" style="229" customWidth="1"/>
    <col min="4614" max="4614" width="11.88671875" style="229" customWidth="1"/>
    <col min="4615" max="4615" width="9.6640625" style="229" customWidth="1"/>
    <col min="4616" max="4616" width="12.6640625" style="229" customWidth="1"/>
    <col min="4617" max="4617" width="11.21875" style="229" customWidth="1"/>
    <col min="4618" max="4865" width="8.88671875" style="229"/>
    <col min="4866" max="4866" width="37.5546875" style="229" customWidth="1"/>
    <col min="4867" max="4867" width="6.6640625" style="229" customWidth="1"/>
    <col min="4868" max="4868" width="8.109375" style="229" customWidth="1"/>
    <col min="4869" max="4869" width="10.5546875" style="229" customWidth="1"/>
    <col min="4870" max="4870" width="11.88671875" style="229" customWidth="1"/>
    <col min="4871" max="4871" width="9.6640625" style="229" customWidth="1"/>
    <col min="4872" max="4872" width="12.6640625" style="229" customWidth="1"/>
    <col min="4873" max="4873" width="11.21875" style="229" customWidth="1"/>
    <col min="4874" max="5121" width="8.88671875" style="229"/>
    <col min="5122" max="5122" width="37.5546875" style="229" customWidth="1"/>
    <col min="5123" max="5123" width="6.6640625" style="229" customWidth="1"/>
    <col min="5124" max="5124" width="8.109375" style="229" customWidth="1"/>
    <col min="5125" max="5125" width="10.5546875" style="229" customWidth="1"/>
    <col min="5126" max="5126" width="11.88671875" style="229" customWidth="1"/>
    <col min="5127" max="5127" width="9.6640625" style="229" customWidth="1"/>
    <col min="5128" max="5128" width="12.6640625" style="229" customWidth="1"/>
    <col min="5129" max="5129" width="11.21875" style="229" customWidth="1"/>
    <col min="5130" max="5377" width="8.88671875" style="229"/>
    <col min="5378" max="5378" width="37.5546875" style="229" customWidth="1"/>
    <col min="5379" max="5379" width="6.6640625" style="229" customWidth="1"/>
    <col min="5380" max="5380" width="8.109375" style="229" customWidth="1"/>
    <col min="5381" max="5381" width="10.5546875" style="229" customWidth="1"/>
    <col min="5382" max="5382" width="11.88671875" style="229" customWidth="1"/>
    <col min="5383" max="5383" width="9.6640625" style="229" customWidth="1"/>
    <col min="5384" max="5384" width="12.6640625" style="229" customWidth="1"/>
    <col min="5385" max="5385" width="11.21875" style="229" customWidth="1"/>
    <col min="5386" max="5633" width="8.88671875" style="229"/>
    <col min="5634" max="5634" width="37.5546875" style="229" customWidth="1"/>
    <col min="5635" max="5635" width="6.6640625" style="229" customWidth="1"/>
    <col min="5636" max="5636" width="8.109375" style="229" customWidth="1"/>
    <col min="5637" max="5637" width="10.5546875" style="229" customWidth="1"/>
    <col min="5638" max="5638" width="11.88671875" style="229" customWidth="1"/>
    <col min="5639" max="5639" width="9.6640625" style="229" customWidth="1"/>
    <col min="5640" max="5640" width="12.6640625" style="229" customWidth="1"/>
    <col min="5641" max="5641" width="11.21875" style="229" customWidth="1"/>
    <col min="5642" max="5889" width="8.88671875" style="229"/>
    <col min="5890" max="5890" width="37.5546875" style="229" customWidth="1"/>
    <col min="5891" max="5891" width="6.6640625" style="229" customWidth="1"/>
    <col min="5892" max="5892" width="8.109375" style="229" customWidth="1"/>
    <col min="5893" max="5893" width="10.5546875" style="229" customWidth="1"/>
    <col min="5894" max="5894" width="11.88671875" style="229" customWidth="1"/>
    <col min="5895" max="5895" width="9.6640625" style="229" customWidth="1"/>
    <col min="5896" max="5896" width="12.6640625" style="229" customWidth="1"/>
    <col min="5897" max="5897" width="11.21875" style="229" customWidth="1"/>
    <col min="5898" max="6145" width="8.88671875" style="229"/>
    <col min="6146" max="6146" width="37.5546875" style="229" customWidth="1"/>
    <col min="6147" max="6147" width="6.6640625" style="229" customWidth="1"/>
    <col min="6148" max="6148" width="8.109375" style="229" customWidth="1"/>
    <col min="6149" max="6149" width="10.5546875" style="229" customWidth="1"/>
    <col min="6150" max="6150" width="11.88671875" style="229" customWidth="1"/>
    <col min="6151" max="6151" width="9.6640625" style="229" customWidth="1"/>
    <col min="6152" max="6152" width="12.6640625" style="229" customWidth="1"/>
    <col min="6153" max="6153" width="11.21875" style="229" customWidth="1"/>
    <col min="6154" max="6401" width="8.88671875" style="229"/>
    <col min="6402" max="6402" width="37.5546875" style="229" customWidth="1"/>
    <col min="6403" max="6403" width="6.6640625" style="229" customWidth="1"/>
    <col min="6404" max="6404" width="8.109375" style="229" customWidth="1"/>
    <col min="6405" max="6405" width="10.5546875" style="229" customWidth="1"/>
    <col min="6406" max="6406" width="11.88671875" style="229" customWidth="1"/>
    <col min="6407" max="6407" width="9.6640625" style="229" customWidth="1"/>
    <col min="6408" max="6408" width="12.6640625" style="229" customWidth="1"/>
    <col min="6409" max="6409" width="11.21875" style="229" customWidth="1"/>
    <col min="6410" max="6657" width="8.88671875" style="229"/>
    <col min="6658" max="6658" width="37.5546875" style="229" customWidth="1"/>
    <col min="6659" max="6659" width="6.6640625" style="229" customWidth="1"/>
    <col min="6660" max="6660" width="8.109375" style="229" customWidth="1"/>
    <col min="6661" max="6661" width="10.5546875" style="229" customWidth="1"/>
    <col min="6662" max="6662" width="11.88671875" style="229" customWidth="1"/>
    <col min="6663" max="6663" width="9.6640625" style="229" customWidth="1"/>
    <col min="6664" max="6664" width="12.6640625" style="229" customWidth="1"/>
    <col min="6665" max="6665" width="11.21875" style="229" customWidth="1"/>
    <col min="6666" max="6913" width="8.88671875" style="229"/>
    <col min="6914" max="6914" width="37.5546875" style="229" customWidth="1"/>
    <col min="6915" max="6915" width="6.6640625" style="229" customWidth="1"/>
    <col min="6916" max="6916" width="8.109375" style="229" customWidth="1"/>
    <col min="6917" max="6917" width="10.5546875" style="229" customWidth="1"/>
    <col min="6918" max="6918" width="11.88671875" style="229" customWidth="1"/>
    <col min="6919" max="6919" width="9.6640625" style="229" customWidth="1"/>
    <col min="6920" max="6920" width="12.6640625" style="229" customWidth="1"/>
    <col min="6921" max="6921" width="11.21875" style="229" customWidth="1"/>
    <col min="6922" max="7169" width="8.88671875" style="229"/>
    <col min="7170" max="7170" width="37.5546875" style="229" customWidth="1"/>
    <col min="7171" max="7171" width="6.6640625" style="229" customWidth="1"/>
    <col min="7172" max="7172" width="8.109375" style="229" customWidth="1"/>
    <col min="7173" max="7173" width="10.5546875" style="229" customWidth="1"/>
    <col min="7174" max="7174" width="11.88671875" style="229" customWidth="1"/>
    <col min="7175" max="7175" width="9.6640625" style="229" customWidth="1"/>
    <col min="7176" max="7176" width="12.6640625" style="229" customWidth="1"/>
    <col min="7177" max="7177" width="11.21875" style="229" customWidth="1"/>
    <col min="7178" max="7425" width="8.88671875" style="229"/>
    <col min="7426" max="7426" width="37.5546875" style="229" customWidth="1"/>
    <col min="7427" max="7427" width="6.6640625" style="229" customWidth="1"/>
    <col min="7428" max="7428" width="8.109375" style="229" customWidth="1"/>
    <col min="7429" max="7429" width="10.5546875" style="229" customWidth="1"/>
    <col min="7430" max="7430" width="11.88671875" style="229" customWidth="1"/>
    <col min="7431" max="7431" width="9.6640625" style="229" customWidth="1"/>
    <col min="7432" max="7432" width="12.6640625" style="229" customWidth="1"/>
    <col min="7433" max="7433" width="11.21875" style="229" customWidth="1"/>
    <col min="7434" max="7681" width="8.88671875" style="229"/>
    <col min="7682" max="7682" width="37.5546875" style="229" customWidth="1"/>
    <col min="7683" max="7683" width="6.6640625" style="229" customWidth="1"/>
    <col min="7684" max="7684" width="8.109375" style="229" customWidth="1"/>
    <col min="7685" max="7685" width="10.5546875" style="229" customWidth="1"/>
    <col min="7686" max="7686" width="11.88671875" style="229" customWidth="1"/>
    <col min="7687" max="7687" width="9.6640625" style="229" customWidth="1"/>
    <col min="7688" max="7688" width="12.6640625" style="229" customWidth="1"/>
    <col min="7689" max="7689" width="11.21875" style="229" customWidth="1"/>
    <col min="7690" max="7937" width="8.88671875" style="229"/>
    <col min="7938" max="7938" width="37.5546875" style="229" customWidth="1"/>
    <col min="7939" max="7939" width="6.6640625" style="229" customWidth="1"/>
    <col min="7940" max="7940" width="8.109375" style="229" customWidth="1"/>
    <col min="7941" max="7941" width="10.5546875" style="229" customWidth="1"/>
    <col min="7942" max="7942" width="11.88671875" style="229" customWidth="1"/>
    <col min="7943" max="7943" width="9.6640625" style="229" customWidth="1"/>
    <col min="7944" max="7944" width="12.6640625" style="229" customWidth="1"/>
    <col min="7945" max="7945" width="11.21875" style="229" customWidth="1"/>
    <col min="7946" max="8193" width="8.88671875" style="229"/>
    <col min="8194" max="8194" width="37.5546875" style="229" customWidth="1"/>
    <col min="8195" max="8195" width="6.6640625" style="229" customWidth="1"/>
    <col min="8196" max="8196" width="8.109375" style="229" customWidth="1"/>
    <col min="8197" max="8197" width="10.5546875" style="229" customWidth="1"/>
    <col min="8198" max="8198" width="11.88671875" style="229" customWidth="1"/>
    <col min="8199" max="8199" width="9.6640625" style="229" customWidth="1"/>
    <col min="8200" max="8200" width="12.6640625" style="229" customWidth="1"/>
    <col min="8201" max="8201" width="11.21875" style="229" customWidth="1"/>
    <col min="8202" max="8449" width="8.88671875" style="229"/>
    <col min="8450" max="8450" width="37.5546875" style="229" customWidth="1"/>
    <col min="8451" max="8451" width="6.6640625" style="229" customWidth="1"/>
    <col min="8452" max="8452" width="8.109375" style="229" customWidth="1"/>
    <col min="8453" max="8453" width="10.5546875" style="229" customWidth="1"/>
    <col min="8454" max="8454" width="11.88671875" style="229" customWidth="1"/>
    <col min="8455" max="8455" width="9.6640625" style="229" customWidth="1"/>
    <col min="8456" max="8456" width="12.6640625" style="229" customWidth="1"/>
    <col min="8457" max="8457" width="11.21875" style="229" customWidth="1"/>
    <col min="8458" max="8705" width="8.88671875" style="229"/>
    <col min="8706" max="8706" width="37.5546875" style="229" customWidth="1"/>
    <col min="8707" max="8707" width="6.6640625" style="229" customWidth="1"/>
    <col min="8708" max="8708" width="8.109375" style="229" customWidth="1"/>
    <col min="8709" max="8709" width="10.5546875" style="229" customWidth="1"/>
    <col min="8710" max="8710" width="11.88671875" style="229" customWidth="1"/>
    <col min="8711" max="8711" width="9.6640625" style="229" customWidth="1"/>
    <col min="8712" max="8712" width="12.6640625" style="229" customWidth="1"/>
    <col min="8713" max="8713" width="11.21875" style="229" customWidth="1"/>
    <col min="8714" max="8961" width="8.88671875" style="229"/>
    <col min="8962" max="8962" width="37.5546875" style="229" customWidth="1"/>
    <col min="8963" max="8963" width="6.6640625" style="229" customWidth="1"/>
    <col min="8964" max="8964" width="8.109375" style="229" customWidth="1"/>
    <col min="8965" max="8965" width="10.5546875" style="229" customWidth="1"/>
    <col min="8966" max="8966" width="11.88671875" style="229" customWidth="1"/>
    <col min="8967" max="8967" width="9.6640625" style="229" customWidth="1"/>
    <col min="8968" max="8968" width="12.6640625" style="229" customWidth="1"/>
    <col min="8969" max="8969" width="11.21875" style="229" customWidth="1"/>
    <col min="8970" max="9217" width="8.88671875" style="229"/>
    <col min="9218" max="9218" width="37.5546875" style="229" customWidth="1"/>
    <col min="9219" max="9219" width="6.6640625" style="229" customWidth="1"/>
    <col min="9220" max="9220" width="8.109375" style="229" customWidth="1"/>
    <col min="9221" max="9221" width="10.5546875" style="229" customWidth="1"/>
    <col min="9222" max="9222" width="11.88671875" style="229" customWidth="1"/>
    <col min="9223" max="9223" width="9.6640625" style="229" customWidth="1"/>
    <col min="9224" max="9224" width="12.6640625" style="229" customWidth="1"/>
    <col min="9225" max="9225" width="11.21875" style="229" customWidth="1"/>
    <col min="9226" max="9473" width="8.88671875" style="229"/>
    <col min="9474" max="9474" width="37.5546875" style="229" customWidth="1"/>
    <col min="9475" max="9475" width="6.6640625" style="229" customWidth="1"/>
    <col min="9476" max="9476" width="8.109375" style="229" customWidth="1"/>
    <col min="9477" max="9477" width="10.5546875" style="229" customWidth="1"/>
    <col min="9478" max="9478" width="11.88671875" style="229" customWidth="1"/>
    <col min="9479" max="9479" width="9.6640625" style="229" customWidth="1"/>
    <col min="9480" max="9480" width="12.6640625" style="229" customWidth="1"/>
    <col min="9481" max="9481" width="11.21875" style="229" customWidth="1"/>
    <col min="9482" max="9729" width="8.88671875" style="229"/>
    <col min="9730" max="9730" width="37.5546875" style="229" customWidth="1"/>
    <col min="9731" max="9731" width="6.6640625" style="229" customWidth="1"/>
    <col min="9732" max="9732" width="8.109375" style="229" customWidth="1"/>
    <col min="9733" max="9733" width="10.5546875" style="229" customWidth="1"/>
    <col min="9734" max="9734" width="11.88671875" style="229" customWidth="1"/>
    <col min="9735" max="9735" width="9.6640625" style="229" customWidth="1"/>
    <col min="9736" max="9736" width="12.6640625" style="229" customWidth="1"/>
    <col min="9737" max="9737" width="11.21875" style="229" customWidth="1"/>
    <col min="9738" max="9985" width="8.88671875" style="229"/>
    <col min="9986" max="9986" width="37.5546875" style="229" customWidth="1"/>
    <col min="9987" max="9987" width="6.6640625" style="229" customWidth="1"/>
    <col min="9988" max="9988" width="8.109375" style="229" customWidth="1"/>
    <col min="9989" max="9989" width="10.5546875" style="229" customWidth="1"/>
    <col min="9990" max="9990" width="11.88671875" style="229" customWidth="1"/>
    <col min="9991" max="9991" width="9.6640625" style="229" customWidth="1"/>
    <col min="9992" max="9992" width="12.6640625" style="229" customWidth="1"/>
    <col min="9993" max="9993" width="11.21875" style="229" customWidth="1"/>
    <col min="9994" max="10241" width="8.88671875" style="229"/>
    <col min="10242" max="10242" width="37.5546875" style="229" customWidth="1"/>
    <col min="10243" max="10243" width="6.6640625" style="229" customWidth="1"/>
    <col min="10244" max="10244" width="8.109375" style="229" customWidth="1"/>
    <col min="10245" max="10245" width="10.5546875" style="229" customWidth="1"/>
    <col min="10246" max="10246" width="11.88671875" style="229" customWidth="1"/>
    <col min="10247" max="10247" width="9.6640625" style="229" customWidth="1"/>
    <col min="10248" max="10248" width="12.6640625" style="229" customWidth="1"/>
    <col min="10249" max="10249" width="11.21875" style="229" customWidth="1"/>
    <col min="10250" max="10497" width="8.88671875" style="229"/>
    <col min="10498" max="10498" width="37.5546875" style="229" customWidth="1"/>
    <col min="10499" max="10499" width="6.6640625" style="229" customWidth="1"/>
    <col min="10500" max="10500" width="8.109375" style="229" customWidth="1"/>
    <col min="10501" max="10501" width="10.5546875" style="229" customWidth="1"/>
    <col min="10502" max="10502" width="11.88671875" style="229" customWidth="1"/>
    <col min="10503" max="10503" width="9.6640625" style="229" customWidth="1"/>
    <col min="10504" max="10504" width="12.6640625" style="229" customWidth="1"/>
    <col min="10505" max="10505" width="11.21875" style="229" customWidth="1"/>
    <col min="10506" max="10753" width="8.88671875" style="229"/>
    <col min="10754" max="10754" width="37.5546875" style="229" customWidth="1"/>
    <col min="10755" max="10755" width="6.6640625" style="229" customWidth="1"/>
    <col min="10756" max="10756" width="8.109375" style="229" customWidth="1"/>
    <col min="10757" max="10757" width="10.5546875" style="229" customWidth="1"/>
    <col min="10758" max="10758" width="11.88671875" style="229" customWidth="1"/>
    <col min="10759" max="10759" width="9.6640625" style="229" customWidth="1"/>
    <col min="10760" max="10760" width="12.6640625" style="229" customWidth="1"/>
    <col min="10761" max="10761" width="11.21875" style="229" customWidth="1"/>
    <col min="10762" max="11009" width="8.88671875" style="229"/>
    <col min="11010" max="11010" width="37.5546875" style="229" customWidth="1"/>
    <col min="11011" max="11011" width="6.6640625" style="229" customWidth="1"/>
    <col min="11012" max="11012" width="8.109375" style="229" customWidth="1"/>
    <col min="11013" max="11013" width="10.5546875" style="229" customWidth="1"/>
    <col min="11014" max="11014" width="11.88671875" style="229" customWidth="1"/>
    <col min="11015" max="11015" width="9.6640625" style="229" customWidth="1"/>
    <col min="11016" max="11016" width="12.6640625" style="229" customWidth="1"/>
    <col min="11017" max="11017" width="11.21875" style="229" customWidth="1"/>
    <col min="11018" max="11265" width="8.88671875" style="229"/>
    <col min="11266" max="11266" width="37.5546875" style="229" customWidth="1"/>
    <col min="11267" max="11267" width="6.6640625" style="229" customWidth="1"/>
    <col min="11268" max="11268" width="8.109375" style="229" customWidth="1"/>
    <col min="11269" max="11269" width="10.5546875" style="229" customWidth="1"/>
    <col min="11270" max="11270" width="11.88671875" style="229" customWidth="1"/>
    <col min="11271" max="11271" width="9.6640625" style="229" customWidth="1"/>
    <col min="11272" max="11272" width="12.6640625" style="229" customWidth="1"/>
    <col min="11273" max="11273" width="11.21875" style="229" customWidth="1"/>
    <col min="11274" max="11521" width="8.88671875" style="229"/>
    <col min="11522" max="11522" width="37.5546875" style="229" customWidth="1"/>
    <col min="11523" max="11523" width="6.6640625" style="229" customWidth="1"/>
    <col min="11524" max="11524" width="8.109375" style="229" customWidth="1"/>
    <col min="11525" max="11525" width="10.5546875" style="229" customWidth="1"/>
    <col min="11526" max="11526" width="11.88671875" style="229" customWidth="1"/>
    <col min="11527" max="11527" width="9.6640625" style="229" customWidth="1"/>
    <col min="11528" max="11528" width="12.6640625" style="229" customWidth="1"/>
    <col min="11529" max="11529" width="11.21875" style="229" customWidth="1"/>
    <col min="11530" max="11777" width="8.88671875" style="229"/>
    <col min="11778" max="11778" width="37.5546875" style="229" customWidth="1"/>
    <col min="11779" max="11779" width="6.6640625" style="229" customWidth="1"/>
    <col min="11780" max="11780" width="8.109375" style="229" customWidth="1"/>
    <col min="11781" max="11781" width="10.5546875" style="229" customWidth="1"/>
    <col min="11782" max="11782" width="11.88671875" style="229" customWidth="1"/>
    <col min="11783" max="11783" width="9.6640625" style="229" customWidth="1"/>
    <col min="11784" max="11784" width="12.6640625" style="229" customWidth="1"/>
    <col min="11785" max="11785" width="11.21875" style="229" customWidth="1"/>
    <col min="11786" max="12033" width="8.88671875" style="229"/>
    <col min="12034" max="12034" width="37.5546875" style="229" customWidth="1"/>
    <col min="12035" max="12035" width="6.6640625" style="229" customWidth="1"/>
    <col min="12036" max="12036" width="8.109375" style="229" customWidth="1"/>
    <col min="12037" max="12037" width="10.5546875" style="229" customWidth="1"/>
    <col min="12038" max="12038" width="11.88671875" style="229" customWidth="1"/>
    <col min="12039" max="12039" width="9.6640625" style="229" customWidth="1"/>
    <col min="12040" max="12040" width="12.6640625" style="229" customWidth="1"/>
    <col min="12041" max="12041" width="11.21875" style="229" customWidth="1"/>
    <col min="12042" max="12289" width="8.88671875" style="229"/>
    <col min="12290" max="12290" width="37.5546875" style="229" customWidth="1"/>
    <col min="12291" max="12291" width="6.6640625" style="229" customWidth="1"/>
    <col min="12292" max="12292" width="8.109375" style="229" customWidth="1"/>
    <col min="12293" max="12293" width="10.5546875" style="229" customWidth="1"/>
    <col min="12294" max="12294" width="11.88671875" style="229" customWidth="1"/>
    <col min="12295" max="12295" width="9.6640625" style="229" customWidth="1"/>
    <col min="12296" max="12296" width="12.6640625" style="229" customWidth="1"/>
    <col min="12297" max="12297" width="11.21875" style="229" customWidth="1"/>
    <col min="12298" max="12545" width="8.88671875" style="229"/>
    <col min="12546" max="12546" width="37.5546875" style="229" customWidth="1"/>
    <col min="12547" max="12547" width="6.6640625" style="229" customWidth="1"/>
    <col min="12548" max="12548" width="8.109375" style="229" customWidth="1"/>
    <col min="12549" max="12549" width="10.5546875" style="229" customWidth="1"/>
    <col min="12550" max="12550" width="11.88671875" style="229" customWidth="1"/>
    <col min="12551" max="12551" width="9.6640625" style="229" customWidth="1"/>
    <col min="12552" max="12552" width="12.6640625" style="229" customWidth="1"/>
    <col min="12553" max="12553" width="11.21875" style="229" customWidth="1"/>
    <col min="12554" max="12801" width="8.88671875" style="229"/>
    <col min="12802" max="12802" width="37.5546875" style="229" customWidth="1"/>
    <col min="12803" max="12803" width="6.6640625" style="229" customWidth="1"/>
    <col min="12804" max="12804" width="8.109375" style="229" customWidth="1"/>
    <col min="12805" max="12805" width="10.5546875" style="229" customWidth="1"/>
    <col min="12806" max="12806" width="11.88671875" style="229" customWidth="1"/>
    <col min="12807" max="12807" width="9.6640625" style="229" customWidth="1"/>
    <col min="12808" max="12808" width="12.6640625" style="229" customWidth="1"/>
    <col min="12809" max="12809" width="11.21875" style="229" customWidth="1"/>
    <col min="12810" max="13057" width="8.88671875" style="229"/>
    <col min="13058" max="13058" width="37.5546875" style="229" customWidth="1"/>
    <col min="13059" max="13059" width="6.6640625" style="229" customWidth="1"/>
    <col min="13060" max="13060" width="8.109375" style="229" customWidth="1"/>
    <col min="13061" max="13061" width="10.5546875" style="229" customWidth="1"/>
    <col min="13062" max="13062" width="11.88671875" style="229" customWidth="1"/>
    <col min="13063" max="13063" width="9.6640625" style="229" customWidth="1"/>
    <col min="13064" max="13064" width="12.6640625" style="229" customWidth="1"/>
    <col min="13065" max="13065" width="11.21875" style="229" customWidth="1"/>
    <col min="13066" max="13313" width="8.88671875" style="229"/>
    <col min="13314" max="13314" width="37.5546875" style="229" customWidth="1"/>
    <col min="13315" max="13315" width="6.6640625" style="229" customWidth="1"/>
    <col min="13316" max="13316" width="8.109375" style="229" customWidth="1"/>
    <col min="13317" max="13317" width="10.5546875" style="229" customWidth="1"/>
    <col min="13318" max="13318" width="11.88671875" style="229" customWidth="1"/>
    <col min="13319" max="13319" width="9.6640625" style="229" customWidth="1"/>
    <col min="13320" max="13320" width="12.6640625" style="229" customWidth="1"/>
    <col min="13321" max="13321" width="11.21875" style="229" customWidth="1"/>
    <col min="13322" max="13569" width="8.88671875" style="229"/>
    <col min="13570" max="13570" width="37.5546875" style="229" customWidth="1"/>
    <col min="13571" max="13571" width="6.6640625" style="229" customWidth="1"/>
    <col min="13572" max="13572" width="8.109375" style="229" customWidth="1"/>
    <col min="13573" max="13573" width="10.5546875" style="229" customWidth="1"/>
    <col min="13574" max="13574" width="11.88671875" style="229" customWidth="1"/>
    <col min="13575" max="13575" width="9.6640625" style="229" customWidth="1"/>
    <col min="13576" max="13576" width="12.6640625" style="229" customWidth="1"/>
    <col min="13577" max="13577" width="11.21875" style="229" customWidth="1"/>
    <col min="13578" max="13825" width="8.88671875" style="229"/>
    <col min="13826" max="13826" width="37.5546875" style="229" customWidth="1"/>
    <col min="13827" max="13827" width="6.6640625" style="229" customWidth="1"/>
    <col min="13828" max="13828" width="8.109375" style="229" customWidth="1"/>
    <col min="13829" max="13829" width="10.5546875" style="229" customWidth="1"/>
    <col min="13830" max="13830" width="11.88671875" style="229" customWidth="1"/>
    <col min="13831" max="13831" width="9.6640625" style="229" customWidth="1"/>
    <col min="13832" max="13832" width="12.6640625" style="229" customWidth="1"/>
    <col min="13833" max="13833" width="11.21875" style="229" customWidth="1"/>
    <col min="13834" max="14081" width="8.88671875" style="229"/>
    <col min="14082" max="14082" width="37.5546875" style="229" customWidth="1"/>
    <col min="14083" max="14083" width="6.6640625" style="229" customWidth="1"/>
    <col min="14084" max="14084" width="8.109375" style="229" customWidth="1"/>
    <col min="14085" max="14085" width="10.5546875" style="229" customWidth="1"/>
    <col min="14086" max="14086" width="11.88671875" style="229" customWidth="1"/>
    <col min="14087" max="14087" width="9.6640625" style="229" customWidth="1"/>
    <col min="14088" max="14088" width="12.6640625" style="229" customWidth="1"/>
    <col min="14089" max="14089" width="11.21875" style="229" customWidth="1"/>
    <col min="14090" max="14337" width="8.88671875" style="229"/>
    <col min="14338" max="14338" width="37.5546875" style="229" customWidth="1"/>
    <col min="14339" max="14339" width="6.6640625" style="229" customWidth="1"/>
    <col min="14340" max="14340" width="8.109375" style="229" customWidth="1"/>
    <col min="14341" max="14341" width="10.5546875" style="229" customWidth="1"/>
    <col min="14342" max="14342" width="11.88671875" style="229" customWidth="1"/>
    <col min="14343" max="14343" width="9.6640625" style="229" customWidth="1"/>
    <col min="14344" max="14344" width="12.6640625" style="229" customWidth="1"/>
    <col min="14345" max="14345" width="11.21875" style="229" customWidth="1"/>
    <col min="14346" max="14593" width="8.88671875" style="229"/>
    <col min="14594" max="14594" width="37.5546875" style="229" customWidth="1"/>
    <col min="14595" max="14595" width="6.6640625" style="229" customWidth="1"/>
    <col min="14596" max="14596" width="8.109375" style="229" customWidth="1"/>
    <col min="14597" max="14597" width="10.5546875" style="229" customWidth="1"/>
    <col min="14598" max="14598" width="11.88671875" style="229" customWidth="1"/>
    <col min="14599" max="14599" width="9.6640625" style="229" customWidth="1"/>
    <col min="14600" max="14600" width="12.6640625" style="229" customWidth="1"/>
    <col min="14601" max="14601" width="11.21875" style="229" customWidth="1"/>
    <col min="14602" max="14849" width="8.88671875" style="229"/>
    <col min="14850" max="14850" width="37.5546875" style="229" customWidth="1"/>
    <col min="14851" max="14851" width="6.6640625" style="229" customWidth="1"/>
    <col min="14852" max="14852" width="8.109375" style="229" customWidth="1"/>
    <col min="14853" max="14853" width="10.5546875" style="229" customWidth="1"/>
    <col min="14854" max="14854" width="11.88671875" style="229" customWidth="1"/>
    <col min="14855" max="14855" width="9.6640625" style="229" customWidth="1"/>
    <col min="14856" max="14856" width="12.6640625" style="229" customWidth="1"/>
    <col min="14857" max="14857" width="11.21875" style="229" customWidth="1"/>
    <col min="14858" max="15105" width="8.88671875" style="229"/>
    <col min="15106" max="15106" width="37.5546875" style="229" customWidth="1"/>
    <col min="15107" max="15107" width="6.6640625" style="229" customWidth="1"/>
    <col min="15108" max="15108" width="8.109375" style="229" customWidth="1"/>
    <col min="15109" max="15109" width="10.5546875" style="229" customWidth="1"/>
    <col min="15110" max="15110" width="11.88671875" style="229" customWidth="1"/>
    <col min="15111" max="15111" width="9.6640625" style="229" customWidth="1"/>
    <col min="15112" max="15112" width="12.6640625" style="229" customWidth="1"/>
    <col min="15113" max="15113" width="11.21875" style="229" customWidth="1"/>
    <col min="15114" max="15361" width="8.88671875" style="229"/>
    <col min="15362" max="15362" width="37.5546875" style="229" customWidth="1"/>
    <col min="15363" max="15363" width="6.6640625" style="229" customWidth="1"/>
    <col min="15364" max="15364" width="8.109375" style="229" customWidth="1"/>
    <col min="15365" max="15365" width="10.5546875" style="229" customWidth="1"/>
    <col min="15366" max="15366" width="11.88671875" style="229" customWidth="1"/>
    <col min="15367" max="15367" width="9.6640625" style="229" customWidth="1"/>
    <col min="15368" max="15368" width="12.6640625" style="229" customWidth="1"/>
    <col min="15369" max="15369" width="11.21875" style="229" customWidth="1"/>
    <col min="15370" max="15617" width="8.88671875" style="229"/>
    <col min="15618" max="15618" width="37.5546875" style="229" customWidth="1"/>
    <col min="15619" max="15619" width="6.6640625" style="229" customWidth="1"/>
    <col min="15620" max="15620" width="8.109375" style="229" customWidth="1"/>
    <col min="15621" max="15621" width="10.5546875" style="229" customWidth="1"/>
    <col min="15622" max="15622" width="11.88671875" style="229" customWidth="1"/>
    <col min="15623" max="15623" width="9.6640625" style="229" customWidth="1"/>
    <col min="15624" max="15624" width="12.6640625" style="229" customWidth="1"/>
    <col min="15625" max="15625" width="11.21875" style="229" customWidth="1"/>
    <col min="15626" max="15873" width="8.88671875" style="229"/>
    <col min="15874" max="15874" width="37.5546875" style="229" customWidth="1"/>
    <col min="15875" max="15875" width="6.6640625" style="229" customWidth="1"/>
    <col min="15876" max="15876" width="8.109375" style="229" customWidth="1"/>
    <col min="15877" max="15877" width="10.5546875" style="229" customWidth="1"/>
    <col min="15878" max="15878" width="11.88671875" style="229" customWidth="1"/>
    <col min="15879" max="15879" width="9.6640625" style="229" customWidth="1"/>
    <col min="15880" max="15880" width="12.6640625" style="229" customWidth="1"/>
    <col min="15881" max="15881" width="11.21875" style="229" customWidth="1"/>
    <col min="15882" max="16129" width="8.88671875" style="229"/>
    <col min="16130" max="16130" width="37.5546875" style="229" customWidth="1"/>
    <col min="16131" max="16131" width="6.6640625" style="229" customWidth="1"/>
    <col min="16132" max="16132" width="8.109375" style="229" customWidth="1"/>
    <col min="16133" max="16133" width="10.5546875" style="229" customWidth="1"/>
    <col min="16134" max="16134" width="11.88671875" style="229" customWidth="1"/>
    <col min="16135" max="16135" width="9.6640625" style="229" customWidth="1"/>
    <col min="16136" max="16136" width="12.6640625" style="229" customWidth="1"/>
    <col min="16137" max="16137" width="11.21875" style="229" customWidth="1"/>
    <col min="16138" max="16384" width="8.88671875" style="229"/>
  </cols>
  <sheetData>
    <row r="1" spans="1:11" ht="16.5" x14ac:dyDescent="0.2">
      <c r="A1" s="345" t="s">
        <v>10</v>
      </c>
      <c r="B1" s="345"/>
      <c r="C1" s="345"/>
      <c r="D1" s="345"/>
      <c r="E1" s="345"/>
      <c r="F1" s="345"/>
      <c r="G1" s="345"/>
    </row>
    <row r="2" spans="1:11" ht="16.5" x14ac:dyDescent="0.2">
      <c r="A2" s="345" t="s">
        <v>77</v>
      </c>
      <c r="B2" s="345"/>
      <c r="C2" s="345"/>
      <c r="D2" s="345"/>
      <c r="E2" s="345"/>
      <c r="F2" s="345"/>
      <c r="G2" s="345"/>
    </row>
    <row r="3" spans="1:11" ht="16.5" x14ac:dyDescent="0.2">
      <c r="A3" s="346" t="s">
        <v>78</v>
      </c>
      <c r="B3" s="346"/>
      <c r="C3" s="346"/>
      <c r="D3" s="346"/>
      <c r="E3" s="346"/>
      <c r="F3" s="346"/>
      <c r="G3" s="346"/>
    </row>
    <row r="4" spans="1:11" ht="16.5" x14ac:dyDescent="0.2">
      <c r="A4" s="346" t="s">
        <v>79</v>
      </c>
      <c r="B4" s="346"/>
      <c r="C4" s="346"/>
      <c r="D4" s="346"/>
      <c r="E4" s="346"/>
      <c r="F4" s="346"/>
      <c r="G4" s="346"/>
    </row>
    <row r="5" spans="1:11" ht="17.25" x14ac:dyDescent="0.3">
      <c r="A5" s="230"/>
      <c r="B5" s="231"/>
      <c r="C5" s="232"/>
      <c r="D5" s="232"/>
      <c r="E5" s="347" t="s">
        <v>80</v>
      </c>
      <c r="F5" s="348"/>
      <c r="G5" s="348"/>
    </row>
    <row r="6" spans="1:11" ht="34.5" customHeight="1" x14ac:dyDescent="0.2">
      <c r="A6" s="362" t="s">
        <v>81</v>
      </c>
      <c r="B6" s="362" t="s">
        <v>82</v>
      </c>
      <c r="C6" s="363" t="s">
        <v>83</v>
      </c>
      <c r="D6" s="363" t="s">
        <v>84</v>
      </c>
      <c r="E6" s="349" t="s">
        <v>85</v>
      </c>
      <c r="F6" s="350"/>
      <c r="G6" s="349" t="s">
        <v>86</v>
      </c>
      <c r="H6" s="350"/>
      <c r="J6" s="343" t="s">
        <v>219</v>
      </c>
      <c r="K6" s="344"/>
    </row>
    <row r="7" spans="1:11" ht="36.75" customHeight="1" x14ac:dyDescent="0.2">
      <c r="A7" s="362"/>
      <c r="B7" s="362"/>
      <c r="C7" s="363"/>
      <c r="D7" s="363"/>
      <c r="E7" s="233" t="s">
        <v>87</v>
      </c>
      <c r="F7" s="233" t="s">
        <v>88</v>
      </c>
      <c r="G7" s="233" t="s">
        <v>87</v>
      </c>
      <c r="H7" s="233" t="s">
        <v>88</v>
      </c>
      <c r="J7" s="303" t="s">
        <v>87</v>
      </c>
      <c r="K7" s="303" t="s">
        <v>88</v>
      </c>
    </row>
    <row r="8" spans="1:11" ht="25.5" x14ac:dyDescent="0.2">
      <c r="A8" s="234" t="s">
        <v>89</v>
      </c>
      <c r="B8" s="235" t="s">
        <v>90</v>
      </c>
      <c r="C8" s="236"/>
      <c r="D8" s="237"/>
      <c r="E8" s="238"/>
      <c r="F8" s="238"/>
      <c r="G8" s="238"/>
      <c r="H8" s="238"/>
      <c r="J8" s="303"/>
      <c r="K8" s="303"/>
    </row>
    <row r="9" spans="1:11" ht="17.25" x14ac:dyDescent="0.2">
      <c r="A9" s="239">
        <v>1</v>
      </c>
      <c r="B9" s="351" t="s">
        <v>91</v>
      </c>
      <c r="C9" s="352"/>
      <c r="D9" s="353"/>
      <c r="E9" s="240"/>
      <c r="F9" s="240"/>
      <c r="G9" s="241"/>
      <c r="H9" s="242"/>
      <c r="J9" s="304"/>
      <c r="K9" s="304"/>
    </row>
    <row r="10" spans="1:11" ht="21.75" customHeight="1" x14ac:dyDescent="0.2">
      <c r="A10" s="243" t="s">
        <v>92</v>
      </c>
      <c r="B10" s="241" t="s">
        <v>93</v>
      </c>
      <c r="C10" s="244" t="s">
        <v>94</v>
      </c>
      <c r="D10" s="245">
        <v>110</v>
      </c>
      <c r="E10" s="241">
        <f>42450+3328</f>
        <v>45778</v>
      </c>
      <c r="F10" s="240">
        <f>D10*E10/10^5</f>
        <v>50.355800000000002</v>
      </c>
      <c r="G10" s="241">
        <f>102542+7480</f>
        <v>110022</v>
      </c>
      <c r="H10" s="246">
        <f>D10*G10/10^5</f>
        <v>121.02419999999999</v>
      </c>
      <c r="I10" s="354" t="s">
        <v>224</v>
      </c>
      <c r="J10" s="305">
        <v>101120</v>
      </c>
      <c r="K10" s="306">
        <f>D10*J10/10^5</f>
        <v>111.232</v>
      </c>
    </row>
    <row r="11" spans="1:11" ht="16.5" x14ac:dyDescent="0.2">
      <c r="A11" s="243" t="s">
        <v>96</v>
      </c>
      <c r="B11" s="241" t="s">
        <v>97</v>
      </c>
      <c r="C11" s="244" t="s">
        <v>94</v>
      </c>
      <c r="D11" s="245">
        <v>400</v>
      </c>
      <c r="E11" s="241">
        <v>3000</v>
      </c>
      <c r="F11" s="240">
        <f t="shared" ref="F11:F26" si="0">D11*E11/10^5</f>
        <v>12</v>
      </c>
      <c r="G11" s="247">
        <v>4413</v>
      </c>
      <c r="H11" s="246">
        <f t="shared" ref="H11:H26" si="1">D11*G11/10^5</f>
        <v>17.652000000000001</v>
      </c>
      <c r="I11" s="354"/>
      <c r="J11" s="305">
        <v>4325</v>
      </c>
      <c r="K11" s="306">
        <f t="shared" ref="K11:K26" si="2">D11*J11/10^5</f>
        <v>17.3</v>
      </c>
    </row>
    <row r="12" spans="1:11" ht="16.5" x14ac:dyDescent="0.2">
      <c r="A12" s="243" t="s">
        <v>98</v>
      </c>
      <c r="B12" s="241" t="s">
        <v>99</v>
      </c>
      <c r="C12" s="248" t="s">
        <v>100</v>
      </c>
      <c r="D12" s="245">
        <v>20000</v>
      </c>
      <c r="E12" s="241">
        <v>507</v>
      </c>
      <c r="F12" s="240">
        <f t="shared" si="0"/>
        <v>101.4</v>
      </c>
      <c r="G12" s="247">
        <v>346</v>
      </c>
      <c r="H12" s="246">
        <f t="shared" si="1"/>
        <v>69.2</v>
      </c>
      <c r="I12" s="354"/>
      <c r="J12" s="305">
        <v>485</v>
      </c>
      <c r="K12" s="306">
        <f t="shared" si="2"/>
        <v>97</v>
      </c>
    </row>
    <row r="13" spans="1:11" ht="16.5" x14ac:dyDescent="0.2">
      <c r="A13" s="243" t="s">
        <v>101</v>
      </c>
      <c r="B13" s="241" t="s">
        <v>102</v>
      </c>
      <c r="C13" s="248" t="s">
        <v>94</v>
      </c>
      <c r="D13" s="245">
        <v>46</v>
      </c>
      <c r="E13" s="241">
        <v>176485</v>
      </c>
      <c r="F13" s="240">
        <f t="shared" si="0"/>
        <v>81.183099999999996</v>
      </c>
      <c r="G13" s="241">
        <v>150000</v>
      </c>
      <c r="H13" s="246">
        <f t="shared" si="1"/>
        <v>69</v>
      </c>
      <c r="I13" s="354"/>
      <c r="J13" s="305">
        <v>97000</v>
      </c>
      <c r="K13" s="306">
        <f t="shared" si="2"/>
        <v>44.62</v>
      </c>
    </row>
    <row r="14" spans="1:11" ht="16.5" x14ac:dyDescent="0.2">
      <c r="A14" s="243" t="s">
        <v>103</v>
      </c>
      <c r="B14" s="241" t="s">
        <v>104</v>
      </c>
      <c r="C14" s="248" t="s">
        <v>94</v>
      </c>
      <c r="D14" s="245">
        <v>190</v>
      </c>
      <c r="E14" s="241">
        <v>3866</v>
      </c>
      <c r="F14" s="240">
        <f t="shared" si="0"/>
        <v>7.3453999999999997</v>
      </c>
      <c r="G14" s="247">
        <v>4610</v>
      </c>
      <c r="H14" s="246">
        <f t="shared" si="1"/>
        <v>8.7590000000000003</v>
      </c>
      <c r="I14" s="354"/>
      <c r="J14" s="305">
        <v>4082</v>
      </c>
      <c r="K14" s="306">
        <f t="shared" si="2"/>
        <v>7.7557999999999998</v>
      </c>
    </row>
    <row r="15" spans="1:11" ht="16.5" x14ac:dyDescent="0.2">
      <c r="A15" s="243" t="s">
        <v>105</v>
      </c>
      <c r="B15" s="241" t="s">
        <v>106</v>
      </c>
      <c r="C15" s="248" t="s">
        <v>94</v>
      </c>
      <c r="D15" s="245">
        <v>190</v>
      </c>
      <c r="E15" s="241">
        <v>5315</v>
      </c>
      <c r="F15" s="240">
        <f t="shared" si="0"/>
        <v>10.0985</v>
      </c>
      <c r="G15" s="247">
        <v>5487</v>
      </c>
      <c r="H15" s="246">
        <f t="shared" si="1"/>
        <v>10.4253</v>
      </c>
      <c r="I15" s="354"/>
      <c r="J15" s="305">
        <v>3945</v>
      </c>
      <c r="K15" s="306">
        <f t="shared" si="2"/>
        <v>7.4954999999999998</v>
      </c>
    </row>
    <row r="16" spans="1:11" ht="16.5" x14ac:dyDescent="0.2">
      <c r="A16" s="243" t="s">
        <v>107</v>
      </c>
      <c r="B16" s="241" t="s">
        <v>108</v>
      </c>
      <c r="C16" s="248" t="s">
        <v>94</v>
      </c>
      <c r="D16" s="245">
        <v>60</v>
      </c>
      <c r="E16" s="241">
        <v>3994</v>
      </c>
      <c r="F16" s="240">
        <f t="shared" si="0"/>
        <v>2.3963999999999999</v>
      </c>
      <c r="G16" s="247">
        <v>3432</v>
      </c>
      <c r="H16" s="246">
        <f t="shared" si="1"/>
        <v>2.0592000000000001</v>
      </c>
      <c r="I16" s="354"/>
      <c r="J16" s="305">
        <v>3120</v>
      </c>
      <c r="K16" s="306">
        <f t="shared" si="2"/>
        <v>1.8720000000000001</v>
      </c>
    </row>
    <row r="17" spans="1:11" ht="16.5" x14ac:dyDescent="0.2">
      <c r="A17" s="243" t="s">
        <v>109</v>
      </c>
      <c r="B17" s="241" t="s">
        <v>110</v>
      </c>
      <c r="C17" s="248" t="s">
        <v>94</v>
      </c>
      <c r="D17" s="245">
        <v>60</v>
      </c>
      <c r="E17" s="241">
        <v>3994</v>
      </c>
      <c r="F17" s="240">
        <f t="shared" si="0"/>
        <v>2.3963999999999999</v>
      </c>
      <c r="G17" s="247">
        <v>2941</v>
      </c>
      <c r="H17" s="246">
        <f t="shared" si="1"/>
        <v>1.7645999999999999</v>
      </c>
      <c r="I17" s="354"/>
      <c r="J17" s="305">
        <v>2250</v>
      </c>
      <c r="K17" s="306">
        <f t="shared" si="2"/>
        <v>1.35</v>
      </c>
    </row>
    <row r="18" spans="1:11" ht="16.5" x14ac:dyDescent="0.2">
      <c r="A18" s="243" t="s">
        <v>105</v>
      </c>
      <c r="B18" s="249" t="s">
        <v>111</v>
      </c>
      <c r="C18" s="248" t="s">
        <v>94</v>
      </c>
      <c r="D18" s="245">
        <v>60</v>
      </c>
      <c r="E18" s="241">
        <v>3996</v>
      </c>
      <c r="F18" s="240">
        <f t="shared" si="0"/>
        <v>2.3976000000000002</v>
      </c>
      <c r="G18" s="247">
        <v>3432</v>
      </c>
      <c r="H18" s="246">
        <f t="shared" si="1"/>
        <v>2.0592000000000001</v>
      </c>
      <c r="I18" s="354"/>
      <c r="J18" s="305">
        <v>3120</v>
      </c>
      <c r="K18" s="306">
        <f t="shared" si="2"/>
        <v>1.8720000000000001</v>
      </c>
    </row>
    <row r="19" spans="1:11" ht="16.5" x14ac:dyDescent="0.2">
      <c r="A19" s="243" t="s">
        <v>112</v>
      </c>
      <c r="B19" s="241" t="s">
        <v>113</v>
      </c>
      <c r="C19" s="248" t="s">
        <v>94</v>
      </c>
      <c r="D19" s="245">
        <v>46</v>
      </c>
      <c r="E19" s="241">
        <v>254675</v>
      </c>
      <c r="F19" s="240">
        <f t="shared" si="0"/>
        <v>117.15049999999999</v>
      </c>
      <c r="G19" s="240">
        <v>350419</v>
      </c>
      <c r="H19" s="246">
        <f t="shared" si="1"/>
        <v>161.19273999999999</v>
      </c>
      <c r="I19" s="354"/>
      <c r="J19" s="305">
        <v>183500</v>
      </c>
      <c r="K19" s="306">
        <f t="shared" si="2"/>
        <v>84.41</v>
      </c>
    </row>
    <row r="20" spans="1:11" ht="16.5" x14ac:dyDescent="0.2">
      <c r="A20" s="243" t="s">
        <v>114</v>
      </c>
      <c r="B20" s="241" t="s">
        <v>115</v>
      </c>
      <c r="C20" s="248" t="s">
        <v>94</v>
      </c>
      <c r="D20" s="245">
        <v>3</v>
      </c>
      <c r="E20" s="241">
        <v>124932</v>
      </c>
      <c r="F20" s="240">
        <f t="shared" si="0"/>
        <v>3.74796</v>
      </c>
      <c r="G20" s="247">
        <v>218559</v>
      </c>
      <c r="H20" s="246">
        <f t="shared" si="1"/>
        <v>6.5567700000000002</v>
      </c>
      <c r="I20" s="354"/>
      <c r="J20" s="305">
        <v>232000</v>
      </c>
      <c r="K20" s="306">
        <f t="shared" si="2"/>
        <v>6.96</v>
      </c>
    </row>
    <row r="21" spans="1:11" ht="16.5" x14ac:dyDescent="0.2">
      <c r="A21" s="243" t="s">
        <v>116</v>
      </c>
      <c r="B21" s="249" t="s">
        <v>117</v>
      </c>
      <c r="C21" s="248" t="s">
        <v>94</v>
      </c>
      <c r="D21" s="245">
        <v>1</v>
      </c>
      <c r="E21" s="241">
        <v>172900</v>
      </c>
      <c r="F21" s="240">
        <f t="shared" si="0"/>
        <v>1.7290000000000001</v>
      </c>
      <c r="G21" s="247">
        <v>282080</v>
      </c>
      <c r="H21" s="246">
        <f t="shared" si="1"/>
        <v>2.8208000000000002</v>
      </c>
      <c r="I21" s="354"/>
      <c r="J21" s="305">
        <v>0</v>
      </c>
      <c r="K21" s="306">
        <f t="shared" si="2"/>
        <v>0</v>
      </c>
    </row>
    <row r="22" spans="1:11" ht="16.5" x14ac:dyDescent="0.2">
      <c r="A22" s="243" t="s">
        <v>118</v>
      </c>
      <c r="B22" s="249" t="s">
        <v>119</v>
      </c>
      <c r="C22" s="248" t="s">
        <v>94</v>
      </c>
      <c r="D22" s="245">
        <v>1</v>
      </c>
      <c r="E22" s="241">
        <v>78500</v>
      </c>
      <c r="F22" s="240">
        <f t="shared" si="0"/>
        <v>0.78500000000000003</v>
      </c>
      <c r="G22" s="247">
        <v>310288</v>
      </c>
      <c r="H22" s="246">
        <f t="shared" si="1"/>
        <v>3.1028799999999999</v>
      </c>
      <c r="I22" s="354"/>
      <c r="J22" s="305">
        <v>379500</v>
      </c>
      <c r="K22" s="306">
        <f t="shared" si="2"/>
        <v>3.7949999999999999</v>
      </c>
    </row>
    <row r="23" spans="1:11" ht="16.5" x14ac:dyDescent="0.2">
      <c r="A23" s="243" t="s">
        <v>120</v>
      </c>
      <c r="B23" s="241" t="s">
        <v>121</v>
      </c>
      <c r="C23" s="248" t="s">
        <v>100</v>
      </c>
      <c r="D23" s="245">
        <v>2500</v>
      </c>
      <c r="E23" s="241">
        <v>92</v>
      </c>
      <c r="F23" s="240">
        <f t="shared" si="0"/>
        <v>2.2999999999999998</v>
      </c>
      <c r="G23" s="247">
        <v>108</v>
      </c>
      <c r="H23" s="246">
        <f t="shared" si="1"/>
        <v>2.7</v>
      </c>
      <c r="I23" s="354"/>
      <c r="J23" s="305">
        <v>67</v>
      </c>
      <c r="K23" s="306">
        <f t="shared" si="2"/>
        <v>1.675</v>
      </c>
    </row>
    <row r="24" spans="1:11" ht="16.5" x14ac:dyDescent="0.2">
      <c r="A24" s="243" t="s">
        <v>122</v>
      </c>
      <c r="B24" s="241" t="s">
        <v>123</v>
      </c>
      <c r="C24" s="248" t="s">
        <v>100</v>
      </c>
      <c r="D24" s="245">
        <f>1000+8000*0</f>
        <v>1000</v>
      </c>
      <c r="E24" s="241">
        <v>35</v>
      </c>
      <c r="F24" s="240">
        <f t="shared" si="0"/>
        <v>0.35</v>
      </c>
      <c r="G24" s="247">
        <v>83</v>
      </c>
      <c r="H24" s="246">
        <f t="shared" si="1"/>
        <v>0.83</v>
      </c>
      <c r="I24" s="354"/>
      <c r="J24" s="305">
        <v>97</v>
      </c>
      <c r="K24" s="306">
        <f t="shared" si="2"/>
        <v>0.97</v>
      </c>
    </row>
    <row r="25" spans="1:11" ht="16.5" x14ac:dyDescent="0.2">
      <c r="A25" s="243" t="s">
        <v>124</v>
      </c>
      <c r="B25" s="241" t="s">
        <v>125</v>
      </c>
      <c r="C25" s="248" t="s">
        <v>94</v>
      </c>
      <c r="D25" s="245">
        <v>4</v>
      </c>
      <c r="E25" s="250">
        <v>6000</v>
      </c>
      <c r="F25" s="240">
        <f t="shared" si="0"/>
        <v>0.24</v>
      </c>
      <c r="G25" s="247">
        <v>17600</v>
      </c>
      <c r="H25" s="246">
        <f t="shared" si="1"/>
        <v>0.70399999999999996</v>
      </c>
      <c r="I25" s="354"/>
      <c r="J25" s="307">
        <v>6500</v>
      </c>
      <c r="K25" s="306">
        <f t="shared" si="2"/>
        <v>0.26</v>
      </c>
    </row>
    <row r="26" spans="1:11" ht="16.5" x14ac:dyDescent="0.3">
      <c r="A26" s="243" t="s">
        <v>126</v>
      </c>
      <c r="B26" s="241" t="s">
        <v>127</v>
      </c>
      <c r="C26" s="248" t="s">
        <v>94</v>
      </c>
      <c r="D26" s="245">
        <v>4</v>
      </c>
      <c r="E26" s="251">
        <v>10000</v>
      </c>
      <c r="F26" s="240">
        <f t="shared" si="0"/>
        <v>0.4</v>
      </c>
      <c r="G26" s="247">
        <v>27500</v>
      </c>
      <c r="H26" s="246">
        <f t="shared" si="1"/>
        <v>1.1000000000000001</v>
      </c>
      <c r="I26" s="354"/>
      <c r="J26" s="307">
        <v>10500</v>
      </c>
      <c r="K26" s="306">
        <f t="shared" si="2"/>
        <v>0.42</v>
      </c>
    </row>
    <row r="27" spans="1:11" ht="16.5" x14ac:dyDescent="0.25">
      <c r="A27" s="243"/>
      <c r="B27" s="355" t="s">
        <v>128</v>
      </c>
      <c r="C27" s="356"/>
      <c r="D27" s="357"/>
      <c r="E27" s="252"/>
      <c r="F27" s="253" t="e">
        <f>SUM(F10:F26)*#REF!*#REF!</f>
        <v>#REF!</v>
      </c>
      <c r="G27" s="252"/>
      <c r="H27" s="254">
        <f>SUM(H10:H26)</f>
        <v>480.95069000000001</v>
      </c>
      <c r="I27" s="354"/>
      <c r="J27" s="308"/>
      <c r="K27" s="308">
        <f>SUM(K10:K26)</f>
        <v>388.98730000000012</v>
      </c>
    </row>
    <row r="28" spans="1:11" ht="34.5" customHeight="1" x14ac:dyDescent="0.2">
      <c r="A28" s="255">
        <v>2</v>
      </c>
      <c r="B28" s="256" t="s">
        <v>129</v>
      </c>
      <c r="C28" s="256"/>
      <c r="D28" s="256"/>
      <c r="E28" s="257"/>
      <c r="F28" s="257"/>
      <c r="G28" s="241"/>
      <c r="I28" s="229" t="e">
        <f>F27*0.95</f>
        <v>#REF!</v>
      </c>
      <c r="J28" s="257"/>
      <c r="K28" s="257"/>
    </row>
    <row r="29" spans="1:11" ht="35.25" customHeight="1" x14ac:dyDescent="0.2">
      <c r="A29" s="358" t="s">
        <v>81</v>
      </c>
      <c r="B29" s="358" t="s">
        <v>82</v>
      </c>
      <c r="C29" s="360" t="s">
        <v>83</v>
      </c>
      <c r="D29" s="360" t="s">
        <v>84</v>
      </c>
      <c r="E29" s="349" t="s">
        <v>85</v>
      </c>
      <c r="F29" s="350"/>
      <c r="G29" s="349" t="s">
        <v>86</v>
      </c>
      <c r="H29" s="350"/>
      <c r="J29" s="343" t="s">
        <v>220</v>
      </c>
      <c r="K29" s="344"/>
    </row>
    <row r="30" spans="1:11" ht="33.75" customHeight="1" x14ac:dyDescent="0.2">
      <c r="A30" s="359"/>
      <c r="B30" s="359"/>
      <c r="C30" s="361"/>
      <c r="D30" s="361"/>
      <c r="E30" s="233" t="s">
        <v>87</v>
      </c>
      <c r="F30" s="233" t="s">
        <v>88</v>
      </c>
      <c r="G30" s="233" t="s">
        <v>87</v>
      </c>
      <c r="H30" s="233" t="s">
        <v>88</v>
      </c>
      <c r="J30" s="303" t="s">
        <v>87</v>
      </c>
      <c r="K30" s="303" t="s">
        <v>88</v>
      </c>
    </row>
    <row r="31" spans="1:11" ht="32.25" customHeight="1" x14ac:dyDescent="0.2">
      <c r="A31" s="243" t="s">
        <v>130</v>
      </c>
      <c r="B31" s="241" t="s">
        <v>131</v>
      </c>
      <c r="C31" s="248" t="s">
        <v>94</v>
      </c>
      <c r="D31" s="245">
        <v>120</v>
      </c>
      <c r="E31" s="241">
        <v>41000</v>
      </c>
      <c r="F31" s="241">
        <f>D31*E31/10^5</f>
        <v>49.2</v>
      </c>
      <c r="G31" s="241">
        <v>64000</v>
      </c>
      <c r="H31" s="246">
        <f>D31*G31/10^5</f>
        <v>76.8</v>
      </c>
      <c r="I31" s="354" t="s">
        <v>225</v>
      </c>
      <c r="J31" s="309">
        <v>91350</v>
      </c>
      <c r="K31" s="309">
        <f>D31*J31/10^5</f>
        <v>109.62</v>
      </c>
    </row>
    <row r="32" spans="1:11" ht="17.25" customHeight="1" x14ac:dyDescent="0.3">
      <c r="A32" s="243" t="s">
        <v>132</v>
      </c>
      <c r="B32" s="241" t="s">
        <v>133</v>
      </c>
      <c r="C32" s="248" t="s">
        <v>94</v>
      </c>
      <c r="D32" s="245">
        <v>1</v>
      </c>
      <c r="E32" s="258">
        <f>624000+640000</f>
        <v>1264000</v>
      </c>
      <c r="F32" s="241">
        <f t="shared" ref="F32:F41" si="3">D32*E32/10^5</f>
        <v>12.64</v>
      </c>
      <c r="G32" s="241">
        <v>1464320</v>
      </c>
      <c r="H32" s="246">
        <f t="shared" ref="H32:H41" si="4">D32*G32/10^5</f>
        <v>14.6432</v>
      </c>
      <c r="I32" s="354"/>
      <c r="J32" s="310">
        <v>2400000</v>
      </c>
      <c r="K32" s="309">
        <f t="shared" ref="K32:K41" si="5">D32*J32/10^5</f>
        <v>24</v>
      </c>
    </row>
    <row r="33" spans="1:11" ht="16.5" x14ac:dyDescent="0.3">
      <c r="A33" s="243" t="s">
        <v>134</v>
      </c>
      <c r="B33" s="241" t="s">
        <v>135</v>
      </c>
      <c r="C33" s="248" t="s">
        <v>136</v>
      </c>
      <c r="D33" s="245">
        <v>1</v>
      </c>
      <c r="E33" s="258">
        <v>950000</v>
      </c>
      <c r="F33" s="241">
        <f t="shared" si="3"/>
        <v>9.5</v>
      </c>
      <c r="G33" s="241">
        <v>691505</v>
      </c>
      <c r="H33" s="246">
        <f t="shared" si="4"/>
        <v>6.9150499999999999</v>
      </c>
      <c r="I33" s="354"/>
      <c r="J33" s="310">
        <v>0</v>
      </c>
      <c r="K33" s="309">
        <f t="shared" si="5"/>
        <v>0</v>
      </c>
    </row>
    <row r="34" spans="1:11" ht="16.5" x14ac:dyDescent="0.3">
      <c r="A34" s="243" t="s">
        <v>137</v>
      </c>
      <c r="B34" s="241" t="s">
        <v>138</v>
      </c>
      <c r="C34" s="248" t="s">
        <v>94</v>
      </c>
      <c r="D34" s="245">
        <v>2</v>
      </c>
      <c r="E34" s="258">
        <v>78000</v>
      </c>
      <c r="F34" s="241">
        <f t="shared" si="3"/>
        <v>1.56</v>
      </c>
      <c r="G34" s="241">
        <v>120000</v>
      </c>
      <c r="H34" s="246">
        <f t="shared" si="4"/>
        <v>2.4</v>
      </c>
      <c r="I34" s="354"/>
      <c r="J34" s="310">
        <v>97000</v>
      </c>
      <c r="K34" s="309">
        <f t="shared" si="5"/>
        <v>1.94</v>
      </c>
    </row>
    <row r="35" spans="1:11" ht="16.5" x14ac:dyDescent="0.3">
      <c r="A35" s="243" t="s">
        <v>139</v>
      </c>
      <c r="B35" s="241" t="s">
        <v>140</v>
      </c>
      <c r="C35" s="248" t="s">
        <v>94</v>
      </c>
      <c r="D35" s="245">
        <v>56</v>
      </c>
      <c r="E35" s="258">
        <v>18500</v>
      </c>
      <c r="F35" s="241">
        <f t="shared" si="3"/>
        <v>10.36</v>
      </c>
      <c r="G35" s="258">
        <v>18500</v>
      </c>
      <c r="H35" s="246">
        <f t="shared" si="4"/>
        <v>10.36</v>
      </c>
      <c r="I35" s="354"/>
      <c r="J35" s="310">
        <v>110000</v>
      </c>
      <c r="K35" s="309">
        <f t="shared" si="5"/>
        <v>61.6</v>
      </c>
    </row>
    <row r="36" spans="1:11" ht="16.5" x14ac:dyDescent="0.3">
      <c r="A36" s="243" t="s">
        <v>141</v>
      </c>
      <c r="B36" s="241" t="s">
        <v>142</v>
      </c>
      <c r="C36" s="248" t="s">
        <v>94</v>
      </c>
      <c r="D36" s="245">
        <v>2</v>
      </c>
      <c r="E36" s="258">
        <v>34500</v>
      </c>
      <c r="F36" s="241">
        <f t="shared" si="3"/>
        <v>0.69</v>
      </c>
      <c r="G36" s="258">
        <v>34500</v>
      </c>
      <c r="H36" s="246">
        <f t="shared" si="4"/>
        <v>0.69</v>
      </c>
      <c r="I36" s="354"/>
      <c r="J36" s="310">
        <v>546000</v>
      </c>
      <c r="K36" s="309">
        <f t="shared" si="5"/>
        <v>10.92</v>
      </c>
    </row>
    <row r="37" spans="1:11" ht="16.5" x14ac:dyDescent="0.3">
      <c r="A37" s="243" t="s">
        <v>143</v>
      </c>
      <c r="B37" s="241" t="s">
        <v>144</v>
      </c>
      <c r="C37" s="248" t="s">
        <v>94</v>
      </c>
      <c r="D37" s="245">
        <v>56</v>
      </c>
      <c r="E37" s="258">
        <v>8500</v>
      </c>
      <c r="F37" s="241">
        <f t="shared" si="3"/>
        <v>4.76</v>
      </c>
      <c r="G37" s="258">
        <v>8500</v>
      </c>
      <c r="H37" s="246">
        <f t="shared" si="4"/>
        <v>4.76</v>
      </c>
      <c r="I37" s="354"/>
      <c r="J37" s="310">
        <v>7200</v>
      </c>
      <c r="K37" s="309">
        <f t="shared" si="5"/>
        <v>4.032</v>
      </c>
    </row>
    <row r="38" spans="1:11" ht="16.5" x14ac:dyDescent="0.3">
      <c r="A38" s="243" t="s">
        <v>145</v>
      </c>
      <c r="B38" s="241" t="s">
        <v>146</v>
      </c>
      <c r="C38" s="248" t="s">
        <v>94</v>
      </c>
      <c r="D38" s="245">
        <v>1</v>
      </c>
      <c r="E38" s="258">
        <v>44500</v>
      </c>
      <c r="F38" s="241">
        <f t="shared" si="3"/>
        <v>0.44500000000000001</v>
      </c>
      <c r="G38" s="258">
        <v>44500</v>
      </c>
      <c r="H38" s="246">
        <f t="shared" si="4"/>
        <v>0.44500000000000001</v>
      </c>
      <c r="I38" s="354"/>
      <c r="J38" s="310">
        <v>70000</v>
      </c>
      <c r="K38" s="309">
        <f t="shared" si="5"/>
        <v>0.7</v>
      </c>
    </row>
    <row r="39" spans="1:11" ht="16.5" x14ac:dyDescent="0.3">
      <c r="A39" s="243" t="s">
        <v>147</v>
      </c>
      <c r="B39" s="241" t="s">
        <v>148</v>
      </c>
      <c r="C39" s="248" t="s">
        <v>94</v>
      </c>
      <c r="D39" s="245">
        <v>4</v>
      </c>
      <c r="E39" s="258">
        <v>55000</v>
      </c>
      <c r="F39" s="241">
        <f t="shared" si="3"/>
        <v>2.2000000000000002</v>
      </c>
      <c r="G39" s="258">
        <v>55000</v>
      </c>
      <c r="H39" s="246">
        <f t="shared" si="4"/>
        <v>2.2000000000000002</v>
      </c>
      <c r="I39" s="354"/>
      <c r="J39" s="310">
        <v>125000</v>
      </c>
      <c r="K39" s="309">
        <f t="shared" si="5"/>
        <v>5</v>
      </c>
    </row>
    <row r="40" spans="1:11" ht="16.5" x14ac:dyDescent="0.3">
      <c r="A40" s="243" t="s">
        <v>149</v>
      </c>
      <c r="B40" s="241" t="s">
        <v>150</v>
      </c>
      <c r="C40" s="248" t="s">
        <v>94</v>
      </c>
      <c r="D40" s="245">
        <v>1</v>
      </c>
      <c r="E40" s="258">
        <v>18500</v>
      </c>
      <c r="F40" s="241">
        <f t="shared" si="3"/>
        <v>0.185</v>
      </c>
      <c r="G40" s="258">
        <v>18500</v>
      </c>
      <c r="H40" s="246">
        <f t="shared" si="4"/>
        <v>0.185</v>
      </c>
      <c r="I40" s="354"/>
      <c r="J40" s="310">
        <v>69000</v>
      </c>
      <c r="K40" s="309">
        <f t="shared" si="5"/>
        <v>0.69</v>
      </c>
    </row>
    <row r="41" spans="1:11" ht="16.5" x14ac:dyDescent="0.3">
      <c r="A41" s="243" t="s">
        <v>151</v>
      </c>
      <c r="B41" s="241" t="s">
        <v>152</v>
      </c>
      <c r="C41" s="248" t="s">
        <v>100</v>
      </c>
      <c r="D41" s="245">
        <v>3000</v>
      </c>
      <c r="E41" s="258">
        <v>26</v>
      </c>
      <c r="F41" s="241">
        <f t="shared" si="3"/>
        <v>0.78</v>
      </c>
      <c r="G41" s="258">
        <v>26</v>
      </c>
      <c r="H41" s="246">
        <f t="shared" si="4"/>
        <v>0.78</v>
      </c>
      <c r="I41" s="354"/>
      <c r="J41" s="310">
        <v>19.5</v>
      </c>
      <c r="K41" s="309">
        <f t="shared" si="5"/>
        <v>0.58499999999999996</v>
      </c>
    </row>
    <row r="42" spans="1:11" ht="16.5" x14ac:dyDescent="0.3">
      <c r="A42" s="243"/>
      <c r="B42" s="355" t="s">
        <v>153</v>
      </c>
      <c r="C42" s="356"/>
      <c r="D42" s="357"/>
      <c r="E42" s="252"/>
      <c r="F42" s="253" t="e">
        <f>SUM(F31:F41)*[1]Escalation!E9*#REF!</f>
        <v>#REF!</v>
      </c>
      <c r="G42" s="252"/>
      <c r="H42" s="259">
        <f>SUM(H31:H41)</f>
        <v>120.17824999999999</v>
      </c>
      <c r="I42" s="354"/>
      <c r="J42" s="310"/>
      <c r="K42" s="313">
        <f>SUM(K31:K41)</f>
        <v>219.08699999999999</v>
      </c>
    </row>
    <row r="43" spans="1:11" ht="16.5" x14ac:dyDescent="0.3">
      <c r="A43" s="255">
        <v>3</v>
      </c>
      <c r="B43" s="256" t="s">
        <v>154</v>
      </c>
      <c r="C43" s="248"/>
      <c r="D43" s="260"/>
      <c r="E43" s="240"/>
      <c r="F43" s="240"/>
      <c r="G43" s="241"/>
      <c r="H43" s="229" t="e">
        <f>F42*0.95</f>
        <v>#REF!</v>
      </c>
      <c r="J43" s="311"/>
      <c r="K43" s="312"/>
    </row>
    <row r="44" spans="1:11" ht="33" x14ac:dyDescent="0.2">
      <c r="A44" s="233" t="s">
        <v>81</v>
      </c>
      <c r="B44" s="233" t="s">
        <v>82</v>
      </c>
      <c r="C44" s="233" t="s">
        <v>83</v>
      </c>
      <c r="D44" s="233" t="s">
        <v>84</v>
      </c>
      <c r="E44" s="233" t="s">
        <v>155</v>
      </c>
      <c r="F44" s="233" t="s">
        <v>156</v>
      </c>
      <c r="G44" s="233" t="s">
        <v>157</v>
      </c>
    </row>
    <row r="45" spans="1:11" ht="63.75" customHeight="1" x14ac:dyDescent="0.2">
      <c r="A45" s="243" t="s">
        <v>158</v>
      </c>
      <c r="B45" s="261" t="s">
        <v>159</v>
      </c>
      <c r="C45" s="262" t="s">
        <v>160</v>
      </c>
      <c r="D45" s="263">
        <v>56</v>
      </c>
      <c r="E45" s="264">
        <v>32000</v>
      </c>
      <c r="F45" s="240">
        <f>D45*E45/10^5</f>
        <v>17.920000000000002</v>
      </c>
      <c r="G45" s="261" t="s">
        <v>221</v>
      </c>
    </row>
    <row r="46" spans="1:11" ht="36" customHeight="1" x14ac:dyDescent="0.2">
      <c r="A46" s="243" t="s">
        <v>162</v>
      </c>
      <c r="B46" s="261" t="s">
        <v>163</v>
      </c>
      <c r="C46" s="262" t="s">
        <v>160</v>
      </c>
      <c r="D46" s="263">
        <v>56</v>
      </c>
      <c r="E46" s="266">
        <v>1000</v>
      </c>
      <c r="F46" s="240">
        <f t="shared" ref="F46:F51" si="6">D46*E46/10^5</f>
        <v>0.56000000000000005</v>
      </c>
      <c r="G46" s="261" t="s">
        <v>164</v>
      </c>
    </row>
    <row r="47" spans="1:11" ht="49.5" x14ac:dyDescent="0.2">
      <c r="A47" s="243" t="s">
        <v>165</v>
      </c>
      <c r="B47" s="261" t="s">
        <v>166</v>
      </c>
      <c r="C47" s="262" t="s">
        <v>160</v>
      </c>
      <c r="D47" s="263">
        <v>1</v>
      </c>
      <c r="E47" s="264">
        <v>1065000</v>
      </c>
      <c r="F47" s="240">
        <f t="shared" si="6"/>
        <v>10.65</v>
      </c>
      <c r="G47" s="261" t="s">
        <v>221</v>
      </c>
    </row>
    <row r="48" spans="1:11" ht="68.25" customHeight="1" x14ac:dyDescent="0.2">
      <c r="A48" s="243" t="s">
        <v>168</v>
      </c>
      <c r="B48" s="261" t="s">
        <v>169</v>
      </c>
      <c r="C48" s="262" t="s">
        <v>170</v>
      </c>
      <c r="D48" s="263">
        <v>57</v>
      </c>
      <c r="E48" s="266">
        <v>1500</v>
      </c>
      <c r="F48" s="240">
        <f t="shared" si="6"/>
        <v>0.85499999999999998</v>
      </c>
      <c r="G48" s="261" t="s">
        <v>164</v>
      </c>
    </row>
    <row r="49" spans="1:11" ht="68.25" customHeight="1" x14ac:dyDescent="0.2">
      <c r="A49" s="243"/>
      <c r="B49" s="261" t="s">
        <v>171</v>
      </c>
      <c r="C49" s="262" t="s">
        <v>136</v>
      </c>
      <c r="D49" s="263">
        <v>1</v>
      </c>
      <c r="E49" s="266">
        <v>100000</v>
      </c>
      <c r="F49" s="240">
        <f t="shared" si="6"/>
        <v>1</v>
      </c>
      <c r="G49" s="261" t="s">
        <v>164</v>
      </c>
    </row>
    <row r="50" spans="1:11" ht="99" x14ac:dyDescent="0.2">
      <c r="A50" s="243" t="s">
        <v>172</v>
      </c>
      <c r="B50" s="261" t="s">
        <v>173</v>
      </c>
      <c r="C50" s="262" t="s">
        <v>170</v>
      </c>
      <c r="D50" s="263">
        <v>57</v>
      </c>
      <c r="E50" s="266">
        <v>1000</v>
      </c>
      <c r="F50" s="240">
        <f t="shared" si="6"/>
        <v>0.56999999999999995</v>
      </c>
      <c r="G50" s="261" t="s">
        <v>174</v>
      </c>
    </row>
    <row r="51" spans="1:11" ht="82.5" x14ac:dyDescent="0.2">
      <c r="A51" s="243" t="s">
        <v>175</v>
      </c>
      <c r="B51" s="261" t="s">
        <v>176</v>
      </c>
      <c r="C51" s="262" t="s">
        <v>136</v>
      </c>
      <c r="D51" s="263">
        <v>1</v>
      </c>
      <c r="E51" s="267">
        <v>1095000</v>
      </c>
      <c r="F51" s="240">
        <f t="shared" si="6"/>
        <v>10.95</v>
      </c>
      <c r="G51" s="261" t="s">
        <v>222</v>
      </c>
    </row>
    <row r="52" spans="1:11" ht="16.5" x14ac:dyDescent="0.2">
      <c r="A52" s="243"/>
      <c r="B52" s="365" t="s">
        <v>178</v>
      </c>
      <c r="C52" s="366"/>
      <c r="D52" s="366"/>
      <c r="E52" s="367"/>
      <c r="F52" s="268">
        <f>SUM(F45:F51)</f>
        <v>42.505000000000003</v>
      </c>
      <c r="G52" s="241">
        <f>[1]BOQ_R1!F52</f>
        <v>31.992720000000002</v>
      </c>
    </row>
    <row r="53" spans="1:11" ht="16.5" x14ac:dyDescent="0.2">
      <c r="A53" s="243">
        <v>4</v>
      </c>
      <c r="B53" s="256" t="s">
        <v>179</v>
      </c>
      <c r="C53" s="248"/>
      <c r="D53" s="269"/>
      <c r="E53" s="240"/>
      <c r="F53" s="240"/>
      <c r="G53" s="241"/>
    </row>
    <row r="54" spans="1:11" ht="115.5" x14ac:dyDescent="0.2">
      <c r="A54" s="243" t="s">
        <v>180</v>
      </c>
      <c r="B54" s="261" t="s">
        <v>181</v>
      </c>
      <c r="C54" s="248" t="s">
        <v>94</v>
      </c>
      <c r="D54" s="245">
        <v>2</v>
      </c>
      <c r="E54" s="240">
        <v>56990</v>
      </c>
      <c r="F54" s="240">
        <f>D54*E54/10^5</f>
        <v>1.1397999999999999</v>
      </c>
      <c r="G54" s="270" t="s">
        <v>223</v>
      </c>
    </row>
    <row r="55" spans="1:11" ht="16.5" x14ac:dyDescent="0.2">
      <c r="A55" s="243"/>
      <c r="B55" s="365" t="s">
        <v>183</v>
      </c>
      <c r="C55" s="366"/>
      <c r="D55" s="366"/>
      <c r="E55" s="367"/>
      <c r="F55" s="268">
        <f>SUM(F54)</f>
        <v>1.1397999999999999</v>
      </c>
      <c r="G55" s="241"/>
    </row>
    <row r="56" spans="1:11" ht="16.5" x14ac:dyDescent="0.2">
      <c r="A56" s="243"/>
      <c r="B56" s="252"/>
      <c r="C56" s="252"/>
      <c r="D56" s="252"/>
      <c r="E56" s="252"/>
      <c r="F56" s="268"/>
      <c r="G56" s="241"/>
    </row>
    <row r="57" spans="1:11" ht="16.5" x14ac:dyDescent="0.25">
      <c r="A57" s="243"/>
      <c r="B57" s="368" t="s">
        <v>184</v>
      </c>
      <c r="C57" s="369"/>
      <c r="D57" s="369"/>
      <c r="E57" s="370"/>
      <c r="F57" s="271" t="e">
        <f>(F27+F42+F52+F55)*0.95*1.1</f>
        <v>#REF!</v>
      </c>
      <c r="G57" s="241"/>
      <c r="K57" s="314">
        <f>(F55+F52+K42+K27+7)*0.9</f>
        <v>592.84719000000018</v>
      </c>
    </row>
    <row r="58" spans="1:11" ht="16.5" x14ac:dyDescent="0.2">
      <c r="A58" s="241"/>
      <c r="B58" s="249"/>
      <c r="C58" s="272"/>
      <c r="D58" s="272"/>
      <c r="E58" s="273"/>
      <c r="F58" s="273"/>
      <c r="G58" s="249"/>
    </row>
    <row r="59" spans="1:11" ht="33" x14ac:dyDescent="0.2">
      <c r="A59" s="233"/>
      <c r="B59" s="274" t="s">
        <v>185</v>
      </c>
      <c r="C59" s="275" t="s">
        <v>83</v>
      </c>
      <c r="D59" s="276" t="s">
        <v>186</v>
      </c>
      <c r="E59" s="276" t="s">
        <v>187</v>
      </c>
      <c r="F59" s="233"/>
      <c r="G59" s="276"/>
    </row>
    <row r="60" spans="1:11" ht="16.5" x14ac:dyDescent="0.2">
      <c r="A60" s="277" t="s">
        <v>188</v>
      </c>
      <c r="B60" s="278" t="s">
        <v>189</v>
      </c>
      <c r="C60" s="279"/>
      <c r="D60" s="280"/>
      <c r="E60" s="280"/>
      <c r="F60" s="238"/>
      <c r="G60" s="280"/>
    </row>
    <row r="61" spans="1:11" ht="42.75" x14ac:dyDescent="0.2">
      <c r="A61" s="277"/>
      <c r="B61" s="281" t="s">
        <v>190</v>
      </c>
      <c r="C61" s="282" t="s">
        <v>191</v>
      </c>
      <c r="D61" s="283">
        <v>10</v>
      </c>
      <c r="E61" s="283">
        <f>6000*0+8000</f>
        <v>8000</v>
      </c>
      <c r="F61" s="284">
        <f>D61*E61/10^5</f>
        <v>0.8</v>
      </c>
      <c r="G61" s="283" t="s">
        <v>192</v>
      </c>
      <c r="H61" s="229">
        <f>[1]BOQ_R1!F62</f>
        <v>0.6</v>
      </c>
      <c r="I61" s="229">
        <f>F62-H61</f>
        <v>0.20000000000000007</v>
      </c>
    </row>
    <row r="62" spans="1:11" ht="16.5" x14ac:dyDescent="0.2">
      <c r="A62" s="285"/>
      <c r="B62" s="371" t="s">
        <v>193</v>
      </c>
      <c r="C62" s="371"/>
      <c r="D62" s="371"/>
      <c r="E62" s="371"/>
      <c r="F62" s="286">
        <f>SUM(F61)</f>
        <v>0.8</v>
      </c>
      <c r="G62" s="287"/>
    </row>
    <row r="63" spans="1:11" ht="16.5" x14ac:dyDescent="0.2">
      <c r="A63" s="288"/>
      <c r="B63" s="289"/>
      <c r="C63" s="272"/>
      <c r="D63" s="272"/>
      <c r="E63" s="273"/>
      <c r="F63" s="273"/>
      <c r="G63" s="249"/>
      <c r="I63" s="229" t="s">
        <v>194</v>
      </c>
      <c r="K63" s="229">
        <f>H52+J28</f>
        <v>0</v>
      </c>
    </row>
    <row r="64" spans="1:11" ht="33" x14ac:dyDescent="0.2">
      <c r="A64" s="233"/>
      <c r="B64" s="274" t="s">
        <v>195</v>
      </c>
      <c r="C64" s="275" t="s">
        <v>83</v>
      </c>
      <c r="D64" s="276" t="s">
        <v>84</v>
      </c>
      <c r="E64" s="276" t="s">
        <v>187</v>
      </c>
      <c r="F64" s="233" t="s">
        <v>196</v>
      </c>
      <c r="G64" s="233" t="s">
        <v>197</v>
      </c>
      <c r="K64" s="229">
        <f>K63*0.95</f>
        <v>0</v>
      </c>
    </row>
    <row r="65" spans="1:7" ht="16.5" x14ac:dyDescent="0.2">
      <c r="A65" s="277" t="s">
        <v>198</v>
      </c>
      <c r="B65" s="278" t="s">
        <v>199</v>
      </c>
      <c r="C65" s="279"/>
      <c r="D65" s="280"/>
      <c r="E65" s="280"/>
      <c r="F65" s="238"/>
      <c r="G65" s="280"/>
    </row>
    <row r="66" spans="1:7" ht="16.5" x14ac:dyDescent="0.3">
      <c r="A66" s="255">
        <v>1</v>
      </c>
      <c r="B66" s="256" t="s">
        <v>200</v>
      </c>
      <c r="C66" s="262"/>
      <c r="D66" s="290"/>
      <c r="E66" s="291"/>
      <c r="F66" s="292"/>
      <c r="G66" s="293"/>
    </row>
    <row r="67" spans="1:7" ht="16.5" x14ac:dyDescent="0.3">
      <c r="A67" s="243"/>
      <c r="B67" s="294" t="s">
        <v>201</v>
      </c>
      <c r="C67" s="295" t="s">
        <v>202</v>
      </c>
      <c r="D67" s="295">
        <f>(2*(5+2)*5+ 2*(5+5)*5+5*2+5*5)*0.25</f>
        <v>51.25</v>
      </c>
      <c r="E67" s="294">
        <f>478/1.15</f>
        <v>415.6521739130435</v>
      </c>
      <c r="F67" s="293">
        <f>(D67*E67)/10^5</f>
        <v>0.21302173913043479</v>
      </c>
      <c r="G67" s="296" t="s">
        <v>203</v>
      </c>
    </row>
    <row r="68" spans="1:7" ht="66" x14ac:dyDescent="0.2">
      <c r="A68" s="243"/>
      <c r="B68" s="294" t="s">
        <v>204</v>
      </c>
      <c r="C68" s="295" t="s">
        <v>202</v>
      </c>
      <c r="D68" s="295">
        <f>(2*(5+2)*5+ 2*(5+5)*5+5*2+5*5)</f>
        <v>205</v>
      </c>
      <c r="E68" s="294">
        <f>(16.35+116.05+123.85)/1.15</f>
        <v>222.82608695652175</v>
      </c>
      <c r="F68" s="293">
        <f t="shared" ref="F68:F73" si="7">(D68*E68)/10^5</f>
        <v>0.45679347826086958</v>
      </c>
      <c r="G68" s="297" t="s">
        <v>205</v>
      </c>
    </row>
    <row r="69" spans="1:7" ht="66" x14ac:dyDescent="0.2">
      <c r="A69" s="243"/>
      <c r="B69" s="294" t="s">
        <v>206</v>
      </c>
      <c r="C69" s="295" t="s">
        <v>202</v>
      </c>
      <c r="D69" s="295">
        <f>(1.5*1.2)*4</f>
        <v>7.1999999999999993</v>
      </c>
      <c r="E69" s="294">
        <f>(46.5+4*466.3+8*564.8+1325.55)/1.15</f>
        <v>6744.04347826087</v>
      </c>
      <c r="F69" s="293">
        <f t="shared" si="7"/>
        <v>0.48557113043478262</v>
      </c>
      <c r="G69" s="297" t="s">
        <v>207</v>
      </c>
    </row>
    <row r="70" spans="1:7" ht="49.5" x14ac:dyDescent="0.2">
      <c r="A70" s="243"/>
      <c r="B70" s="294" t="s">
        <v>208</v>
      </c>
      <c r="C70" s="295" t="s">
        <v>202</v>
      </c>
      <c r="D70" s="295">
        <f>(2*5+5*5)*0.25</f>
        <v>8.75</v>
      </c>
      <c r="E70" s="294">
        <f>(2.85+545)/1.15</f>
        <v>476.39130434782612</v>
      </c>
      <c r="F70" s="293">
        <f t="shared" si="7"/>
        <v>4.1684239130434786E-2</v>
      </c>
      <c r="G70" s="297" t="s">
        <v>209</v>
      </c>
    </row>
    <row r="71" spans="1:7" ht="247.5" x14ac:dyDescent="0.2">
      <c r="A71" s="243"/>
      <c r="B71" s="294" t="s">
        <v>210</v>
      </c>
      <c r="C71" s="295" t="s">
        <v>202</v>
      </c>
      <c r="D71" s="295">
        <f>5*5</f>
        <v>25</v>
      </c>
      <c r="E71" s="294">
        <f>600+300</f>
        <v>900</v>
      </c>
      <c r="F71" s="293">
        <f t="shared" si="7"/>
        <v>0.22500000000000001</v>
      </c>
      <c r="G71" s="298" t="s">
        <v>211</v>
      </c>
    </row>
    <row r="72" spans="1:7" ht="16.5" x14ac:dyDescent="0.3">
      <c r="A72" s="243"/>
      <c r="B72" s="294" t="s">
        <v>212</v>
      </c>
      <c r="C72" s="295" t="s">
        <v>202</v>
      </c>
      <c r="D72" s="295">
        <f>2*1.2</f>
        <v>2.4</v>
      </c>
      <c r="E72" s="294">
        <f>1046.95/1.15</f>
        <v>910.39130434782624</v>
      </c>
      <c r="F72" s="293">
        <f t="shared" si="7"/>
        <v>2.1849391304347827E-2</v>
      </c>
      <c r="G72" s="299">
        <v>14.4</v>
      </c>
    </row>
    <row r="73" spans="1:7" ht="49.5" x14ac:dyDescent="0.2">
      <c r="A73" s="243"/>
      <c r="B73" s="294" t="s">
        <v>213</v>
      </c>
      <c r="C73" s="295" t="s">
        <v>202</v>
      </c>
      <c r="D73" s="295">
        <f>5*5</f>
        <v>25</v>
      </c>
      <c r="E73" s="294">
        <f>1145.95/1.15</f>
        <v>996.47826086956536</v>
      </c>
      <c r="F73" s="293">
        <f t="shared" si="7"/>
        <v>0.24911956521739134</v>
      </c>
      <c r="G73" s="297" t="s">
        <v>214</v>
      </c>
    </row>
    <row r="74" spans="1:7" ht="16.5" x14ac:dyDescent="0.2">
      <c r="A74" s="300"/>
      <c r="B74" s="364" t="s">
        <v>215</v>
      </c>
      <c r="C74" s="364"/>
      <c r="D74" s="364"/>
      <c r="E74" s="364"/>
      <c r="F74" s="287">
        <f>SUM(F67:F73)</f>
        <v>1.6930395434782612</v>
      </c>
      <c r="G74" s="287"/>
    </row>
  </sheetData>
  <mergeCells count="29">
    <mergeCell ref="B74:E74"/>
    <mergeCell ref="I31:I42"/>
    <mergeCell ref="B42:D42"/>
    <mergeCell ref="B52:E52"/>
    <mergeCell ref="B55:E55"/>
    <mergeCell ref="B57:E57"/>
    <mergeCell ref="B62:E62"/>
    <mergeCell ref="G29:H29"/>
    <mergeCell ref="A6:A7"/>
    <mergeCell ref="B6:B7"/>
    <mergeCell ref="C6:C7"/>
    <mergeCell ref="D6:D7"/>
    <mergeCell ref="E6:F6"/>
    <mergeCell ref="J6:K6"/>
    <mergeCell ref="J29:K29"/>
    <mergeCell ref="A1:G1"/>
    <mergeCell ref="A2:G2"/>
    <mergeCell ref="A3:G3"/>
    <mergeCell ref="A4:G4"/>
    <mergeCell ref="E5:G5"/>
    <mergeCell ref="G6:H6"/>
    <mergeCell ref="B9:D9"/>
    <mergeCell ref="I10:I27"/>
    <mergeCell ref="B27:D27"/>
    <mergeCell ref="A29:A30"/>
    <mergeCell ref="B29:B30"/>
    <mergeCell ref="C29:C30"/>
    <mergeCell ref="D29:D30"/>
    <mergeCell ref="E29:F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4"/>
  <sheetViews>
    <sheetView workbookViewId="0">
      <selection activeCell="F17" sqref="F17"/>
    </sheetView>
  </sheetViews>
  <sheetFormatPr defaultRowHeight="14.25" x14ac:dyDescent="0.2"/>
  <cols>
    <col min="1" max="1" width="8.88671875" style="301"/>
    <col min="2" max="2" width="37.5546875" style="229" customWidth="1"/>
    <col min="3" max="3" width="6.6640625" style="229" customWidth="1"/>
    <col min="4" max="4" width="8.109375" style="229" customWidth="1"/>
    <col min="5" max="5" width="10.5546875" style="229" customWidth="1"/>
    <col min="6" max="6" width="11.88671875" style="229" customWidth="1"/>
    <col min="7" max="7" width="9.6640625" style="229" customWidth="1"/>
    <col min="8" max="8" width="12.6640625" style="229" customWidth="1"/>
    <col min="9" max="9" width="11.21875" style="229" customWidth="1"/>
    <col min="10" max="257" width="8.88671875" style="229"/>
    <col min="258" max="258" width="37.5546875" style="229" customWidth="1"/>
    <col min="259" max="259" width="6.6640625" style="229" customWidth="1"/>
    <col min="260" max="260" width="8.109375" style="229" customWidth="1"/>
    <col min="261" max="261" width="10.5546875" style="229" customWidth="1"/>
    <col min="262" max="262" width="11.88671875" style="229" customWidth="1"/>
    <col min="263" max="263" width="9.6640625" style="229" customWidth="1"/>
    <col min="264" max="264" width="12.6640625" style="229" customWidth="1"/>
    <col min="265" max="265" width="11.21875" style="229" customWidth="1"/>
    <col min="266" max="513" width="8.88671875" style="229"/>
    <col min="514" max="514" width="37.5546875" style="229" customWidth="1"/>
    <col min="515" max="515" width="6.6640625" style="229" customWidth="1"/>
    <col min="516" max="516" width="8.109375" style="229" customWidth="1"/>
    <col min="517" max="517" width="10.5546875" style="229" customWidth="1"/>
    <col min="518" max="518" width="11.88671875" style="229" customWidth="1"/>
    <col min="519" max="519" width="9.6640625" style="229" customWidth="1"/>
    <col min="520" max="520" width="12.6640625" style="229" customWidth="1"/>
    <col min="521" max="521" width="11.21875" style="229" customWidth="1"/>
    <col min="522" max="769" width="8.88671875" style="229"/>
    <col min="770" max="770" width="37.5546875" style="229" customWidth="1"/>
    <col min="771" max="771" width="6.6640625" style="229" customWidth="1"/>
    <col min="772" max="772" width="8.109375" style="229" customWidth="1"/>
    <col min="773" max="773" width="10.5546875" style="229" customWidth="1"/>
    <col min="774" max="774" width="11.88671875" style="229" customWidth="1"/>
    <col min="775" max="775" width="9.6640625" style="229" customWidth="1"/>
    <col min="776" max="776" width="12.6640625" style="229" customWidth="1"/>
    <col min="777" max="777" width="11.21875" style="229" customWidth="1"/>
    <col min="778" max="1025" width="8.88671875" style="229"/>
    <col min="1026" max="1026" width="37.5546875" style="229" customWidth="1"/>
    <col min="1027" max="1027" width="6.6640625" style="229" customWidth="1"/>
    <col min="1028" max="1028" width="8.109375" style="229" customWidth="1"/>
    <col min="1029" max="1029" width="10.5546875" style="229" customWidth="1"/>
    <col min="1030" max="1030" width="11.88671875" style="229" customWidth="1"/>
    <col min="1031" max="1031" width="9.6640625" style="229" customWidth="1"/>
    <col min="1032" max="1032" width="12.6640625" style="229" customWidth="1"/>
    <col min="1033" max="1033" width="11.21875" style="229" customWidth="1"/>
    <col min="1034" max="1281" width="8.88671875" style="229"/>
    <col min="1282" max="1282" width="37.5546875" style="229" customWidth="1"/>
    <col min="1283" max="1283" width="6.6640625" style="229" customWidth="1"/>
    <col min="1284" max="1284" width="8.109375" style="229" customWidth="1"/>
    <col min="1285" max="1285" width="10.5546875" style="229" customWidth="1"/>
    <col min="1286" max="1286" width="11.88671875" style="229" customWidth="1"/>
    <col min="1287" max="1287" width="9.6640625" style="229" customWidth="1"/>
    <col min="1288" max="1288" width="12.6640625" style="229" customWidth="1"/>
    <col min="1289" max="1289" width="11.21875" style="229" customWidth="1"/>
    <col min="1290" max="1537" width="8.88671875" style="229"/>
    <col min="1538" max="1538" width="37.5546875" style="229" customWidth="1"/>
    <col min="1539" max="1539" width="6.6640625" style="229" customWidth="1"/>
    <col min="1540" max="1540" width="8.109375" style="229" customWidth="1"/>
    <col min="1541" max="1541" width="10.5546875" style="229" customWidth="1"/>
    <col min="1542" max="1542" width="11.88671875" style="229" customWidth="1"/>
    <col min="1543" max="1543" width="9.6640625" style="229" customWidth="1"/>
    <col min="1544" max="1544" width="12.6640625" style="229" customWidth="1"/>
    <col min="1545" max="1545" width="11.21875" style="229" customWidth="1"/>
    <col min="1546" max="1793" width="8.88671875" style="229"/>
    <col min="1794" max="1794" width="37.5546875" style="229" customWidth="1"/>
    <col min="1795" max="1795" width="6.6640625" style="229" customWidth="1"/>
    <col min="1796" max="1796" width="8.109375" style="229" customWidth="1"/>
    <col min="1797" max="1797" width="10.5546875" style="229" customWidth="1"/>
    <col min="1798" max="1798" width="11.88671875" style="229" customWidth="1"/>
    <col min="1799" max="1799" width="9.6640625" style="229" customWidth="1"/>
    <col min="1800" max="1800" width="12.6640625" style="229" customWidth="1"/>
    <col min="1801" max="1801" width="11.21875" style="229" customWidth="1"/>
    <col min="1802" max="2049" width="8.88671875" style="229"/>
    <col min="2050" max="2050" width="37.5546875" style="229" customWidth="1"/>
    <col min="2051" max="2051" width="6.6640625" style="229" customWidth="1"/>
    <col min="2052" max="2052" width="8.109375" style="229" customWidth="1"/>
    <col min="2053" max="2053" width="10.5546875" style="229" customWidth="1"/>
    <col min="2054" max="2054" width="11.88671875" style="229" customWidth="1"/>
    <col min="2055" max="2055" width="9.6640625" style="229" customWidth="1"/>
    <col min="2056" max="2056" width="12.6640625" style="229" customWidth="1"/>
    <col min="2057" max="2057" width="11.21875" style="229" customWidth="1"/>
    <col min="2058" max="2305" width="8.88671875" style="229"/>
    <col min="2306" max="2306" width="37.5546875" style="229" customWidth="1"/>
    <col min="2307" max="2307" width="6.6640625" style="229" customWidth="1"/>
    <col min="2308" max="2308" width="8.109375" style="229" customWidth="1"/>
    <col min="2309" max="2309" width="10.5546875" style="229" customWidth="1"/>
    <col min="2310" max="2310" width="11.88671875" style="229" customWidth="1"/>
    <col min="2311" max="2311" width="9.6640625" style="229" customWidth="1"/>
    <col min="2312" max="2312" width="12.6640625" style="229" customWidth="1"/>
    <col min="2313" max="2313" width="11.21875" style="229" customWidth="1"/>
    <col min="2314" max="2561" width="8.88671875" style="229"/>
    <col min="2562" max="2562" width="37.5546875" style="229" customWidth="1"/>
    <col min="2563" max="2563" width="6.6640625" style="229" customWidth="1"/>
    <col min="2564" max="2564" width="8.109375" style="229" customWidth="1"/>
    <col min="2565" max="2565" width="10.5546875" style="229" customWidth="1"/>
    <col min="2566" max="2566" width="11.88671875" style="229" customWidth="1"/>
    <col min="2567" max="2567" width="9.6640625" style="229" customWidth="1"/>
    <col min="2568" max="2568" width="12.6640625" style="229" customWidth="1"/>
    <col min="2569" max="2569" width="11.21875" style="229" customWidth="1"/>
    <col min="2570" max="2817" width="8.88671875" style="229"/>
    <col min="2818" max="2818" width="37.5546875" style="229" customWidth="1"/>
    <col min="2819" max="2819" width="6.6640625" style="229" customWidth="1"/>
    <col min="2820" max="2820" width="8.109375" style="229" customWidth="1"/>
    <col min="2821" max="2821" width="10.5546875" style="229" customWidth="1"/>
    <col min="2822" max="2822" width="11.88671875" style="229" customWidth="1"/>
    <col min="2823" max="2823" width="9.6640625" style="229" customWidth="1"/>
    <col min="2824" max="2824" width="12.6640625" style="229" customWidth="1"/>
    <col min="2825" max="2825" width="11.21875" style="229" customWidth="1"/>
    <col min="2826" max="3073" width="8.88671875" style="229"/>
    <col min="3074" max="3074" width="37.5546875" style="229" customWidth="1"/>
    <col min="3075" max="3075" width="6.6640625" style="229" customWidth="1"/>
    <col min="3076" max="3076" width="8.109375" style="229" customWidth="1"/>
    <col min="3077" max="3077" width="10.5546875" style="229" customWidth="1"/>
    <col min="3078" max="3078" width="11.88671875" style="229" customWidth="1"/>
    <col min="3079" max="3079" width="9.6640625" style="229" customWidth="1"/>
    <col min="3080" max="3080" width="12.6640625" style="229" customWidth="1"/>
    <col min="3081" max="3081" width="11.21875" style="229" customWidth="1"/>
    <col min="3082" max="3329" width="8.88671875" style="229"/>
    <col min="3330" max="3330" width="37.5546875" style="229" customWidth="1"/>
    <col min="3331" max="3331" width="6.6640625" style="229" customWidth="1"/>
    <col min="3332" max="3332" width="8.109375" style="229" customWidth="1"/>
    <col min="3333" max="3333" width="10.5546875" style="229" customWidth="1"/>
    <col min="3334" max="3334" width="11.88671875" style="229" customWidth="1"/>
    <col min="3335" max="3335" width="9.6640625" style="229" customWidth="1"/>
    <col min="3336" max="3336" width="12.6640625" style="229" customWidth="1"/>
    <col min="3337" max="3337" width="11.21875" style="229" customWidth="1"/>
    <col min="3338" max="3585" width="8.88671875" style="229"/>
    <col min="3586" max="3586" width="37.5546875" style="229" customWidth="1"/>
    <col min="3587" max="3587" width="6.6640625" style="229" customWidth="1"/>
    <col min="3588" max="3588" width="8.109375" style="229" customWidth="1"/>
    <col min="3589" max="3589" width="10.5546875" style="229" customWidth="1"/>
    <col min="3590" max="3590" width="11.88671875" style="229" customWidth="1"/>
    <col min="3591" max="3591" width="9.6640625" style="229" customWidth="1"/>
    <col min="3592" max="3592" width="12.6640625" style="229" customWidth="1"/>
    <col min="3593" max="3593" width="11.21875" style="229" customWidth="1"/>
    <col min="3594" max="3841" width="8.88671875" style="229"/>
    <col min="3842" max="3842" width="37.5546875" style="229" customWidth="1"/>
    <col min="3843" max="3843" width="6.6640625" style="229" customWidth="1"/>
    <col min="3844" max="3844" width="8.109375" style="229" customWidth="1"/>
    <col min="3845" max="3845" width="10.5546875" style="229" customWidth="1"/>
    <col min="3846" max="3846" width="11.88671875" style="229" customWidth="1"/>
    <col min="3847" max="3847" width="9.6640625" style="229" customWidth="1"/>
    <col min="3848" max="3848" width="12.6640625" style="229" customWidth="1"/>
    <col min="3849" max="3849" width="11.21875" style="229" customWidth="1"/>
    <col min="3850" max="4097" width="8.88671875" style="229"/>
    <col min="4098" max="4098" width="37.5546875" style="229" customWidth="1"/>
    <col min="4099" max="4099" width="6.6640625" style="229" customWidth="1"/>
    <col min="4100" max="4100" width="8.109375" style="229" customWidth="1"/>
    <col min="4101" max="4101" width="10.5546875" style="229" customWidth="1"/>
    <col min="4102" max="4102" width="11.88671875" style="229" customWidth="1"/>
    <col min="4103" max="4103" width="9.6640625" style="229" customWidth="1"/>
    <col min="4104" max="4104" width="12.6640625" style="229" customWidth="1"/>
    <col min="4105" max="4105" width="11.21875" style="229" customWidth="1"/>
    <col min="4106" max="4353" width="8.88671875" style="229"/>
    <col min="4354" max="4354" width="37.5546875" style="229" customWidth="1"/>
    <col min="4355" max="4355" width="6.6640625" style="229" customWidth="1"/>
    <col min="4356" max="4356" width="8.109375" style="229" customWidth="1"/>
    <col min="4357" max="4357" width="10.5546875" style="229" customWidth="1"/>
    <col min="4358" max="4358" width="11.88671875" style="229" customWidth="1"/>
    <col min="4359" max="4359" width="9.6640625" style="229" customWidth="1"/>
    <col min="4360" max="4360" width="12.6640625" style="229" customWidth="1"/>
    <col min="4361" max="4361" width="11.21875" style="229" customWidth="1"/>
    <col min="4362" max="4609" width="8.88671875" style="229"/>
    <col min="4610" max="4610" width="37.5546875" style="229" customWidth="1"/>
    <col min="4611" max="4611" width="6.6640625" style="229" customWidth="1"/>
    <col min="4612" max="4612" width="8.109375" style="229" customWidth="1"/>
    <col min="4613" max="4613" width="10.5546875" style="229" customWidth="1"/>
    <col min="4614" max="4614" width="11.88671875" style="229" customWidth="1"/>
    <col min="4615" max="4615" width="9.6640625" style="229" customWidth="1"/>
    <col min="4616" max="4616" width="12.6640625" style="229" customWidth="1"/>
    <col min="4617" max="4617" width="11.21875" style="229" customWidth="1"/>
    <col min="4618" max="4865" width="8.88671875" style="229"/>
    <col min="4866" max="4866" width="37.5546875" style="229" customWidth="1"/>
    <col min="4867" max="4867" width="6.6640625" style="229" customWidth="1"/>
    <col min="4868" max="4868" width="8.109375" style="229" customWidth="1"/>
    <col min="4869" max="4869" width="10.5546875" style="229" customWidth="1"/>
    <col min="4870" max="4870" width="11.88671875" style="229" customWidth="1"/>
    <col min="4871" max="4871" width="9.6640625" style="229" customWidth="1"/>
    <col min="4872" max="4872" width="12.6640625" style="229" customWidth="1"/>
    <col min="4873" max="4873" width="11.21875" style="229" customWidth="1"/>
    <col min="4874" max="5121" width="8.88671875" style="229"/>
    <col min="5122" max="5122" width="37.5546875" style="229" customWidth="1"/>
    <col min="5123" max="5123" width="6.6640625" style="229" customWidth="1"/>
    <col min="5124" max="5124" width="8.109375" style="229" customWidth="1"/>
    <col min="5125" max="5125" width="10.5546875" style="229" customWidth="1"/>
    <col min="5126" max="5126" width="11.88671875" style="229" customWidth="1"/>
    <col min="5127" max="5127" width="9.6640625" style="229" customWidth="1"/>
    <col min="5128" max="5128" width="12.6640625" style="229" customWidth="1"/>
    <col min="5129" max="5129" width="11.21875" style="229" customWidth="1"/>
    <col min="5130" max="5377" width="8.88671875" style="229"/>
    <col min="5378" max="5378" width="37.5546875" style="229" customWidth="1"/>
    <col min="5379" max="5379" width="6.6640625" style="229" customWidth="1"/>
    <col min="5380" max="5380" width="8.109375" style="229" customWidth="1"/>
    <col min="5381" max="5381" width="10.5546875" style="229" customWidth="1"/>
    <col min="5382" max="5382" width="11.88671875" style="229" customWidth="1"/>
    <col min="5383" max="5383" width="9.6640625" style="229" customWidth="1"/>
    <col min="5384" max="5384" width="12.6640625" style="229" customWidth="1"/>
    <col min="5385" max="5385" width="11.21875" style="229" customWidth="1"/>
    <col min="5386" max="5633" width="8.88671875" style="229"/>
    <col min="5634" max="5634" width="37.5546875" style="229" customWidth="1"/>
    <col min="5635" max="5635" width="6.6640625" style="229" customWidth="1"/>
    <col min="5636" max="5636" width="8.109375" style="229" customWidth="1"/>
    <col min="5637" max="5637" width="10.5546875" style="229" customWidth="1"/>
    <col min="5638" max="5638" width="11.88671875" style="229" customWidth="1"/>
    <col min="5639" max="5639" width="9.6640625" style="229" customWidth="1"/>
    <col min="5640" max="5640" width="12.6640625" style="229" customWidth="1"/>
    <col min="5641" max="5641" width="11.21875" style="229" customWidth="1"/>
    <col min="5642" max="5889" width="8.88671875" style="229"/>
    <col min="5890" max="5890" width="37.5546875" style="229" customWidth="1"/>
    <col min="5891" max="5891" width="6.6640625" style="229" customWidth="1"/>
    <col min="5892" max="5892" width="8.109375" style="229" customWidth="1"/>
    <col min="5893" max="5893" width="10.5546875" style="229" customWidth="1"/>
    <col min="5894" max="5894" width="11.88671875" style="229" customWidth="1"/>
    <col min="5895" max="5895" width="9.6640625" style="229" customWidth="1"/>
    <col min="5896" max="5896" width="12.6640625" style="229" customWidth="1"/>
    <col min="5897" max="5897" width="11.21875" style="229" customWidth="1"/>
    <col min="5898" max="6145" width="8.88671875" style="229"/>
    <col min="6146" max="6146" width="37.5546875" style="229" customWidth="1"/>
    <col min="6147" max="6147" width="6.6640625" style="229" customWidth="1"/>
    <col min="6148" max="6148" width="8.109375" style="229" customWidth="1"/>
    <col min="6149" max="6149" width="10.5546875" style="229" customWidth="1"/>
    <col min="6150" max="6150" width="11.88671875" style="229" customWidth="1"/>
    <col min="6151" max="6151" width="9.6640625" style="229" customWidth="1"/>
    <col min="6152" max="6152" width="12.6640625" style="229" customWidth="1"/>
    <col min="6153" max="6153" width="11.21875" style="229" customWidth="1"/>
    <col min="6154" max="6401" width="8.88671875" style="229"/>
    <col min="6402" max="6402" width="37.5546875" style="229" customWidth="1"/>
    <col min="6403" max="6403" width="6.6640625" style="229" customWidth="1"/>
    <col min="6404" max="6404" width="8.109375" style="229" customWidth="1"/>
    <col min="6405" max="6405" width="10.5546875" style="229" customWidth="1"/>
    <col min="6406" max="6406" width="11.88671875" style="229" customWidth="1"/>
    <col min="6407" max="6407" width="9.6640625" style="229" customWidth="1"/>
    <col min="6408" max="6408" width="12.6640625" style="229" customWidth="1"/>
    <col min="6409" max="6409" width="11.21875" style="229" customWidth="1"/>
    <col min="6410" max="6657" width="8.88671875" style="229"/>
    <col min="6658" max="6658" width="37.5546875" style="229" customWidth="1"/>
    <col min="6659" max="6659" width="6.6640625" style="229" customWidth="1"/>
    <col min="6660" max="6660" width="8.109375" style="229" customWidth="1"/>
    <col min="6661" max="6661" width="10.5546875" style="229" customWidth="1"/>
    <col min="6662" max="6662" width="11.88671875" style="229" customWidth="1"/>
    <col min="6663" max="6663" width="9.6640625" style="229" customWidth="1"/>
    <col min="6664" max="6664" width="12.6640625" style="229" customWidth="1"/>
    <col min="6665" max="6665" width="11.21875" style="229" customWidth="1"/>
    <col min="6666" max="6913" width="8.88671875" style="229"/>
    <col min="6914" max="6914" width="37.5546875" style="229" customWidth="1"/>
    <col min="6915" max="6915" width="6.6640625" style="229" customWidth="1"/>
    <col min="6916" max="6916" width="8.109375" style="229" customWidth="1"/>
    <col min="6917" max="6917" width="10.5546875" style="229" customWidth="1"/>
    <col min="6918" max="6918" width="11.88671875" style="229" customWidth="1"/>
    <col min="6919" max="6919" width="9.6640625" style="229" customWidth="1"/>
    <col min="6920" max="6920" width="12.6640625" style="229" customWidth="1"/>
    <col min="6921" max="6921" width="11.21875" style="229" customWidth="1"/>
    <col min="6922" max="7169" width="8.88671875" style="229"/>
    <col min="7170" max="7170" width="37.5546875" style="229" customWidth="1"/>
    <col min="7171" max="7171" width="6.6640625" style="229" customWidth="1"/>
    <col min="7172" max="7172" width="8.109375" style="229" customWidth="1"/>
    <col min="7173" max="7173" width="10.5546875" style="229" customWidth="1"/>
    <col min="7174" max="7174" width="11.88671875" style="229" customWidth="1"/>
    <col min="7175" max="7175" width="9.6640625" style="229" customWidth="1"/>
    <col min="7176" max="7176" width="12.6640625" style="229" customWidth="1"/>
    <col min="7177" max="7177" width="11.21875" style="229" customWidth="1"/>
    <col min="7178" max="7425" width="8.88671875" style="229"/>
    <col min="7426" max="7426" width="37.5546875" style="229" customWidth="1"/>
    <col min="7427" max="7427" width="6.6640625" style="229" customWidth="1"/>
    <col min="7428" max="7428" width="8.109375" style="229" customWidth="1"/>
    <col min="7429" max="7429" width="10.5546875" style="229" customWidth="1"/>
    <col min="7430" max="7430" width="11.88671875" style="229" customWidth="1"/>
    <col min="7431" max="7431" width="9.6640625" style="229" customWidth="1"/>
    <col min="7432" max="7432" width="12.6640625" style="229" customWidth="1"/>
    <col min="7433" max="7433" width="11.21875" style="229" customWidth="1"/>
    <col min="7434" max="7681" width="8.88671875" style="229"/>
    <col min="7682" max="7682" width="37.5546875" style="229" customWidth="1"/>
    <col min="7683" max="7683" width="6.6640625" style="229" customWidth="1"/>
    <col min="7684" max="7684" width="8.109375" style="229" customWidth="1"/>
    <col min="7685" max="7685" width="10.5546875" style="229" customWidth="1"/>
    <col min="7686" max="7686" width="11.88671875" style="229" customWidth="1"/>
    <col min="7687" max="7687" width="9.6640625" style="229" customWidth="1"/>
    <col min="7688" max="7688" width="12.6640625" style="229" customWidth="1"/>
    <col min="7689" max="7689" width="11.21875" style="229" customWidth="1"/>
    <col min="7690" max="7937" width="8.88671875" style="229"/>
    <col min="7938" max="7938" width="37.5546875" style="229" customWidth="1"/>
    <col min="7939" max="7939" width="6.6640625" style="229" customWidth="1"/>
    <col min="7940" max="7940" width="8.109375" style="229" customWidth="1"/>
    <col min="7941" max="7941" width="10.5546875" style="229" customWidth="1"/>
    <col min="7942" max="7942" width="11.88671875" style="229" customWidth="1"/>
    <col min="7943" max="7943" width="9.6640625" style="229" customWidth="1"/>
    <col min="7944" max="7944" width="12.6640625" style="229" customWidth="1"/>
    <col min="7945" max="7945" width="11.21875" style="229" customWidth="1"/>
    <col min="7946" max="8193" width="8.88671875" style="229"/>
    <col min="8194" max="8194" width="37.5546875" style="229" customWidth="1"/>
    <col min="8195" max="8195" width="6.6640625" style="229" customWidth="1"/>
    <col min="8196" max="8196" width="8.109375" style="229" customWidth="1"/>
    <col min="8197" max="8197" width="10.5546875" style="229" customWidth="1"/>
    <col min="8198" max="8198" width="11.88671875" style="229" customWidth="1"/>
    <col min="8199" max="8199" width="9.6640625" style="229" customWidth="1"/>
    <col min="8200" max="8200" width="12.6640625" style="229" customWidth="1"/>
    <col min="8201" max="8201" width="11.21875" style="229" customWidth="1"/>
    <col min="8202" max="8449" width="8.88671875" style="229"/>
    <col min="8450" max="8450" width="37.5546875" style="229" customWidth="1"/>
    <col min="8451" max="8451" width="6.6640625" style="229" customWidth="1"/>
    <col min="8452" max="8452" width="8.109375" style="229" customWidth="1"/>
    <col min="8453" max="8453" width="10.5546875" style="229" customWidth="1"/>
    <col min="8454" max="8454" width="11.88671875" style="229" customWidth="1"/>
    <col min="8455" max="8455" width="9.6640625" style="229" customWidth="1"/>
    <col min="8456" max="8456" width="12.6640625" style="229" customWidth="1"/>
    <col min="8457" max="8457" width="11.21875" style="229" customWidth="1"/>
    <col min="8458" max="8705" width="8.88671875" style="229"/>
    <col min="8706" max="8706" width="37.5546875" style="229" customWidth="1"/>
    <col min="8707" max="8707" width="6.6640625" style="229" customWidth="1"/>
    <col min="8708" max="8708" width="8.109375" style="229" customWidth="1"/>
    <col min="8709" max="8709" width="10.5546875" style="229" customWidth="1"/>
    <col min="8710" max="8710" width="11.88671875" style="229" customWidth="1"/>
    <col min="8711" max="8711" width="9.6640625" style="229" customWidth="1"/>
    <col min="8712" max="8712" width="12.6640625" style="229" customWidth="1"/>
    <col min="8713" max="8713" width="11.21875" style="229" customWidth="1"/>
    <col min="8714" max="8961" width="8.88671875" style="229"/>
    <col min="8962" max="8962" width="37.5546875" style="229" customWidth="1"/>
    <col min="8963" max="8963" width="6.6640625" style="229" customWidth="1"/>
    <col min="8964" max="8964" width="8.109375" style="229" customWidth="1"/>
    <col min="8965" max="8965" width="10.5546875" style="229" customWidth="1"/>
    <col min="8966" max="8966" width="11.88671875" style="229" customWidth="1"/>
    <col min="8967" max="8967" width="9.6640625" style="229" customWidth="1"/>
    <col min="8968" max="8968" width="12.6640625" style="229" customWidth="1"/>
    <col min="8969" max="8969" width="11.21875" style="229" customWidth="1"/>
    <col min="8970" max="9217" width="8.88671875" style="229"/>
    <col min="9218" max="9218" width="37.5546875" style="229" customWidth="1"/>
    <col min="9219" max="9219" width="6.6640625" style="229" customWidth="1"/>
    <col min="9220" max="9220" width="8.109375" style="229" customWidth="1"/>
    <col min="9221" max="9221" width="10.5546875" style="229" customWidth="1"/>
    <col min="9222" max="9222" width="11.88671875" style="229" customWidth="1"/>
    <col min="9223" max="9223" width="9.6640625" style="229" customWidth="1"/>
    <col min="9224" max="9224" width="12.6640625" style="229" customWidth="1"/>
    <col min="9225" max="9225" width="11.21875" style="229" customWidth="1"/>
    <col min="9226" max="9473" width="8.88671875" style="229"/>
    <col min="9474" max="9474" width="37.5546875" style="229" customWidth="1"/>
    <col min="9475" max="9475" width="6.6640625" style="229" customWidth="1"/>
    <col min="9476" max="9476" width="8.109375" style="229" customWidth="1"/>
    <col min="9477" max="9477" width="10.5546875" style="229" customWidth="1"/>
    <col min="9478" max="9478" width="11.88671875" style="229" customWidth="1"/>
    <col min="9479" max="9479" width="9.6640625" style="229" customWidth="1"/>
    <col min="9480" max="9480" width="12.6640625" style="229" customWidth="1"/>
    <col min="9481" max="9481" width="11.21875" style="229" customWidth="1"/>
    <col min="9482" max="9729" width="8.88671875" style="229"/>
    <col min="9730" max="9730" width="37.5546875" style="229" customWidth="1"/>
    <col min="9731" max="9731" width="6.6640625" style="229" customWidth="1"/>
    <col min="9732" max="9732" width="8.109375" style="229" customWidth="1"/>
    <col min="9733" max="9733" width="10.5546875" style="229" customWidth="1"/>
    <col min="9734" max="9734" width="11.88671875" style="229" customWidth="1"/>
    <col min="9735" max="9735" width="9.6640625" style="229" customWidth="1"/>
    <col min="9736" max="9736" width="12.6640625" style="229" customWidth="1"/>
    <col min="9737" max="9737" width="11.21875" style="229" customWidth="1"/>
    <col min="9738" max="9985" width="8.88671875" style="229"/>
    <col min="9986" max="9986" width="37.5546875" style="229" customWidth="1"/>
    <col min="9987" max="9987" width="6.6640625" style="229" customWidth="1"/>
    <col min="9988" max="9988" width="8.109375" style="229" customWidth="1"/>
    <col min="9989" max="9989" width="10.5546875" style="229" customWidth="1"/>
    <col min="9990" max="9990" width="11.88671875" style="229" customWidth="1"/>
    <col min="9991" max="9991" width="9.6640625" style="229" customWidth="1"/>
    <col min="9992" max="9992" width="12.6640625" style="229" customWidth="1"/>
    <col min="9993" max="9993" width="11.21875" style="229" customWidth="1"/>
    <col min="9994" max="10241" width="8.88671875" style="229"/>
    <col min="10242" max="10242" width="37.5546875" style="229" customWidth="1"/>
    <col min="10243" max="10243" width="6.6640625" style="229" customWidth="1"/>
    <col min="10244" max="10244" width="8.109375" style="229" customWidth="1"/>
    <col min="10245" max="10245" width="10.5546875" style="229" customWidth="1"/>
    <col min="10246" max="10246" width="11.88671875" style="229" customWidth="1"/>
    <col min="10247" max="10247" width="9.6640625" style="229" customWidth="1"/>
    <col min="10248" max="10248" width="12.6640625" style="229" customWidth="1"/>
    <col min="10249" max="10249" width="11.21875" style="229" customWidth="1"/>
    <col min="10250" max="10497" width="8.88671875" style="229"/>
    <col min="10498" max="10498" width="37.5546875" style="229" customWidth="1"/>
    <col min="10499" max="10499" width="6.6640625" style="229" customWidth="1"/>
    <col min="10500" max="10500" width="8.109375" style="229" customWidth="1"/>
    <col min="10501" max="10501" width="10.5546875" style="229" customWidth="1"/>
    <col min="10502" max="10502" width="11.88671875" style="229" customWidth="1"/>
    <col min="10503" max="10503" width="9.6640625" style="229" customWidth="1"/>
    <col min="10504" max="10504" width="12.6640625" style="229" customWidth="1"/>
    <col min="10505" max="10505" width="11.21875" style="229" customWidth="1"/>
    <col min="10506" max="10753" width="8.88671875" style="229"/>
    <col min="10754" max="10754" width="37.5546875" style="229" customWidth="1"/>
    <col min="10755" max="10755" width="6.6640625" style="229" customWidth="1"/>
    <col min="10756" max="10756" width="8.109375" style="229" customWidth="1"/>
    <col min="10757" max="10757" width="10.5546875" style="229" customWidth="1"/>
    <col min="10758" max="10758" width="11.88671875" style="229" customWidth="1"/>
    <col min="10759" max="10759" width="9.6640625" style="229" customWidth="1"/>
    <col min="10760" max="10760" width="12.6640625" style="229" customWidth="1"/>
    <col min="10761" max="10761" width="11.21875" style="229" customWidth="1"/>
    <col min="10762" max="11009" width="8.88671875" style="229"/>
    <col min="11010" max="11010" width="37.5546875" style="229" customWidth="1"/>
    <col min="11011" max="11011" width="6.6640625" style="229" customWidth="1"/>
    <col min="11012" max="11012" width="8.109375" style="229" customWidth="1"/>
    <col min="11013" max="11013" width="10.5546875" style="229" customWidth="1"/>
    <col min="11014" max="11014" width="11.88671875" style="229" customWidth="1"/>
    <col min="11015" max="11015" width="9.6640625" style="229" customWidth="1"/>
    <col min="11016" max="11016" width="12.6640625" style="229" customWidth="1"/>
    <col min="11017" max="11017" width="11.21875" style="229" customWidth="1"/>
    <col min="11018" max="11265" width="8.88671875" style="229"/>
    <col min="11266" max="11266" width="37.5546875" style="229" customWidth="1"/>
    <col min="11267" max="11267" width="6.6640625" style="229" customWidth="1"/>
    <col min="11268" max="11268" width="8.109375" style="229" customWidth="1"/>
    <col min="11269" max="11269" width="10.5546875" style="229" customWidth="1"/>
    <col min="11270" max="11270" width="11.88671875" style="229" customWidth="1"/>
    <col min="11271" max="11271" width="9.6640625" style="229" customWidth="1"/>
    <col min="11272" max="11272" width="12.6640625" style="229" customWidth="1"/>
    <col min="11273" max="11273" width="11.21875" style="229" customWidth="1"/>
    <col min="11274" max="11521" width="8.88671875" style="229"/>
    <col min="11522" max="11522" width="37.5546875" style="229" customWidth="1"/>
    <col min="11523" max="11523" width="6.6640625" style="229" customWidth="1"/>
    <col min="11524" max="11524" width="8.109375" style="229" customWidth="1"/>
    <col min="11525" max="11525" width="10.5546875" style="229" customWidth="1"/>
    <col min="11526" max="11526" width="11.88671875" style="229" customWidth="1"/>
    <col min="11527" max="11527" width="9.6640625" style="229" customWidth="1"/>
    <col min="11528" max="11528" width="12.6640625" style="229" customWidth="1"/>
    <col min="11529" max="11529" width="11.21875" style="229" customWidth="1"/>
    <col min="11530" max="11777" width="8.88671875" style="229"/>
    <col min="11778" max="11778" width="37.5546875" style="229" customWidth="1"/>
    <col min="11779" max="11779" width="6.6640625" style="229" customWidth="1"/>
    <col min="11780" max="11780" width="8.109375" style="229" customWidth="1"/>
    <col min="11781" max="11781" width="10.5546875" style="229" customWidth="1"/>
    <col min="11782" max="11782" width="11.88671875" style="229" customWidth="1"/>
    <col min="11783" max="11783" width="9.6640625" style="229" customWidth="1"/>
    <col min="11784" max="11784" width="12.6640625" style="229" customWidth="1"/>
    <col min="11785" max="11785" width="11.21875" style="229" customWidth="1"/>
    <col min="11786" max="12033" width="8.88671875" style="229"/>
    <col min="12034" max="12034" width="37.5546875" style="229" customWidth="1"/>
    <col min="12035" max="12035" width="6.6640625" style="229" customWidth="1"/>
    <col min="12036" max="12036" width="8.109375" style="229" customWidth="1"/>
    <col min="12037" max="12037" width="10.5546875" style="229" customWidth="1"/>
    <col min="12038" max="12038" width="11.88671875" style="229" customWidth="1"/>
    <col min="12039" max="12039" width="9.6640625" style="229" customWidth="1"/>
    <col min="12040" max="12040" width="12.6640625" style="229" customWidth="1"/>
    <col min="12041" max="12041" width="11.21875" style="229" customWidth="1"/>
    <col min="12042" max="12289" width="8.88671875" style="229"/>
    <col min="12290" max="12290" width="37.5546875" style="229" customWidth="1"/>
    <col min="12291" max="12291" width="6.6640625" style="229" customWidth="1"/>
    <col min="12292" max="12292" width="8.109375" style="229" customWidth="1"/>
    <col min="12293" max="12293" width="10.5546875" style="229" customWidth="1"/>
    <col min="12294" max="12294" width="11.88671875" style="229" customWidth="1"/>
    <col min="12295" max="12295" width="9.6640625" style="229" customWidth="1"/>
    <col min="12296" max="12296" width="12.6640625" style="229" customWidth="1"/>
    <col min="12297" max="12297" width="11.21875" style="229" customWidth="1"/>
    <col min="12298" max="12545" width="8.88671875" style="229"/>
    <col min="12546" max="12546" width="37.5546875" style="229" customWidth="1"/>
    <col min="12547" max="12547" width="6.6640625" style="229" customWidth="1"/>
    <col min="12548" max="12548" width="8.109375" style="229" customWidth="1"/>
    <col min="12549" max="12549" width="10.5546875" style="229" customWidth="1"/>
    <col min="12550" max="12550" width="11.88671875" style="229" customWidth="1"/>
    <col min="12551" max="12551" width="9.6640625" style="229" customWidth="1"/>
    <col min="12552" max="12552" width="12.6640625" style="229" customWidth="1"/>
    <col min="12553" max="12553" width="11.21875" style="229" customWidth="1"/>
    <col min="12554" max="12801" width="8.88671875" style="229"/>
    <col min="12802" max="12802" width="37.5546875" style="229" customWidth="1"/>
    <col min="12803" max="12803" width="6.6640625" style="229" customWidth="1"/>
    <col min="12804" max="12804" width="8.109375" style="229" customWidth="1"/>
    <col min="12805" max="12805" width="10.5546875" style="229" customWidth="1"/>
    <col min="12806" max="12806" width="11.88671875" style="229" customWidth="1"/>
    <col min="12807" max="12807" width="9.6640625" style="229" customWidth="1"/>
    <col min="12808" max="12808" width="12.6640625" style="229" customWidth="1"/>
    <col min="12809" max="12809" width="11.21875" style="229" customWidth="1"/>
    <col min="12810" max="13057" width="8.88671875" style="229"/>
    <col min="13058" max="13058" width="37.5546875" style="229" customWidth="1"/>
    <col min="13059" max="13059" width="6.6640625" style="229" customWidth="1"/>
    <col min="13060" max="13060" width="8.109375" style="229" customWidth="1"/>
    <col min="13061" max="13061" width="10.5546875" style="229" customWidth="1"/>
    <col min="13062" max="13062" width="11.88671875" style="229" customWidth="1"/>
    <col min="13063" max="13063" width="9.6640625" style="229" customWidth="1"/>
    <col min="13064" max="13064" width="12.6640625" style="229" customWidth="1"/>
    <col min="13065" max="13065" width="11.21875" style="229" customWidth="1"/>
    <col min="13066" max="13313" width="8.88671875" style="229"/>
    <col min="13314" max="13314" width="37.5546875" style="229" customWidth="1"/>
    <col min="13315" max="13315" width="6.6640625" style="229" customWidth="1"/>
    <col min="13316" max="13316" width="8.109375" style="229" customWidth="1"/>
    <col min="13317" max="13317" width="10.5546875" style="229" customWidth="1"/>
    <col min="13318" max="13318" width="11.88671875" style="229" customWidth="1"/>
    <col min="13319" max="13319" width="9.6640625" style="229" customWidth="1"/>
    <col min="13320" max="13320" width="12.6640625" style="229" customWidth="1"/>
    <col min="13321" max="13321" width="11.21875" style="229" customWidth="1"/>
    <col min="13322" max="13569" width="8.88671875" style="229"/>
    <col min="13570" max="13570" width="37.5546875" style="229" customWidth="1"/>
    <col min="13571" max="13571" width="6.6640625" style="229" customWidth="1"/>
    <col min="13572" max="13572" width="8.109375" style="229" customWidth="1"/>
    <col min="13573" max="13573" width="10.5546875" style="229" customWidth="1"/>
    <col min="13574" max="13574" width="11.88671875" style="229" customWidth="1"/>
    <col min="13575" max="13575" width="9.6640625" style="229" customWidth="1"/>
    <col min="13576" max="13576" width="12.6640625" style="229" customWidth="1"/>
    <col min="13577" max="13577" width="11.21875" style="229" customWidth="1"/>
    <col min="13578" max="13825" width="8.88671875" style="229"/>
    <col min="13826" max="13826" width="37.5546875" style="229" customWidth="1"/>
    <col min="13827" max="13827" width="6.6640625" style="229" customWidth="1"/>
    <col min="13828" max="13828" width="8.109375" style="229" customWidth="1"/>
    <col min="13829" max="13829" width="10.5546875" style="229" customWidth="1"/>
    <col min="13830" max="13830" width="11.88671875" style="229" customWidth="1"/>
    <col min="13831" max="13831" width="9.6640625" style="229" customWidth="1"/>
    <col min="13832" max="13832" width="12.6640625" style="229" customWidth="1"/>
    <col min="13833" max="13833" width="11.21875" style="229" customWidth="1"/>
    <col min="13834" max="14081" width="8.88671875" style="229"/>
    <col min="14082" max="14082" width="37.5546875" style="229" customWidth="1"/>
    <col min="14083" max="14083" width="6.6640625" style="229" customWidth="1"/>
    <col min="14084" max="14084" width="8.109375" style="229" customWidth="1"/>
    <col min="14085" max="14085" width="10.5546875" style="229" customWidth="1"/>
    <col min="14086" max="14086" width="11.88671875" style="229" customWidth="1"/>
    <col min="14087" max="14087" width="9.6640625" style="229" customWidth="1"/>
    <col min="14088" max="14088" width="12.6640625" style="229" customWidth="1"/>
    <col min="14089" max="14089" width="11.21875" style="229" customWidth="1"/>
    <col min="14090" max="14337" width="8.88671875" style="229"/>
    <col min="14338" max="14338" width="37.5546875" style="229" customWidth="1"/>
    <col min="14339" max="14339" width="6.6640625" style="229" customWidth="1"/>
    <col min="14340" max="14340" width="8.109375" style="229" customWidth="1"/>
    <col min="14341" max="14341" width="10.5546875" style="229" customWidth="1"/>
    <col min="14342" max="14342" width="11.88671875" style="229" customWidth="1"/>
    <col min="14343" max="14343" width="9.6640625" style="229" customWidth="1"/>
    <col min="14344" max="14344" width="12.6640625" style="229" customWidth="1"/>
    <col min="14345" max="14345" width="11.21875" style="229" customWidth="1"/>
    <col min="14346" max="14593" width="8.88671875" style="229"/>
    <col min="14594" max="14594" width="37.5546875" style="229" customWidth="1"/>
    <col min="14595" max="14595" width="6.6640625" style="229" customWidth="1"/>
    <col min="14596" max="14596" width="8.109375" style="229" customWidth="1"/>
    <col min="14597" max="14597" width="10.5546875" style="229" customWidth="1"/>
    <col min="14598" max="14598" width="11.88671875" style="229" customWidth="1"/>
    <col min="14599" max="14599" width="9.6640625" style="229" customWidth="1"/>
    <col min="14600" max="14600" width="12.6640625" style="229" customWidth="1"/>
    <col min="14601" max="14601" width="11.21875" style="229" customWidth="1"/>
    <col min="14602" max="14849" width="8.88671875" style="229"/>
    <col min="14850" max="14850" width="37.5546875" style="229" customWidth="1"/>
    <col min="14851" max="14851" width="6.6640625" style="229" customWidth="1"/>
    <col min="14852" max="14852" width="8.109375" style="229" customWidth="1"/>
    <col min="14853" max="14853" width="10.5546875" style="229" customWidth="1"/>
    <col min="14854" max="14854" width="11.88671875" style="229" customWidth="1"/>
    <col min="14855" max="14855" width="9.6640625" style="229" customWidth="1"/>
    <col min="14856" max="14856" width="12.6640625" style="229" customWidth="1"/>
    <col min="14857" max="14857" width="11.21875" style="229" customWidth="1"/>
    <col min="14858" max="15105" width="8.88671875" style="229"/>
    <col min="15106" max="15106" width="37.5546875" style="229" customWidth="1"/>
    <col min="15107" max="15107" width="6.6640625" style="229" customWidth="1"/>
    <col min="15108" max="15108" width="8.109375" style="229" customWidth="1"/>
    <col min="15109" max="15109" width="10.5546875" style="229" customWidth="1"/>
    <col min="15110" max="15110" width="11.88671875" style="229" customWidth="1"/>
    <col min="15111" max="15111" width="9.6640625" style="229" customWidth="1"/>
    <col min="15112" max="15112" width="12.6640625" style="229" customWidth="1"/>
    <col min="15113" max="15113" width="11.21875" style="229" customWidth="1"/>
    <col min="15114" max="15361" width="8.88671875" style="229"/>
    <col min="15362" max="15362" width="37.5546875" style="229" customWidth="1"/>
    <col min="15363" max="15363" width="6.6640625" style="229" customWidth="1"/>
    <col min="15364" max="15364" width="8.109375" style="229" customWidth="1"/>
    <col min="15365" max="15365" width="10.5546875" style="229" customWidth="1"/>
    <col min="15366" max="15366" width="11.88671875" style="229" customWidth="1"/>
    <col min="15367" max="15367" width="9.6640625" style="229" customWidth="1"/>
    <col min="15368" max="15368" width="12.6640625" style="229" customWidth="1"/>
    <col min="15369" max="15369" width="11.21875" style="229" customWidth="1"/>
    <col min="15370" max="15617" width="8.88671875" style="229"/>
    <col min="15618" max="15618" width="37.5546875" style="229" customWidth="1"/>
    <col min="15619" max="15619" width="6.6640625" style="229" customWidth="1"/>
    <col min="15620" max="15620" width="8.109375" style="229" customWidth="1"/>
    <col min="15621" max="15621" width="10.5546875" style="229" customWidth="1"/>
    <col min="15622" max="15622" width="11.88671875" style="229" customWidth="1"/>
    <col min="15623" max="15623" width="9.6640625" style="229" customWidth="1"/>
    <col min="15624" max="15624" width="12.6640625" style="229" customWidth="1"/>
    <col min="15625" max="15625" width="11.21875" style="229" customWidth="1"/>
    <col min="15626" max="15873" width="8.88671875" style="229"/>
    <col min="15874" max="15874" width="37.5546875" style="229" customWidth="1"/>
    <col min="15875" max="15875" width="6.6640625" style="229" customWidth="1"/>
    <col min="15876" max="15876" width="8.109375" style="229" customWidth="1"/>
    <col min="15877" max="15877" width="10.5546875" style="229" customWidth="1"/>
    <col min="15878" max="15878" width="11.88671875" style="229" customWidth="1"/>
    <col min="15879" max="15879" width="9.6640625" style="229" customWidth="1"/>
    <col min="15880" max="15880" width="12.6640625" style="229" customWidth="1"/>
    <col min="15881" max="15881" width="11.21875" style="229" customWidth="1"/>
    <col min="15882" max="16129" width="8.88671875" style="229"/>
    <col min="16130" max="16130" width="37.5546875" style="229" customWidth="1"/>
    <col min="16131" max="16131" width="6.6640625" style="229" customWidth="1"/>
    <col min="16132" max="16132" width="8.109375" style="229" customWidth="1"/>
    <col min="16133" max="16133" width="10.5546875" style="229" customWidth="1"/>
    <col min="16134" max="16134" width="11.88671875" style="229" customWidth="1"/>
    <col min="16135" max="16135" width="9.6640625" style="229" customWidth="1"/>
    <col min="16136" max="16136" width="12.6640625" style="229" customWidth="1"/>
    <col min="16137" max="16137" width="11.21875" style="229" customWidth="1"/>
    <col min="16138" max="16384" width="8.88671875" style="229"/>
  </cols>
  <sheetData>
    <row r="1" spans="1:9" ht="16.5" x14ac:dyDescent="0.2">
      <c r="A1" s="345" t="s">
        <v>10</v>
      </c>
      <c r="B1" s="345"/>
      <c r="C1" s="345"/>
      <c r="D1" s="345"/>
      <c r="E1" s="345"/>
      <c r="F1" s="345"/>
      <c r="G1" s="345"/>
    </row>
    <row r="2" spans="1:9" ht="16.5" x14ac:dyDescent="0.2">
      <c r="A2" s="345" t="s">
        <v>77</v>
      </c>
      <c r="B2" s="345"/>
      <c r="C2" s="345"/>
      <c r="D2" s="345"/>
      <c r="E2" s="345"/>
      <c r="F2" s="345"/>
      <c r="G2" s="345"/>
    </row>
    <row r="3" spans="1:9" ht="16.5" x14ac:dyDescent="0.2">
      <c r="A3" s="346" t="s">
        <v>78</v>
      </c>
      <c r="B3" s="346"/>
      <c r="C3" s="346"/>
      <c r="D3" s="346"/>
      <c r="E3" s="346"/>
      <c r="F3" s="346"/>
      <c r="G3" s="346"/>
    </row>
    <row r="4" spans="1:9" ht="16.5" x14ac:dyDescent="0.2">
      <c r="A4" s="346" t="s">
        <v>79</v>
      </c>
      <c r="B4" s="346"/>
      <c r="C4" s="346"/>
      <c r="D4" s="346"/>
      <c r="E4" s="346"/>
      <c r="F4" s="346"/>
      <c r="G4" s="346"/>
    </row>
    <row r="5" spans="1:9" ht="17.25" x14ac:dyDescent="0.3">
      <c r="A5" s="230"/>
      <c r="B5" s="231"/>
      <c r="C5" s="232"/>
      <c r="D5" s="232"/>
      <c r="E5" s="347" t="s">
        <v>80</v>
      </c>
      <c r="F5" s="348"/>
      <c r="G5" s="348"/>
    </row>
    <row r="6" spans="1:9" ht="34.5" customHeight="1" x14ac:dyDescent="0.2">
      <c r="A6" s="362" t="s">
        <v>81</v>
      </c>
      <c r="B6" s="362" t="s">
        <v>82</v>
      </c>
      <c r="C6" s="363" t="s">
        <v>83</v>
      </c>
      <c r="D6" s="363" t="s">
        <v>84</v>
      </c>
      <c r="E6" s="349" t="s">
        <v>85</v>
      </c>
      <c r="F6" s="350"/>
      <c r="G6" s="349" t="s">
        <v>86</v>
      </c>
      <c r="H6" s="350"/>
    </row>
    <row r="7" spans="1:9" ht="36.75" customHeight="1" x14ac:dyDescent="0.2">
      <c r="A7" s="362"/>
      <c r="B7" s="362"/>
      <c r="C7" s="363"/>
      <c r="D7" s="363"/>
      <c r="E7" s="233" t="s">
        <v>87</v>
      </c>
      <c r="F7" s="233" t="s">
        <v>88</v>
      </c>
      <c r="G7" s="233" t="s">
        <v>87</v>
      </c>
      <c r="H7" s="233" t="s">
        <v>88</v>
      </c>
    </row>
    <row r="8" spans="1:9" ht="25.5" x14ac:dyDescent="0.2">
      <c r="A8" s="234" t="s">
        <v>89</v>
      </c>
      <c r="B8" s="235" t="s">
        <v>90</v>
      </c>
      <c r="C8" s="236"/>
      <c r="D8" s="237"/>
      <c r="E8" s="238"/>
      <c r="F8" s="238"/>
      <c r="G8" s="238"/>
      <c r="H8" s="238"/>
    </row>
    <row r="9" spans="1:9" ht="17.25" x14ac:dyDescent="0.2">
      <c r="A9" s="239">
        <v>1</v>
      </c>
      <c r="B9" s="351" t="s">
        <v>91</v>
      </c>
      <c r="C9" s="352"/>
      <c r="D9" s="353"/>
      <c r="E9" s="240"/>
      <c r="F9" s="240"/>
      <c r="G9" s="241"/>
      <c r="H9" s="242"/>
    </row>
    <row r="10" spans="1:9" ht="21.75" customHeight="1" x14ac:dyDescent="0.2">
      <c r="A10" s="243" t="s">
        <v>92</v>
      </c>
      <c r="B10" s="241" t="s">
        <v>93</v>
      </c>
      <c r="C10" s="244" t="s">
        <v>94</v>
      </c>
      <c r="D10" s="245">
        <v>110</v>
      </c>
      <c r="E10" s="241">
        <f>42450+3328</f>
        <v>45778</v>
      </c>
      <c r="F10" s="240">
        <f>D10*E10/10^5</f>
        <v>50.355800000000002</v>
      </c>
      <c r="G10" s="241">
        <f>102542+7480</f>
        <v>110022</v>
      </c>
      <c r="H10" s="246">
        <f>D10*G10/10^5</f>
        <v>121.02419999999999</v>
      </c>
      <c r="I10" s="354" t="s">
        <v>95</v>
      </c>
    </row>
    <row r="11" spans="1:9" ht="16.5" x14ac:dyDescent="0.2">
      <c r="A11" s="243" t="s">
        <v>96</v>
      </c>
      <c r="B11" s="241" t="s">
        <v>97</v>
      </c>
      <c r="C11" s="244" t="s">
        <v>94</v>
      </c>
      <c r="D11" s="245">
        <v>400</v>
      </c>
      <c r="E11" s="241">
        <v>3000</v>
      </c>
      <c r="F11" s="240">
        <f t="shared" ref="F11:F26" si="0">D11*E11/10^5</f>
        <v>12</v>
      </c>
      <c r="G11" s="247">
        <v>4413</v>
      </c>
      <c r="H11" s="246">
        <f t="shared" ref="H11:H26" si="1">D11*G11/10^5</f>
        <v>17.652000000000001</v>
      </c>
      <c r="I11" s="354"/>
    </row>
    <row r="12" spans="1:9" ht="16.5" x14ac:dyDescent="0.2">
      <c r="A12" s="243" t="s">
        <v>98</v>
      </c>
      <c r="B12" s="241" t="s">
        <v>99</v>
      </c>
      <c r="C12" s="248" t="s">
        <v>100</v>
      </c>
      <c r="D12" s="245">
        <v>20000</v>
      </c>
      <c r="E12" s="241">
        <v>507</v>
      </c>
      <c r="F12" s="240">
        <f t="shared" si="0"/>
        <v>101.4</v>
      </c>
      <c r="G12" s="247">
        <v>346</v>
      </c>
      <c r="H12" s="246">
        <f t="shared" si="1"/>
        <v>69.2</v>
      </c>
      <c r="I12" s="354"/>
    </row>
    <row r="13" spans="1:9" ht="16.5" x14ac:dyDescent="0.2">
      <c r="A13" s="243" t="s">
        <v>101</v>
      </c>
      <c r="B13" s="241" t="s">
        <v>102</v>
      </c>
      <c r="C13" s="248" t="s">
        <v>94</v>
      </c>
      <c r="D13" s="245">
        <v>46</v>
      </c>
      <c r="E13" s="241">
        <v>176485</v>
      </c>
      <c r="F13" s="240">
        <f t="shared" si="0"/>
        <v>81.183099999999996</v>
      </c>
      <c r="G13" s="241">
        <v>150000</v>
      </c>
      <c r="H13" s="246">
        <f t="shared" si="1"/>
        <v>69</v>
      </c>
      <c r="I13" s="354"/>
    </row>
    <row r="14" spans="1:9" ht="16.5" x14ac:dyDescent="0.2">
      <c r="A14" s="243" t="s">
        <v>103</v>
      </c>
      <c r="B14" s="241" t="s">
        <v>104</v>
      </c>
      <c r="C14" s="248" t="s">
        <v>94</v>
      </c>
      <c r="D14" s="245">
        <v>190</v>
      </c>
      <c r="E14" s="241">
        <v>3866</v>
      </c>
      <c r="F14" s="240">
        <f t="shared" si="0"/>
        <v>7.3453999999999997</v>
      </c>
      <c r="G14" s="247">
        <v>4610</v>
      </c>
      <c r="H14" s="246">
        <f t="shared" si="1"/>
        <v>8.7590000000000003</v>
      </c>
      <c r="I14" s="354"/>
    </row>
    <row r="15" spans="1:9" ht="16.5" x14ac:dyDescent="0.2">
      <c r="A15" s="243" t="s">
        <v>105</v>
      </c>
      <c r="B15" s="241" t="s">
        <v>106</v>
      </c>
      <c r="C15" s="248" t="s">
        <v>94</v>
      </c>
      <c r="D15" s="245">
        <v>190</v>
      </c>
      <c r="E15" s="241">
        <v>5315</v>
      </c>
      <c r="F15" s="240">
        <f t="shared" si="0"/>
        <v>10.0985</v>
      </c>
      <c r="G15" s="247">
        <v>5487</v>
      </c>
      <c r="H15" s="246">
        <f t="shared" si="1"/>
        <v>10.4253</v>
      </c>
      <c r="I15" s="354"/>
    </row>
    <row r="16" spans="1:9" ht="16.5" x14ac:dyDescent="0.2">
      <c r="A16" s="243" t="s">
        <v>107</v>
      </c>
      <c r="B16" s="241" t="s">
        <v>108</v>
      </c>
      <c r="C16" s="248" t="s">
        <v>94</v>
      </c>
      <c r="D16" s="245">
        <v>60</v>
      </c>
      <c r="E16" s="241">
        <v>3994</v>
      </c>
      <c r="F16" s="240">
        <f t="shared" si="0"/>
        <v>2.3963999999999999</v>
      </c>
      <c r="G16" s="247">
        <v>3432</v>
      </c>
      <c r="H16" s="246">
        <f t="shared" si="1"/>
        <v>2.0592000000000001</v>
      </c>
      <c r="I16" s="354"/>
    </row>
    <row r="17" spans="1:11" ht="16.5" x14ac:dyDescent="0.2">
      <c r="A17" s="243" t="s">
        <v>109</v>
      </c>
      <c r="B17" s="241" t="s">
        <v>110</v>
      </c>
      <c r="C17" s="248" t="s">
        <v>94</v>
      </c>
      <c r="D17" s="245">
        <v>60</v>
      </c>
      <c r="E17" s="241">
        <v>3994</v>
      </c>
      <c r="F17" s="240">
        <f t="shared" si="0"/>
        <v>2.3963999999999999</v>
      </c>
      <c r="G17" s="247">
        <v>2941</v>
      </c>
      <c r="H17" s="246">
        <f t="shared" si="1"/>
        <v>1.7645999999999999</v>
      </c>
      <c r="I17" s="354"/>
    </row>
    <row r="18" spans="1:11" ht="16.5" x14ac:dyDescent="0.2">
      <c r="A18" s="243" t="s">
        <v>105</v>
      </c>
      <c r="B18" s="249" t="s">
        <v>111</v>
      </c>
      <c r="C18" s="248" t="s">
        <v>94</v>
      </c>
      <c r="D18" s="245">
        <v>60</v>
      </c>
      <c r="E18" s="241">
        <v>3996</v>
      </c>
      <c r="F18" s="240">
        <f t="shared" si="0"/>
        <v>2.3976000000000002</v>
      </c>
      <c r="G18" s="247">
        <v>3432</v>
      </c>
      <c r="H18" s="246">
        <f t="shared" si="1"/>
        <v>2.0592000000000001</v>
      </c>
      <c r="I18" s="354"/>
    </row>
    <row r="19" spans="1:11" ht="16.5" x14ac:dyDescent="0.2">
      <c r="A19" s="243" t="s">
        <v>112</v>
      </c>
      <c r="B19" s="241" t="s">
        <v>113</v>
      </c>
      <c r="C19" s="248" t="s">
        <v>94</v>
      </c>
      <c r="D19" s="245">
        <v>46</v>
      </c>
      <c r="E19" s="241">
        <v>254675</v>
      </c>
      <c r="F19" s="240">
        <f t="shared" si="0"/>
        <v>117.15049999999999</v>
      </c>
      <c r="G19" s="240">
        <v>350419</v>
      </c>
      <c r="H19" s="246">
        <f t="shared" si="1"/>
        <v>161.19273999999999</v>
      </c>
      <c r="I19" s="354"/>
    </row>
    <row r="20" spans="1:11" ht="16.5" x14ac:dyDescent="0.2">
      <c r="A20" s="243" t="s">
        <v>114</v>
      </c>
      <c r="B20" s="241" t="s">
        <v>115</v>
      </c>
      <c r="C20" s="248" t="s">
        <v>94</v>
      </c>
      <c r="D20" s="245">
        <v>3</v>
      </c>
      <c r="E20" s="241">
        <v>124932</v>
      </c>
      <c r="F20" s="240">
        <f t="shared" si="0"/>
        <v>3.74796</v>
      </c>
      <c r="G20" s="247">
        <v>218559</v>
      </c>
      <c r="H20" s="246">
        <f t="shared" si="1"/>
        <v>6.5567700000000002</v>
      </c>
      <c r="I20" s="354"/>
    </row>
    <row r="21" spans="1:11" ht="16.5" x14ac:dyDescent="0.2">
      <c r="A21" s="243" t="s">
        <v>116</v>
      </c>
      <c r="B21" s="249" t="s">
        <v>117</v>
      </c>
      <c r="C21" s="248" t="s">
        <v>94</v>
      </c>
      <c r="D21" s="245">
        <v>1</v>
      </c>
      <c r="E21" s="241">
        <v>172900</v>
      </c>
      <c r="F21" s="240">
        <f t="shared" si="0"/>
        <v>1.7290000000000001</v>
      </c>
      <c r="G21" s="247">
        <v>282080</v>
      </c>
      <c r="H21" s="246">
        <f t="shared" si="1"/>
        <v>2.8208000000000002</v>
      </c>
      <c r="I21" s="354"/>
    </row>
    <row r="22" spans="1:11" ht="16.5" x14ac:dyDescent="0.2">
      <c r="A22" s="243" t="s">
        <v>118</v>
      </c>
      <c r="B22" s="249" t="s">
        <v>119</v>
      </c>
      <c r="C22" s="248" t="s">
        <v>94</v>
      </c>
      <c r="D22" s="245">
        <v>1</v>
      </c>
      <c r="E22" s="241">
        <v>78500</v>
      </c>
      <c r="F22" s="240">
        <f t="shared" si="0"/>
        <v>0.78500000000000003</v>
      </c>
      <c r="G22" s="247">
        <v>310288</v>
      </c>
      <c r="H22" s="246">
        <f t="shared" si="1"/>
        <v>3.1028799999999999</v>
      </c>
      <c r="I22" s="354"/>
    </row>
    <row r="23" spans="1:11" ht="16.5" x14ac:dyDescent="0.2">
      <c r="A23" s="243" t="s">
        <v>120</v>
      </c>
      <c r="B23" s="241" t="s">
        <v>121</v>
      </c>
      <c r="C23" s="248" t="s">
        <v>100</v>
      </c>
      <c r="D23" s="245">
        <v>2500</v>
      </c>
      <c r="E23" s="241">
        <v>92</v>
      </c>
      <c r="F23" s="240">
        <f t="shared" si="0"/>
        <v>2.2999999999999998</v>
      </c>
      <c r="G23" s="247">
        <v>108</v>
      </c>
      <c r="H23" s="246">
        <f t="shared" si="1"/>
        <v>2.7</v>
      </c>
      <c r="I23" s="354"/>
    </row>
    <row r="24" spans="1:11" ht="16.5" x14ac:dyDescent="0.2">
      <c r="A24" s="243" t="s">
        <v>122</v>
      </c>
      <c r="B24" s="241" t="s">
        <v>123</v>
      </c>
      <c r="C24" s="248" t="s">
        <v>100</v>
      </c>
      <c r="D24" s="245">
        <v>1000</v>
      </c>
      <c r="E24" s="241">
        <v>35</v>
      </c>
      <c r="F24" s="240">
        <f t="shared" si="0"/>
        <v>0.35</v>
      </c>
      <c r="G24" s="247">
        <v>83</v>
      </c>
      <c r="H24" s="246">
        <f t="shared" si="1"/>
        <v>0.83</v>
      </c>
      <c r="I24" s="354"/>
    </row>
    <row r="25" spans="1:11" ht="16.5" x14ac:dyDescent="0.2">
      <c r="A25" s="243" t="s">
        <v>124</v>
      </c>
      <c r="B25" s="241" t="s">
        <v>125</v>
      </c>
      <c r="C25" s="248" t="s">
        <v>94</v>
      </c>
      <c r="D25" s="245">
        <v>4</v>
      </c>
      <c r="E25" s="250">
        <v>6000</v>
      </c>
      <c r="F25" s="240">
        <f t="shared" si="0"/>
        <v>0.24</v>
      </c>
      <c r="G25" s="247">
        <v>17600</v>
      </c>
      <c r="H25" s="246">
        <f t="shared" si="1"/>
        <v>0.70399999999999996</v>
      </c>
      <c r="I25" s="354"/>
    </row>
    <row r="26" spans="1:11" ht="16.5" x14ac:dyDescent="0.3">
      <c r="A26" s="243" t="s">
        <v>126</v>
      </c>
      <c r="B26" s="241" t="s">
        <v>127</v>
      </c>
      <c r="C26" s="248" t="s">
        <v>94</v>
      </c>
      <c r="D26" s="245">
        <v>4</v>
      </c>
      <c r="E26" s="251">
        <v>10000</v>
      </c>
      <c r="F26" s="240">
        <f t="shared" si="0"/>
        <v>0.4</v>
      </c>
      <c r="G26" s="247">
        <v>27500</v>
      </c>
      <c r="H26" s="246">
        <f t="shared" si="1"/>
        <v>1.1000000000000001</v>
      </c>
      <c r="I26" s="354"/>
    </row>
    <row r="27" spans="1:11" ht="16.5" x14ac:dyDescent="0.25">
      <c r="A27" s="243"/>
      <c r="B27" s="355" t="s">
        <v>128</v>
      </c>
      <c r="C27" s="356"/>
      <c r="D27" s="357"/>
      <c r="E27" s="252"/>
      <c r="F27" s="253">
        <f>SUM(F10:F26)*[1]Escalation!E9</f>
        <v>425.31190863921842</v>
      </c>
      <c r="G27" s="252"/>
      <c r="H27" s="254">
        <f>SUM(H10:H26)</f>
        <v>480.95069000000001</v>
      </c>
      <c r="I27" s="354"/>
      <c r="J27" s="229">
        <f>F27+F42</f>
        <v>524.39645853454294</v>
      </c>
      <c r="K27" s="229">
        <f>[1]BOQ_R1!F27+[1]BOQ_R1!F42</f>
        <v>488.59566000000001</v>
      </c>
    </row>
    <row r="28" spans="1:11" ht="34.5" customHeight="1" x14ac:dyDescent="0.2">
      <c r="A28" s="255">
        <v>2</v>
      </c>
      <c r="B28" s="256" t="s">
        <v>129</v>
      </c>
      <c r="C28" s="256"/>
      <c r="D28" s="256"/>
      <c r="E28" s="257"/>
      <c r="F28" s="257"/>
      <c r="G28" s="241"/>
      <c r="I28" s="229">
        <f>F27*0.95</f>
        <v>404.04631320725747</v>
      </c>
      <c r="J28" s="229">
        <f>J27-K27</f>
        <v>35.800798534542935</v>
      </c>
      <c r="K28" s="229">
        <f>J28*0.95</f>
        <v>34.010758607815788</v>
      </c>
    </row>
    <row r="29" spans="1:11" ht="35.25" customHeight="1" x14ac:dyDescent="0.2">
      <c r="A29" s="358" t="s">
        <v>81</v>
      </c>
      <c r="B29" s="358" t="s">
        <v>82</v>
      </c>
      <c r="C29" s="360" t="s">
        <v>83</v>
      </c>
      <c r="D29" s="360" t="s">
        <v>84</v>
      </c>
      <c r="E29" s="349" t="s">
        <v>85</v>
      </c>
      <c r="F29" s="350"/>
      <c r="G29" s="349" t="s">
        <v>86</v>
      </c>
      <c r="H29" s="350"/>
      <c r="K29" s="229">
        <f>K28+I52</f>
        <v>36.987356367815785</v>
      </c>
    </row>
    <row r="30" spans="1:11" ht="33.75" customHeight="1" x14ac:dyDescent="0.2">
      <c r="A30" s="359"/>
      <c r="B30" s="359"/>
      <c r="C30" s="361"/>
      <c r="D30" s="361"/>
      <c r="E30" s="233" t="s">
        <v>87</v>
      </c>
      <c r="F30" s="233" t="s">
        <v>88</v>
      </c>
      <c r="G30" s="233" t="s">
        <v>87</v>
      </c>
      <c r="H30" s="233" t="s">
        <v>88</v>
      </c>
    </row>
    <row r="31" spans="1:11" ht="32.25" customHeight="1" x14ac:dyDescent="0.2">
      <c r="A31" s="243" t="s">
        <v>130</v>
      </c>
      <c r="B31" s="241" t="s">
        <v>131</v>
      </c>
      <c r="C31" s="248" t="s">
        <v>94</v>
      </c>
      <c r="D31" s="245">
        <v>120</v>
      </c>
      <c r="E31" s="241">
        <v>41000</v>
      </c>
      <c r="F31" s="241">
        <f>D31*E31/10^5</f>
        <v>49.2</v>
      </c>
      <c r="G31" s="241">
        <v>64000</v>
      </c>
      <c r="H31" s="246">
        <f>D31*G31/10^5</f>
        <v>76.8</v>
      </c>
      <c r="I31" s="354" t="s">
        <v>95</v>
      </c>
    </row>
    <row r="32" spans="1:11" ht="17.25" customHeight="1" x14ac:dyDescent="0.3">
      <c r="A32" s="243" t="s">
        <v>132</v>
      </c>
      <c r="B32" s="241" t="s">
        <v>133</v>
      </c>
      <c r="C32" s="248" t="s">
        <v>94</v>
      </c>
      <c r="D32" s="245">
        <v>1</v>
      </c>
      <c r="E32" s="258">
        <f>624000+640000</f>
        <v>1264000</v>
      </c>
      <c r="F32" s="241">
        <f t="shared" ref="F32:F41" si="2">D32*E32/10^5</f>
        <v>12.64</v>
      </c>
      <c r="G32" s="241">
        <v>1464320</v>
      </c>
      <c r="H32" s="246">
        <f t="shared" ref="H32:H41" si="3">D32*G32/10^5</f>
        <v>14.6432</v>
      </c>
      <c r="I32" s="354"/>
    </row>
    <row r="33" spans="1:9" ht="16.5" x14ac:dyDescent="0.3">
      <c r="A33" s="243" t="s">
        <v>134</v>
      </c>
      <c r="B33" s="241" t="s">
        <v>135</v>
      </c>
      <c r="C33" s="248" t="s">
        <v>136</v>
      </c>
      <c r="D33" s="245">
        <v>1</v>
      </c>
      <c r="E33" s="258">
        <v>950000</v>
      </c>
      <c r="F33" s="241">
        <f t="shared" si="2"/>
        <v>9.5</v>
      </c>
      <c r="G33" s="241">
        <v>691505</v>
      </c>
      <c r="H33" s="246">
        <f t="shared" si="3"/>
        <v>6.9150499999999999</v>
      </c>
      <c r="I33" s="354"/>
    </row>
    <row r="34" spans="1:9" ht="16.5" x14ac:dyDescent="0.3">
      <c r="A34" s="243" t="s">
        <v>137</v>
      </c>
      <c r="B34" s="241" t="s">
        <v>138</v>
      </c>
      <c r="C34" s="248" t="s">
        <v>94</v>
      </c>
      <c r="D34" s="245">
        <v>2</v>
      </c>
      <c r="E34" s="258">
        <v>78000</v>
      </c>
      <c r="F34" s="241">
        <f t="shared" si="2"/>
        <v>1.56</v>
      </c>
      <c r="G34" s="241">
        <v>120000</v>
      </c>
      <c r="H34" s="246">
        <f t="shared" si="3"/>
        <v>2.4</v>
      </c>
      <c r="I34" s="354"/>
    </row>
    <row r="35" spans="1:9" ht="16.5" x14ac:dyDescent="0.3">
      <c r="A35" s="243" t="s">
        <v>139</v>
      </c>
      <c r="B35" s="241" t="s">
        <v>140</v>
      </c>
      <c r="C35" s="248" t="s">
        <v>94</v>
      </c>
      <c r="D35" s="245">
        <v>56</v>
      </c>
      <c r="E35" s="258">
        <v>18500</v>
      </c>
      <c r="F35" s="241">
        <f t="shared" si="2"/>
        <v>10.36</v>
      </c>
      <c r="G35" s="258">
        <v>18500</v>
      </c>
      <c r="H35" s="246">
        <f t="shared" si="3"/>
        <v>10.36</v>
      </c>
      <c r="I35" s="354"/>
    </row>
    <row r="36" spans="1:9" ht="16.5" x14ac:dyDescent="0.3">
      <c r="A36" s="243" t="s">
        <v>141</v>
      </c>
      <c r="B36" s="241" t="s">
        <v>142</v>
      </c>
      <c r="C36" s="248" t="s">
        <v>94</v>
      </c>
      <c r="D36" s="245">
        <v>2</v>
      </c>
      <c r="E36" s="258">
        <v>34500</v>
      </c>
      <c r="F36" s="241">
        <f t="shared" si="2"/>
        <v>0.69</v>
      </c>
      <c r="G36" s="258">
        <v>34500</v>
      </c>
      <c r="H36" s="246">
        <f t="shared" si="3"/>
        <v>0.69</v>
      </c>
      <c r="I36" s="354"/>
    </row>
    <row r="37" spans="1:9" ht="16.5" x14ac:dyDescent="0.3">
      <c r="A37" s="243" t="s">
        <v>143</v>
      </c>
      <c r="B37" s="241" t="s">
        <v>144</v>
      </c>
      <c r="C37" s="248" t="s">
        <v>94</v>
      </c>
      <c r="D37" s="245">
        <v>56</v>
      </c>
      <c r="E37" s="258">
        <v>8500</v>
      </c>
      <c r="F37" s="241">
        <f t="shared" si="2"/>
        <v>4.76</v>
      </c>
      <c r="G37" s="258">
        <v>8500</v>
      </c>
      <c r="H37" s="246">
        <f t="shared" si="3"/>
        <v>4.76</v>
      </c>
      <c r="I37" s="354"/>
    </row>
    <row r="38" spans="1:9" ht="16.5" x14ac:dyDescent="0.3">
      <c r="A38" s="243" t="s">
        <v>145</v>
      </c>
      <c r="B38" s="241" t="s">
        <v>146</v>
      </c>
      <c r="C38" s="248" t="s">
        <v>94</v>
      </c>
      <c r="D38" s="245">
        <v>1</v>
      </c>
      <c r="E38" s="258">
        <v>44500</v>
      </c>
      <c r="F38" s="241">
        <f t="shared" si="2"/>
        <v>0.44500000000000001</v>
      </c>
      <c r="G38" s="258">
        <v>44500</v>
      </c>
      <c r="H38" s="246">
        <f t="shared" si="3"/>
        <v>0.44500000000000001</v>
      </c>
      <c r="I38" s="354"/>
    </row>
    <row r="39" spans="1:9" ht="16.5" x14ac:dyDescent="0.3">
      <c r="A39" s="243" t="s">
        <v>147</v>
      </c>
      <c r="B39" s="241" t="s">
        <v>148</v>
      </c>
      <c r="C39" s="248" t="s">
        <v>94</v>
      </c>
      <c r="D39" s="245">
        <v>4</v>
      </c>
      <c r="E39" s="258">
        <v>55000</v>
      </c>
      <c r="F39" s="241">
        <f t="shared" si="2"/>
        <v>2.2000000000000002</v>
      </c>
      <c r="G39" s="258">
        <v>55000</v>
      </c>
      <c r="H39" s="246">
        <f t="shared" si="3"/>
        <v>2.2000000000000002</v>
      </c>
      <c r="I39" s="354"/>
    </row>
    <row r="40" spans="1:9" ht="16.5" x14ac:dyDescent="0.3">
      <c r="A40" s="243" t="s">
        <v>149</v>
      </c>
      <c r="B40" s="241" t="s">
        <v>150</v>
      </c>
      <c r="C40" s="248" t="s">
        <v>94</v>
      </c>
      <c r="D40" s="245">
        <v>1</v>
      </c>
      <c r="E40" s="258">
        <v>18500</v>
      </c>
      <c r="F40" s="241">
        <f t="shared" si="2"/>
        <v>0.185</v>
      </c>
      <c r="G40" s="258">
        <v>18500</v>
      </c>
      <c r="H40" s="246">
        <f t="shared" si="3"/>
        <v>0.185</v>
      </c>
      <c r="I40" s="354"/>
    </row>
    <row r="41" spans="1:9" ht="16.5" x14ac:dyDescent="0.3">
      <c r="A41" s="243" t="s">
        <v>151</v>
      </c>
      <c r="B41" s="241" t="s">
        <v>152</v>
      </c>
      <c r="C41" s="248" t="s">
        <v>100</v>
      </c>
      <c r="D41" s="245">
        <v>3000</v>
      </c>
      <c r="E41" s="258">
        <v>26</v>
      </c>
      <c r="F41" s="241">
        <f t="shared" si="2"/>
        <v>0.78</v>
      </c>
      <c r="G41" s="258">
        <v>26</v>
      </c>
      <c r="H41" s="246">
        <f t="shared" si="3"/>
        <v>0.78</v>
      </c>
      <c r="I41" s="354"/>
    </row>
    <row r="42" spans="1:9" ht="16.5" x14ac:dyDescent="0.2">
      <c r="A42" s="243"/>
      <c r="B42" s="355" t="s">
        <v>153</v>
      </c>
      <c r="C42" s="356"/>
      <c r="D42" s="357"/>
      <c r="E42" s="252"/>
      <c r="F42" s="253">
        <f>SUM(F31:F41)*[1]Escalation!E9</f>
        <v>99.0845498953245</v>
      </c>
      <c r="G42" s="252"/>
      <c r="H42" s="259">
        <f>SUM(H31:H41)</f>
        <v>120.17824999999999</v>
      </c>
      <c r="I42" s="354"/>
    </row>
    <row r="43" spans="1:9" ht="16.5" x14ac:dyDescent="0.2">
      <c r="A43" s="255">
        <v>3</v>
      </c>
      <c r="B43" s="256" t="s">
        <v>154</v>
      </c>
      <c r="C43" s="248"/>
      <c r="D43" s="260"/>
      <c r="E43" s="240"/>
      <c r="F43" s="240"/>
      <c r="G43" s="241"/>
      <c r="H43" s="229">
        <f>F42*0.95</f>
        <v>94.130322400558271</v>
      </c>
    </row>
    <row r="44" spans="1:9" ht="33" x14ac:dyDescent="0.2">
      <c r="A44" s="233" t="s">
        <v>81</v>
      </c>
      <c r="B44" s="233" t="s">
        <v>82</v>
      </c>
      <c r="C44" s="233" t="s">
        <v>83</v>
      </c>
      <c r="D44" s="233" t="s">
        <v>84</v>
      </c>
      <c r="E44" s="233" t="s">
        <v>155</v>
      </c>
      <c r="F44" s="233" t="s">
        <v>156</v>
      </c>
      <c r="G44" s="233" t="s">
        <v>157</v>
      </c>
    </row>
    <row r="45" spans="1:9" ht="63.75" customHeight="1" x14ac:dyDescent="0.2">
      <c r="A45" s="243" t="s">
        <v>158</v>
      </c>
      <c r="B45" s="261" t="s">
        <v>159</v>
      </c>
      <c r="C45" s="262" t="s">
        <v>160</v>
      </c>
      <c r="D45" s="263">
        <v>56</v>
      </c>
      <c r="E45" s="264">
        <v>28305.18</v>
      </c>
      <c r="F45" s="240">
        <f>D45*E45/10^5</f>
        <v>15.850900800000002</v>
      </c>
      <c r="G45" s="265" t="s">
        <v>161</v>
      </c>
    </row>
    <row r="46" spans="1:9" ht="36" customHeight="1" x14ac:dyDescent="0.2">
      <c r="A46" s="243" t="s">
        <v>162</v>
      </c>
      <c r="B46" s="261" t="s">
        <v>163</v>
      </c>
      <c r="C46" s="262" t="s">
        <v>160</v>
      </c>
      <c r="D46" s="263">
        <v>56</v>
      </c>
      <c r="E46" s="266">
        <v>1000</v>
      </c>
      <c r="F46" s="240">
        <f t="shared" ref="F46:F51" si="4">D46*E46/10^5</f>
        <v>0.56000000000000005</v>
      </c>
      <c r="G46" s="261" t="s">
        <v>164</v>
      </c>
    </row>
    <row r="47" spans="1:9" ht="82.5" x14ac:dyDescent="0.2">
      <c r="A47" s="243" t="s">
        <v>165</v>
      </c>
      <c r="B47" s="261" t="s">
        <v>166</v>
      </c>
      <c r="C47" s="262" t="s">
        <v>160</v>
      </c>
      <c r="D47" s="263">
        <v>1</v>
      </c>
      <c r="E47" s="264">
        <f>765000*1.032</f>
        <v>789480</v>
      </c>
      <c r="F47" s="240">
        <f t="shared" si="4"/>
        <v>7.8948</v>
      </c>
      <c r="G47" s="265" t="s">
        <v>167</v>
      </c>
    </row>
    <row r="48" spans="1:9" ht="68.25" customHeight="1" x14ac:dyDescent="0.2">
      <c r="A48" s="243" t="s">
        <v>168</v>
      </c>
      <c r="B48" s="261" t="s">
        <v>169</v>
      </c>
      <c r="C48" s="262" t="s">
        <v>170</v>
      </c>
      <c r="D48" s="263">
        <v>57</v>
      </c>
      <c r="E48" s="266">
        <v>1500</v>
      </c>
      <c r="F48" s="240">
        <f t="shared" si="4"/>
        <v>0.85499999999999998</v>
      </c>
      <c r="G48" s="261" t="s">
        <v>164</v>
      </c>
    </row>
    <row r="49" spans="1:11" ht="68.25" customHeight="1" x14ac:dyDescent="0.2">
      <c r="A49" s="243"/>
      <c r="B49" s="261" t="s">
        <v>171</v>
      </c>
      <c r="C49" s="262" t="s">
        <v>136</v>
      </c>
      <c r="D49" s="263">
        <v>1</v>
      </c>
      <c r="E49" s="266">
        <v>100000</v>
      </c>
      <c r="F49" s="240">
        <f t="shared" si="4"/>
        <v>1</v>
      </c>
      <c r="G49" s="261" t="s">
        <v>164</v>
      </c>
    </row>
    <row r="50" spans="1:11" ht="99" x14ac:dyDescent="0.2">
      <c r="A50" s="243" t="s">
        <v>172</v>
      </c>
      <c r="B50" s="261" t="s">
        <v>173</v>
      </c>
      <c r="C50" s="262" t="s">
        <v>170</v>
      </c>
      <c r="D50" s="263">
        <v>57</v>
      </c>
      <c r="E50" s="266">
        <v>1000</v>
      </c>
      <c r="F50" s="240">
        <f t="shared" si="4"/>
        <v>0.56999999999999995</v>
      </c>
      <c r="G50" s="261" t="s">
        <v>174</v>
      </c>
    </row>
    <row r="51" spans="1:11" ht="82.5" x14ac:dyDescent="0.2">
      <c r="A51" s="243" t="s">
        <v>175</v>
      </c>
      <c r="B51" s="261" t="s">
        <v>176</v>
      </c>
      <c r="C51" s="262" t="s">
        <v>136</v>
      </c>
      <c r="D51" s="263">
        <v>1</v>
      </c>
      <c r="E51" s="267">
        <v>839528</v>
      </c>
      <c r="F51" s="240">
        <f t="shared" si="4"/>
        <v>8.3952799999999996</v>
      </c>
      <c r="G51" s="265" t="s">
        <v>177</v>
      </c>
    </row>
    <row r="52" spans="1:11" ht="16.5" x14ac:dyDescent="0.2">
      <c r="A52" s="243"/>
      <c r="B52" s="365" t="s">
        <v>178</v>
      </c>
      <c r="C52" s="366"/>
      <c r="D52" s="366"/>
      <c r="E52" s="367"/>
      <c r="F52" s="268">
        <f>SUM(F45:F51)</f>
        <v>35.125980800000001</v>
      </c>
      <c r="G52" s="241">
        <f>[1]BOQ_R1!F52</f>
        <v>31.992720000000002</v>
      </c>
      <c r="H52" s="229">
        <f>F52-G52</f>
        <v>3.1332607999999986</v>
      </c>
      <c r="I52" s="229">
        <f>H52*0.95</f>
        <v>2.9765977599999984</v>
      </c>
    </row>
    <row r="53" spans="1:11" ht="16.5" x14ac:dyDescent="0.2">
      <c r="A53" s="243">
        <v>4</v>
      </c>
      <c r="B53" s="256" t="s">
        <v>179</v>
      </c>
      <c r="C53" s="248"/>
      <c r="D53" s="269"/>
      <c r="E53" s="240"/>
      <c r="F53" s="240"/>
      <c r="G53" s="241"/>
      <c r="H53" s="229">
        <f>F52*0.95</f>
        <v>33.369681759999999</v>
      </c>
    </row>
    <row r="54" spans="1:11" ht="16.5" x14ac:dyDescent="0.2">
      <c r="A54" s="243" t="s">
        <v>180</v>
      </c>
      <c r="B54" s="261" t="s">
        <v>181</v>
      </c>
      <c r="C54" s="248" t="s">
        <v>94</v>
      </c>
      <c r="D54" s="245">
        <v>2</v>
      </c>
      <c r="E54" s="240">
        <v>58000</v>
      </c>
      <c r="F54" s="240">
        <f>D54*E54/10^5</f>
        <v>1.1599999999999999</v>
      </c>
      <c r="G54" s="270" t="s">
        <v>182</v>
      </c>
    </row>
    <row r="55" spans="1:11" ht="16.5" x14ac:dyDescent="0.2">
      <c r="A55" s="243"/>
      <c r="B55" s="365" t="s">
        <v>183</v>
      </c>
      <c r="C55" s="366"/>
      <c r="D55" s="366"/>
      <c r="E55" s="367"/>
      <c r="F55" s="268">
        <f>SUM(F54)</f>
        <v>1.1599999999999999</v>
      </c>
      <c r="G55" s="241"/>
      <c r="H55" s="229">
        <f>F55*0.95</f>
        <v>1.1019999999999999</v>
      </c>
      <c r="I55" s="229">
        <f>F55*0.95</f>
        <v>1.1019999999999999</v>
      </c>
    </row>
    <row r="56" spans="1:11" ht="16.5" x14ac:dyDescent="0.2">
      <c r="A56" s="243"/>
      <c r="B56" s="252"/>
      <c r="C56" s="252"/>
      <c r="D56" s="252"/>
      <c r="E56" s="252"/>
      <c r="F56" s="268"/>
      <c r="G56" s="241"/>
    </row>
    <row r="57" spans="1:11" ht="16.5" x14ac:dyDescent="0.2">
      <c r="A57" s="243"/>
      <c r="B57" s="368" t="s">
        <v>184</v>
      </c>
      <c r="C57" s="369"/>
      <c r="D57" s="369"/>
      <c r="E57" s="370"/>
      <c r="F57" s="271">
        <f>(F27+F42+F52+F55)*0.95</f>
        <v>532.64831736781571</v>
      </c>
      <c r="G57" s="241"/>
    </row>
    <row r="58" spans="1:11" ht="16.5" x14ac:dyDescent="0.2">
      <c r="A58" s="241"/>
      <c r="B58" s="249"/>
      <c r="C58" s="272"/>
      <c r="D58" s="272"/>
      <c r="E58" s="273"/>
      <c r="F58" s="273"/>
      <c r="G58" s="249"/>
    </row>
    <row r="59" spans="1:11" ht="33" x14ac:dyDescent="0.2">
      <c r="A59" s="233"/>
      <c r="B59" s="274" t="s">
        <v>185</v>
      </c>
      <c r="C59" s="275" t="s">
        <v>83</v>
      </c>
      <c r="D59" s="276" t="s">
        <v>186</v>
      </c>
      <c r="E59" s="276" t="s">
        <v>187</v>
      </c>
      <c r="F59" s="233"/>
      <c r="G59" s="276"/>
    </row>
    <row r="60" spans="1:11" ht="16.5" x14ac:dyDescent="0.2">
      <c r="A60" s="277" t="s">
        <v>188</v>
      </c>
      <c r="B60" s="278" t="s">
        <v>189</v>
      </c>
      <c r="C60" s="279"/>
      <c r="D60" s="280"/>
      <c r="E60" s="280"/>
      <c r="F60" s="238"/>
      <c r="G60" s="280"/>
    </row>
    <row r="61" spans="1:11" ht="42.75" x14ac:dyDescent="0.2">
      <c r="A61" s="277"/>
      <c r="B61" s="281" t="s">
        <v>190</v>
      </c>
      <c r="C61" s="282" t="s">
        <v>191</v>
      </c>
      <c r="D61" s="283">
        <v>10</v>
      </c>
      <c r="E61" s="283">
        <f>6000*0+8000</f>
        <v>8000</v>
      </c>
      <c r="F61" s="284">
        <f>D61*E61/10^5</f>
        <v>0.8</v>
      </c>
      <c r="G61" s="283" t="s">
        <v>192</v>
      </c>
      <c r="H61" s="229">
        <f>[1]BOQ_R1!F62</f>
        <v>0.6</v>
      </c>
      <c r="I61" s="229">
        <f>F62-H61</f>
        <v>0.20000000000000007</v>
      </c>
    </row>
    <row r="62" spans="1:11" ht="16.5" x14ac:dyDescent="0.2">
      <c r="A62" s="285"/>
      <c r="B62" s="371" t="s">
        <v>193</v>
      </c>
      <c r="C62" s="371"/>
      <c r="D62" s="371"/>
      <c r="E62" s="371"/>
      <c r="F62" s="286">
        <f>SUM(F61)</f>
        <v>0.8</v>
      </c>
      <c r="G62" s="287"/>
    </row>
    <row r="63" spans="1:11" ht="16.5" x14ac:dyDescent="0.2">
      <c r="A63" s="288"/>
      <c r="B63" s="289"/>
      <c r="C63" s="272"/>
      <c r="D63" s="272"/>
      <c r="E63" s="273"/>
      <c r="F63" s="273"/>
      <c r="G63" s="249"/>
      <c r="I63" s="229" t="s">
        <v>194</v>
      </c>
      <c r="K63" s="229">
        <f>H52+J28</f>
        <v>38.934059334542937</v>
      </c>
    </row>
    <row r="64" spans="1:11" ht="33" x14ac:dyDescent="0.2">
      <c r="A64" s="233"/>
      <c r="B64" s="274" t="s">
        <v>195</v>
      </c>
      <c r="C64" s="275" t="s">
        <v>83</v>
      </c>
      <c r="D64" s="276" t="s">
        <v>84</v>
      </c>
      <c r="E64" s="276" t="s">
        <v>187</v>
      </c>
      <c r="F64" s="233" t="s">
        <v>196</v>
      </c>
      <c r="G64" s="233" t="s">
        <v>197</v>
      </c>
      <c r="K64" s="229">
        <f>K63*0.95</f>
        <v>36.987356367815785</v>
      </c>
    </row>
    <row r="65" spans="1:7" ht="16.5" x14ac:dyDescent="0.2">
      <c r="A65" s="277" t="s">
        <v>198</v>
      </c>
      <c r="B65" s="278" t="s">
        <v>199</v>
      </c>
      <c r="C65" s="279"/>
      <c r="D65" s="280"/>
      <c r="E65" s="280"/>
      <c r="F65" s="238"/>
      <c r="G65" s="280"/>
    </row>
    <row r="66" spans="1:7" ht="16.5" x14ac:dyDescent="0.3">
      <c r="A66" s="255">
        <v>1</v>
      </c>
      <c r="B66" s="256" t="s">
        <v>200</v>
      </c>
      <c r="C66" s="262"/>
      <c r="D66" s="290"/>
      <c r="E66" s="291"/>
      <c r="F66" s="292"/>
      <c r="G66" s="293"/>
    </row>
    <row r="67" spans="1:7" ht="16.5" x14ac:dyDescent="0.3">
      <c r="A67" s="243"/>
      <c r="B67" s="294" t="s">
        <v>201</v>
      </c>
      <c r="C67" s="295" t="s">
        <v>202</v>
      </c>
      <c r="D67" s="295">
        <f>(2*(5+2)*5+ 2*(5+5)*5+5*2+5*5)*0.25</f>
        <v>51.25</v>
      </c>
      <c r="E67" s="294">
        <f>478/1.15</f>
        <v>415.6521739130435</v>
      </c>
      <c r="F67" s="293">
        <f>(D67*E67)/10^5</f>
        <v>0.21302173913043479</v>
      </c>
      <c r="G67" s="296" t="s">
        <v>203</v>
      </c>
    </row>
    <row r="68" spans="1:7" ht="66" x14ac:dyDescent="0.2">
      <c r="A68" s="243"/>
      <c r="B68" s="294" t="s">
        <v>204</v>
      </c>
      <c r="C68" s="295" t="s">
        <v>202</v>
      </c>
      <c r="D68" s="295">
        <f>(2*(5+2)*5+ 2*(5+5)*5+5*2+5*5)</f>
        <v>205</v>
      </c>
      <c r="E68" s="294">
        <f>(16.35+116.05+123.85)/1.15</f>
        <v>222.82608695652175</v>
      </c>
      <c r="F68" s="293">
        <f t="shared" ref="F68:F73" si="5">(D68*E68)/10^5</f>
        <v>0.45679347826086958</v>
      </c>
      <c r="G68" s="297" t="s">
        <v>205</v>
      </c>
    </row>
    <row r="69" spans="1:7" ht="66" x14ac:dyDescent="0.2">
      <c r="A69" s="243"/>
      <c r="B69" s="294" t="s">
        <v>206</v>
      </c>
      <c r="C69" s="295" t="s">
        <v>202</v>
      </c>
      <c r="D69" s="295">
        <f>(1.5*1.2)*4</f>
        <v>7.1999999999999993</v>
      </c>
      <c r="E69" s="294">
        <f>(46.5+4*466.3+8*564.8+1325.55)/1.15</f>
        <v>6744.04347826087</v>
      </c>
      <c r="F69" s="293">
        <f t="shared" si="5"/>
        <v>0.48557113043478262</v>
      </c>
      <c r="G69" s="297" t="s">
        <v>207</v>
      </c>
    </row>
    <row r="70" spans="1:7" ht="49.5" x14ac:dyDescent="0.2">
      <c r="A70" s="243"/>
      <c r="B70" s="294" t="s">
        <v>208</v>
      </c>
      <c r="C70" s="295" t="s">
        <v>202</v>
      </c>
      <c r="D70" s="295">
        <f>(2*5+5*5)*0.25</f>
        <v>8.75</v>
      </c>
      <c r="E70" s="294">
        <f>(2.85+545)/1.15</f>
        <v>476.39130434782612</v>
      </c>
      <c r="F70" s="293">
        <f t="shared" si="5"/>
        <v>4.1684239130434786E-2</v>
      </c>
      <c r="G70" s="297" t="s">
        <v>209</v>
      </c>
    </row>
    <row r="71" spans="1:7" ht="247.5" x14ac:dyDescent="0.2">
      <c r="A71" s="243"/>
      <c r="B71" s="294" t="s">
        <v>210</v>
      </c>
      <c r="C71" s="295" t="s">
        <v>202</v>
      </c>
      <c r="D71" s="295">
        <f>5*5</f>
        <v>25</v>
      </c>
      <c r="E71" s="294">
        <f>600+300</f>
        <v>900</v>
      </c>
      <c r="F71" s="293">
        <f t="shared" si="5"/>
        <v>0.22500000000000001</v>
      </c>
      <c r="G71" s="298" t="s">
        <v>211</v>
      </c>
    </row>
    <row r="72" spans="1:7" ht="16.5" x14ac:dyDescent="0.3">
      <c r="A72" s="243"/>
      <c r="B72" s="294" t="s">
        <v>212</v>
      </c>
      <c r="C72" s="295" t="s">
        <v>202</v>
      </c>
      <c r="D72" s="295">
        <f>2*1.2</f>
        <v>2.4</v>
      </c>
      <c r="E72" s="294">
        <f>1046.95/1.15</f>
        <v>910.39130434782624</v>
      </c>
      <c r="F72" s="293">
        <f t="shared" si="5"/>
        <v>2.1849391304347827E-2</v>
      </c>
      <c r="G72" s="299">
        <v>14.4</v>
      </c>
    </row>
    <row r="73" spans="1:7" ht="49.5" x14ac:dyDescent="0.2">
      <c r="A73" s="243"/>
      <c r="B73" s="294" t="s">
        <v>213</v>
      </c>
      <c r="C73" s="295" t="s">
        <v>202</v>
      </c>
      <c r="D73" s="295">
        <f>5*5</f>
        <v>25</v>
      </c>
      <c r="E73" s="294">
        <f>1145.95/1.15</f>
        <v>996.47826086956536</v>
      </c>
      <c r="F73" s="293">
        <f t="shared" si="5"/>
        <v>0.24911956521739134</v>
      </c>
      <c r="G73" s="297" t="s">
        <v>214</v>
      </c>
    </row>
    <row r="74" spans="1:7" ht="16.5" x14ac:dyDescent="0.2">
      <c r="A74" s="300"/>
      <c r="B74" s="364" t="s">
        <v>215</v>
      </c>
      <c r="C74" s="364"/>
      <c r="D74" s="364"/>
      <c r="E74" s="364"/>
      <c r="F74" s="287">
        <f>SUM(F67:F73)</f>
        <v>1.6930395434782612</v>
      </c>
      <c r="G74" s="287"/>
    </row>
  </sheetData>
  <mergeCells count="27">
    <mergeCell ref="B74:E74"/>
    <mergeCell ref="I31:I42"/>
    <mergeCell ref="B42:D42"/>
    <mergeCell ref="B52:E52"/>
    <mergeCell ref="B55:E55"/>
    <mergeCell ref="B57:E57"/>
    <mergeCell ref="B62:E62"/>
    <mergeCell ref="G6:H6"/>
    <mergeCell ref="B9:D9"/>
    <mergeCell ref="I10:I27"/>
    <mergeCell ref="B27:D27"/>
    <mergeCell ref="A29:A30"/>
    <mergeCell ref="B29:B30"/>
    <mergeCell ref="C29:C30"/>
    <mergeCell ref="D29:D30"/>
    <mergeCell ref="E29:F29"/>
    <mergeCell ref="G29:H29"/>
    <mergeCell ref="A6:A7"/>
    <mergeCell ref="B6:B7"/>
    <mergeCell ref="C6:C7"/>
    <mergeCell ref="D6:D7"/>
    <mergeCell ref="E6:F6"/>
    <mergeCell ref="A1:G1"/>
    <mergeCell ref="A2:G2"/>
    <mergeCell ref="A3:G3"/>
    <mergeCell ref="A4:G4"/>
    <mergeCell ref="E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132"/>
  <sheetViews>
    <sheetView showZeros="0" topLeftCell="A43" workbookViewId="0">
      <selection activeCell="D56" sqref="D56"/>
    </sheetView>
  </sheetViews>
  <sheetFormatPr defaultRowHeight="15" x14ac:dyDescent="0.25"/>
  <cols>
    <col min="1" max="1" width="6.44140625" style="5" customWidth="1"/>
    <col min="2" max="2" width="43.33203125" style="5" customWidth="1"/>
    <col min="3" max="3" width="11.109375" style="5" customWidth="1"/>
    <col min="4" max="4" width="13.109375" style="5" customWidth="1"/>
    <col min="5" max="5" width="13.88671875" style="5" customWidth="1"/>
    <col min="6" max="6" width="12.44140625" style="5" customWidth="1"/>
    <col min="7" max="7" width="13" style="5" customWidth="1"/>
    <col min="8" max="8" width="11" style="5" customWidth="1"/>
    <col min="9" max="9" width="9.88671875" style="5" customWidth="1"/>
    <col min="10" max="10" width="11.109375" style="5" customWidth="1"/>
    <col min="11" max="11" width="9.44140625" style="5" customWidth="1"/>
    <col min="12" max="12" width="9.5546875" style="5" customWidth="1"/>
    <col min="13" max="13" width="10.77734375" style="5" customWidth="1"/>
    <col min="14" max="14" width="6.5546875" style="5" customWidth="1"/>
    <col min="15" max="15" width="7.5546875" style="5" customWidth="1"/>
    <col min="16" max="16" width="10.109375" style="5" customWidth="1"/>
    <col min="17" max="17" width="9.44140625" style="5" customWidth="1"/>
    <col min="18" max="18" width="11" style="5" customWidth="1"/>
    <col min="19" max="19" width="14" style="5" customWidth="1"/>
    <col min="20" max="20" width="9.88671875" style="5" customWidth="1"/>
    <col min="21" max="24" width="8.88671875" style="5"/>
    <col min="25" max="25" width="15" style="5" customWidth="1"/>
    <col min="26" max="26" width="6.44140625" style="5" customWidth="1"/>
    <col min="27" max="27" width="5.6640625" style="5" customWidth="1"/>
    <col min="28" max="28" width="9.109375" style="5" customWidth="1"/>
    <col min="29" max="31" width="8.88671875" style="5"/>
    <col min="32" max="32" width="11.6640625" style="5" customWidth="1"/>
    <col min="33" max="256" width="8.88671875" style="5"/>
    <col min="257" max="257" width="6.44140625" style="5" customWidth="1"/>
    <col min="258" max="258" width="43.33203125" style="5" customWidth="1"/>
    <col min="259" max="259" width="11.109375" style="5" customWidth="1"/>
    <col min="260" max="260" width="13.109375" style="5" customWidth="1"/>
    <col min="261" max="261" width="13.88671875" style="5" customWidth="1"/>
    <col min="262" max="262" width="8.33203125" style="5" customWidth="1"/>
    <col min="263" max="263" width="13" style="5" customWidth="1"/>
    <col min="264" max="264" width="8.109375" style="5" customWidth="1"/>
    <col min="265" max="265" width="7.88671875" style="5" customWidth="1"/>
    <col min="266" max="266" width="11.109375" style="5" customWidth="1"/>
    <col min="267" max="267" width="9.44140625" style="5" customWidth="1"/>
    <col min="268" max="268" width="9.5546875" style="5" customWidth="1"/>
    <col min="269" max="269" width="10.77734375" style="5" customWidth="1"/>
    <col min="270" max="270" width="6.5546875" style="5" customWidth="1"/>
    <col min="271" max="271" width="7.5546875" style="5" customWidth="1"/>
    <col min="272" max="272" width="10.109375" style="5" customWidth="1"/>
    <col min="273" max="273" width="9.44140625" style="5" customWidth="1"/>
    <col min="274" max="274" width="11" style="5" customWidth="1"/>
    <col min="275" max="275" width="14" style="5" customWidth="1"/>
    <col min="276" max="276" width="9.88671875" style="5" customWidth="1"/>
    <col min="277" max="280" width="8.88671875" style="5"/>
    <col min="281" max="281" width="15" style="5" customWidth="1"/>
    <col min="282" max="282" width="6.44140625" style="5" customWidth="1"/>
    <col min="283" max="283" width="5.6640625" style="5" customWidth="1"/>
    <col min="284" max="284" width="9.109375" style="5" customWidth="1"/>
    <col min="285" max="287" width="8.88671875" style="5"/>
    <col min="288" max="288" width="11.6640625" style="5" customWidth="1"/>
    <col min="289" max="512" width="8.88671875" style="5"/>
    <col min="513" max="513" width="6.44140625" style="5" customWidth="1"/>
    <col min="514" max="514" width="43.33203125" style="5" customWidth="1"/>
    <col min="515" max="515" width="11.109375" style="5" customWidth="1"/>
    <col min="516" max="516" width="13.109375" style="5" customWidth="1"/>
    <col min="517" max="517" width="13.88671875" style="5" customWidth="1"/>
    <col min="518" max="518" width="8.33203125" style="5" customWidth="1"/>
    <col min="519" max="519" width="13" style="5" customWidth="1"/>
    <col min="520" max="520" width="8.109375" style="5" customWidth="1"/>
    <col min="521" max="521" width="7.88671875" style="5" customWidth="1"/>
    <col min="522" max="522" width="11.109375" style="5" customWidth="1"/>
    <col min="523" max="523" width="9.44140625" style="5" customWidth="1"/>
    <col min="524" max="524" width="9.5546875" style="5" customWidth="1"/>
    <col min="525" max="525" width="10.77734375" style="5" customWidth="1"/>
    <col min="526" max="526" width="6.5546875" style="5" customWidth="1"/>
    <col min="527" max="527" width="7.5546875" style="5" customWidth="1"/>
    <col min="528" max="528" width="10.109375" style="5" customWidth="1"/>
    <col min="529" max="529" width="9.44140625" style="5" customWidth="1"/>
    <col min="530" max="530" width="11" style="5" customWidth="1"/>
    <col min="531" max="531" width="14" style="5" customWidth="1"/>
    <col min="532" max="532" width="9.88671875" style="5" customWidth="1"/>
    <col min="533" max="536" width="8.88671875" style="5"/>
    <col min="537" max="537" width="15" style="5" customWidth="1"/>
    <col min="538" max="538" width="6.44140625" style="5" customWidth="1"/>
    <col min="539" max="539" width="5.6640625" style="5" customWidth="1"/>
    <col min="540" max="540" width="9.109375" style="5" customWidth="1"/>
    <col min="541" max="543" width="8.88671875" style="5"/>
    <col min="544" max="544" width="11.6640625" style="5" customWidth="1"/>
    <col min="545" max="768" width="8.88671875" style="5"/>
    <col min="769" max="769" width="6.44140625" style="5" customWidth="1"/>
    <col min="770" max="770" width="43.33203125" style="5" customWidth="1"/>
    <col min="771" max="771" width="11.109375" style="5" customWidth="1"/>
    <col min="772" max="772" width="13.109375" style="5" customWidth="1"/>
    <col min="773" max="773" width="13.88671875" style="5" customWidth="1"/>
    <col min="774" max="774" width="8.33203125" style="5" customWidth="1"/>
    <col min="775" max="775" width="13" style="5" customWidth="1"/>
    <col min="776" max="776" width="8.109375" style="5" customWidth="1"/>
    <col min="777" max="777" width="7.88671875" style="5" customWidth="1"/>
    <col min="778" max="778" width="11.109375" style="5" customWidth="1"/>
    <col min="779" max="779" width="9.44140625" style="5" customWidth="1"/>
    <col min="780" max="780" width="9.5546875" style="5" customWidth="1"/>
    <col min="781" max="781" width="10.77734375" style="5" customWidth="1"/>
    <col min="782" max="782" width="6.5546875" style="5" customWidth="1"/>
    <col min="783" max="783" width="7.5546875" style="5" customWidth="1"/>
    <col min="784" max="784" width="10.109375" style="5" customWidth="1"/>
    <col min="785" max="785" width="9.44140625" style="5" customWidth="1"/>
    <col min="786" max="786" width="11" style="5" customWidth="1"/>
    <col min="787" max="787" width="14" style="5" customWidth="1"/>
    <col min="788" max="788" width="9.88671875" style="5" customWidth="1"/>
    <col min="789" max="792" width="8.88671875" style="5"/>
    <col min="793" max="793" width="15" style="5" customWidth="1"/>
    <col min="794" max="794" width="6.44140625" style="5" customWidth="1"/>
    <col min="795" max="795" width="5.6640625" style="5" customWidth="1"/>
    <col min="796" max="796" width="9.109375" style="5" customWidth="1"/>
    <col min="797" max="799" width="8.88671875" style="5"/>
    <col min="800" max="800" width="11.6640625" style="5" customWidth="1"/>
    <col min="801" max="1024" width="8.88671875" style="5"/>
    <col min="1025" max="1025" width="6.44140625" style="5" customWidth="1"/>
    <col min="1026" max="1026" width="43.33203125" style="5" customWidth="1"/>
    <col min="1027" max="1027" width="11.109375" style="5" customWidth="1"/>
    <col min="1028" max="1028" width="13.109375" style="5" customWidth="1"/>
    <col min="1029" max="1029" width="13.88671875" style="5" customWidth="1"/>
    <col min="1030" max="1030" width="8.33203125" style="5" customWidth="1"/>
    <col min="1031" max="1031" width="13" style="5" customWidth="1"/>
    <col min="1032" max="1032" width="8.109375" style="5" customWidth="1"/>
    <col min="1033" max="1033" width="7.88671875" style="5" customWidth="1"/>
    <col min="1034" max="1034" width="11.109375" style="5" customWidth="1"/>
    <col min="1035" max="1035" width="9.44140625" style="5" customWidth="1"/>
    <col min="1036" max="1036" width="9.5546875" style="5" customWidth="1"/>
    <col min="1037" max="1037" width="10.77734375" style="5" customWidth="1"/>
    <col min="1038" max="1038" width="6.5546875" style="5" customWidth="1"/>
    <col min="1039" max="1039" width="7.5546875" style="5" customWidth="1"/>
    <col min="1040" max="1040" width="10.109375" style="5" customWidth="1"/>
    <col min="1041" max="1041" width="9.44140625" style="5" customWidth="1"/>
    <col min="1042" max="1042" width="11" style="5" customWidth="1"/>
    <col min="1043" max="1043" width="14" style="5" customWidth="1"/>
    <col min="1044" max="1044" width="9.88671875" style="5" customWidth="1"/>
    <col min="1045" max="1048" width="8.88671875" style="5"/>
    <col min="1049" max="1049" width="15" style="5" customWidth="1"/>
    <col min="1050" max="1050" width="6.44140625" style="5" customWidth="1"/>
    <col min="1051" max="1051" width="5.6640625" style="5" customWidth="1"/>
    <col min="1052" max="1052" width="9.109375" style="5" customWidth="1"/>
    <col min="1053" max="1055" width="8.88671875" style="5"/>
    <col min="1056" max="1056" width="11.6640625" style="5" customWidth="1"/>
    <col min="1057" max="1280" width="8.88671875" style="5"/>
    <col min="1281" max="1281" width="6.44140625" style="5" customWidth="1"/>
    <col min="1282" max="1282" width="43.33203125" style="5" customWidth="1"/>
    <col min="1283" max="1283" width="11.109375" style="5" customWidth="1"/>
    <col min="1284" max="1284" width="13.109375" style="5" customWidth="1"/>
    <col min="1285" max="1285" width="13.88671875" style="5" customWidth="1"/>
    <col min="1286" max="1286" width="8.33203125" style="5" customWidth="1"/>
    <col min="1287" max="1287" width="13" style="5" customWidth="1"/>
    <col min="1288" max="1288" width="8.109375" style="5" customWidth="1"/>
    <col min="1289" max="1289" width="7.88671875" style="5" customWidth="1"/>
    <col min="1290" max="1290" width="11.109375" style="5" customWidth="1"/>
    <col min="1291" max="1291" width="9.44140625" style="5" customWidth="1"/>
    <col min="1292" max="1292" width="9.5546875" style="5" customWidth="1"/>
    <col min="1293" max="1293" width="10.77734375" style="5" customWidth="1"/>
    <col min="1294" max="1294" width="6.5546875" style="5" customWidth="1"/>
    <col min="1295" max="1295" width="7.5546875" style="5" customWidth="1"/>
    <col min="1296" max="1296" width="10.109375" style="5" customWidth="1"/>
    <col min="1297" max="1297" width="9.44140625" style="5" customWidth="1"/>
    <col min="1298" max="1298" width="11" style="5" customWidth="1"/>
    <col min="1299" max="1299" width="14" style="5" customWidth="1"/>
    <col min="1300" max="1300" width="9.88671875" style="5" customWidth="1"/>
    <col min="1301" max="1304" width="8.88671875" style="5"/>
    <col min="1305" max="1305" width="15" style="5" customWidth="1"/>
    <col min="1306" max="1306" width="6.44140625" style="5" customWidth="1"/>
    <col min="1307" max="1307" width="5.6640625" style="5" customWidth="1"/>
    <col min="1308" max="1308" width="9.109375" style="5" customWidth="1"/>
    <col min="1309" max="1311" width="8.88671875" style="5"/>
    <col min="1312" max="1312" width="11.6640625" style="5" customWidth="1"/>
    <col min="1313" max="1536" width="8.88671875" style="5"/>
    <col min="1537" max="1537" width="6.44140625" style="5" customWidth="1"/>
    <col min="1538" max="1538" width="43.33203125" style="5" customWidth="1"/>
    <col min="1539" max="1539" width="11.109375" style="5" customWidth="1"/>
    <col min="1540" max="1540" width="13.109375" style="5" customWidth="1"/>
    <col min="1541" max="1541" width="13.88671875" style="5" customWidth="1"/>
    <col min="1542" max="1542" width="8.33203125" style="5" customWidth="1"/>
    <col min="1543" max="1543" width="13" style="5" customWidth="1"/>
    <col min="1544" max="1544" width="8.109375" style="5" customWidth="1"/>
    <col min="1545" max="1545" width="7.88671875" style="5" customWidth="1"/>
    <col min="1546" max="1546" width="11.109375" style="5" customWidth="1"/>
    <col min="1547" max="1547" width="9.44140625" style="5" customWidth="1"/>
    <col min="1548" max="1548" width="9.5546875" style="5" customWidth="1"/>
    <col min="1549" max="1549" width="10.77734375" style="5" customWidth="1"/>
    <col min="1550" max="1550" width="6.5546875" style="5" customWidth="1"/>
    <col min="1551" max="1551" width="7.5546875" style="5" customWidth="1"/>
    <col min="1552" max="1552" width="10.109375" style="5" customWidth="1"/>
    <col min="1553" max="1553" width="9.44140625" style="5" customWidth="1"/>
    <col min="1554" max="1554" width="11" style="5" customWidth="1"/>
    <col min="1555" max="1555" width="14" style="5" customWidth="1"/>
    <col min="1556" max="1556" width="9.88671875" style="5" customWidth="1"/>
    <col min="1557" max="1560" width="8.88671875" style="5"/>
    <col min="1561" max="1561" width="15" style="5" customWidth="1"/>
    <col min="1562" max="1562" width="6.44140625" style="5" customWidth="1"/>
    <col min="1563" max="1563" width="5.6640625" style="5" customWidth="1"/>
    <col min="1564" max="1564" width="9.109375" style="5" customWidth="1"/>
    <col min="1565" max="1567" width="8.88671875" style="5"/>
    <col min="1568" max="1568" width="11.6640625" style="5" customWidth="1"/>
    <col min="1569" max="1792" width="8.88671875" style="5"/>
    <col min="1793" max="1793" width="6.44140625" style="5" customWidth="1"/>
    <col min="1794" max="1794" width="43.33203125" style="5" customWidth="1"/>
    <col min="1795" max="1795" width="11.109375" style="5" customWidth="1"/>
    <col min="1796" max="1796" width="13.109375" style="5" customWidth="1"/>
    <col min="1797" max="1797" width="13.88671875" style="5" customWidth="1"/>
    <col min="1798" max="1798" width="8.33203125" style="5" customWidth="1"/>
    <col min="1799" max="1799" width="13" style="5" customWidth="1"/>
    <col min="1800" max="1800" width="8.109375" style="5" customWidth="1"/>
    <col min="1801" max="1801" width="7.88671875" style="5" customWidth="1"/>
    <col min="1802" max="1802" width="11.109375" style="5" customWidth="1"/>
    <col min="1803" max="1803" width="9.44140625" style="5" customWidth="1"/>
    <col min="1804" max="1804" width="9.5546875" style="5" customWidth="1"/>
    <col min="1805" max="1805" width="10.77734375" style="5" customWidth="1"/>
    <col min="1806" max="1806" width="6.5546875" style="5" customWidth="1"/>
    <col min="1807" max="1807" width="7.5546875" style="5" customWidth="1"/>
    <col min="1808" max="1808" width="10.109375" style="5" customWidth="1"/>
    <col min="1809" max="1809" width="9.44140625" style="5" customWidth="1"/>
    <col min="1810" max="1810" width="11" style="5" customWidth="1"/>
    <col min="1811" max="1811" width="14" style="5" customWidth="1"/>
    <col min="1812" max="1812" width="9.88671875" style="5" customWidth="1"/>
    <col min="1813" max="1816" width="8.88671875" style="5"/>
    <col min="1817" max="1817" width="15" style="5" customWidth="1"/>
    <col min="1818" max="1818" width="6.44140625" style="5" customWidth="1"/>
    <col min="1819" max="1819" width="5.6640625" style="5" customWidth="1"/>
    <col min="1820" max="1820" width="9.109375" style="5" customWidth="1"/>
    <col min="1821" max="1823" width="8.88671875" style="5"/>
    <col min="1824" max="1824" width="11.6640625" style="5" customWidth="1"/>
    <col min="1825" max="2048" width="8.88671875" style="5"/>
    <col min="2049" max="2049" width="6.44140625" style="5" customWidth="1"/>
    <col min="2050" max="2050" width="43.33203125" style="5" customWidth="1"/>
    <col min="2051" max="2051" width="11.109375" style="5" customWidth="1"/>
    <col min="2052" max="2052" width="13.109375" style="5" customWidth="1"/>
    <col min="2053" max="2053" width="13.88671875" style="5" customWidth="1"/>
    <col min="2054" max="2054" width="8.33203125" style="5" customWidth="1"/>
    <col min="2055" max="2055" width="13" style="5" customWidth="1"/>
    <col min="2056" max="2056" width="8.109375" style="5" customWidth="1"/>
    <col min="2057" max="2057" width="7.88671875" style="5" customWidth="1"/>
    <col min="2058" max="2058" width="11.109375" style="5" customWidth="1"/>
    <col min="2059" max="2059" width="9.44140625" style="5" customWidth="1"/>
    <col min="2060" max="2060" width="9.5546875" style="5" customWidth="1"/>
    <col min="2061" max="2061" width="10.77734375" style="5" customWidth="1"/>
    <col min="2062" max="2062" width="6.5546875" style="5" customWidth="1"/>
    <col min="2063" max="2063" width="7.5546875" style="5" customWidth="1"/>
    <col min="2064" max="2064" width="10.109375" style="5" customWidth="1"/>
    <col min="2065" max="2065" width="9.44140625" style="5" customWidth="1"/>
    <col min="2066" max="2066" width="11" style="5" customWidth="1"/>
    <col min="2067" max="2067" width="14" style="5" customWidth="1"/>
    <col min="2068" max="2068" width="9.88671875" style="5" customWidth="1"/>
    <col min="2069" max="2072" width="8.88671875" style="5"/>
    <col min="2073" max="2073" width="15" style="5" customWidth="1"/>
    <col min="2074" max="2074" width="6.44140625" style="5" customWidth="1"/>
    <col min="2075" max="2075" width="5.6640625" style="5" customWidth="1"/>
    <col min="2076" max="2076" width="9.109375" style="5" customWidth="1"/>
    <col min="2077" max="2079" width="8.88671875" style="5"/>
    <col min="2080" max="2080" width="11.6640625" style="5" customWidth="1"/>
    <col min="2081" max="2304" width="8.88671875" style="5"/>
    <col min="2305" max="2305" width="6.44140625" style="5" customWidth="1"/>
    <col min="2306" max="2306" width="43.33203125" style="5" customWidth="1"/>
    <col min="2307" max="2307" width="11.109375" style="5" customWidth="1"/>
    <col min="2308" max="2308" width="13.109375" style="5" customWidth="1"/>
    <col min="2309" max="2309" width="13.88671875" style="5" customWidth="1"/>
    <col min="2310" max="2310" width="8.33203125" style="5" customWidth="1"/>
    <col min="2311" max="2311" width="13" style="5" customWidth="1"/>
    <col min="2312" max="2312" width="8.109375" style="5" customWidth="1"/>
    <col min="2313" max="2313" width="7.88671875" style="5" customWidth="1"/>
    <col min="2314" max="2314" width="11.109375" style="5" customWidth="1"/>
    <col min="2315" max="2315" width="9.44140625" style="5" customWidth="1"/>
    <col min="2316" max="2316" width="9.5546875" style="5" customWidth="1"/>
    <col min="2317" max="2317" width="10.77734375" style="5" customWidth="1"/>
    <col min="2318" max="2318" width="6.5546875" style="5" customWidth="1"/>
    <col min="2319" max="2319" width="7.5546875" style="5" customWidth="1"/>
    <col min="2320" max="2320" width="10.109375" style="5" customWidth="1"/>
    <col min="2321" max="2321" width="9.44140625" style="5" customWidth="1"/>
    <col min="2322" max="2322" width="11" style="5" customWidth="1"/>
    <col min="2323" max="2323" width="14" style="5" customWidth="1"/>
    <col min="2324" max="2324" width="9.88671875" style="5" customWidth="1"/>
    <col min="2325" max="2328" width="8.88671875" style="5"/>
    <col min="2329" max="2329" width="15" style="5" customWidth="1"/>
    <col min="2330" max="2330" width="6.44140625" style="5" customWidth="1"/>
    <col min="2331" max="2331" width="5.6640625" style="5" customWidth="1"/>
    <col min="2332" max="2332" width="9.109375" style="5" customWidth="1"/>
    <col min="2333" max="2335" width="8.88671875" style="5"/>
    <col min="2336" max="2336" width="11.6640625" style="5" customWidth="1"/>
    <col min="2337" max="2560" width="8.88671875" style="5"/>
    <col min="2561" max="2561" width="6.44140625" style="5" customWidth="1"/>
    <col min="2562" max="2562" width="43.33203125" style="5" customWidth="1"/>
    <col min="2563" max="2563" width="11.109375" style="5" customWidth="1"/>
    <col min="2564" max="2564" width="13.109375" style="5" customWidth="1"/>
    <col min="2565" max="2565" width="13.88671875" style="5" customWidth="1"/>
    <col min="2566" max="2566" width="8.33203125" style="5" customWidth="1"/>
    <col min="2567" max="2567" width="13" style="5" customWidth="1"/>
    <col min="2568" max="2568" width="8.109375" style="5" customWidth="1"/>
    <col min="2569" max="2569" width="7.88671875" style="5" customWidth="1"/>
    <col min="2570" max="2570" width="11.109375" style="5" customWidth="1"/>
    <col min="2571" max="2571" width="9.44140625" style="5" customWidth="1"/>
    <col min="2572" max="2572" width="9.5546875" style="5" customWidth="1"/>
    <col min="2573" max="2573" width="10.77734375" style="5" customWidth="1"/>
    <col min="2574" max="2574" width="6.5546875" style="5" customWidth="1"/>
    <col min="2575" max="2575" width="7.5546875" style="5" customWidth="1"/>
    <col min="2576" max="2576" width="10.109375" style="5" customWidth="1"/>
    <col min="2577" max="2577" width="9.44140625" style="5" customWidth="1"/>
    <col min="2578" max="2578" width="11" style="5" customWidth="1"/>
    <col min="2579" max="2579" width="14" style="5" customWidth="1"/>
    <col min="2580" max="2580" width="9.88671875" style="5" customWidth="1"/>
    <col min="2581" max="2584" width="8.88671875" style="5"/>
    <col min="2585" max="2585" width="15" style="5" customWidth="1"/>
    <col min="2586" max="2586" width="6.44140625" style="5" customWidth="1"/>
    <col min="2587" max="2587" width="5.6640625" style="5" customWidth="1"/>
    <col min="2588" max="2588" width="9.109375" style="5" customWidth="1"/>
    <col min="2589" max="2591" width="8.88671875" style="5"/>
    <col min="2592" max="2592" width="11.6640625" style="5" customWidth="1"/>
    <col min="2593" max="2816" width="8.88671875" style="5"/>
    <col min="2817" max="2817" width="6.44140625" style="5" customWidth="1"/>
    <col min="2818" max="2818" width="43.33203125" style="5" customWidth="1"/>
    <col min="2819" max="2819" width="11.109375" style="5" customWidth="1"/>
    <col min="2820" max="2820" width="13.109375" style="5" customWidth="1"/>
    <col min="2821" max="2821" width="13.88671875" style="5" customWidth="1"/>
    <col min="2822" max="2822" width="8.33203125" style="5" customWidth="1"/>
    <col min="2823" max="2823" width="13" style="5" customWidth="1"/>
    <col min="2824" max="2824" width="8.109375" style="5" customWidth="1"/>
    <col min="2825" max="2825" width="7.88671875" style="5" customWidth="1"/>
    <col min="2826" max="2826" width="11.109375" style="5" customWidth="1"/>
    <col min="2827" max="2827" width="9.44140625" style="5" customWidth="1"/>
    <col min="2828" max="2828" width="9.5546875" style="5" customWidth="1"/>
    <col min="2829" max="2829" width="10.77734375" style="5" customWidth="1"/>
    <col min="2830" max="2830" width="6.5546875" style="5" customWidth="1"/>
    <col min="2831" max="2831" width="7.5546875" style="5" customWidth="1"/>
    <col min="2832" max="2832" width="10.109375" style="5" customWidth="1"/>
    <col min="2833" max="2833" width="9.44140625" style="5" customWidth="1"/>
    <col min="2834" max="2834" width="11" style="5" customWidth="1"/>
    <col min="2835" max="2835" width="14" style="5" customWidth="1"/>
    <col min="2836" max="2836" width="9.88671875" style="5" customWidth="1"/>
    <col min="2837" max="2840" width="8.88671875" style="5"/>
    <col min="2841" max="2841" width="15" style="5" customWidth="1"/>
    <col min="2842" max="2842" width="6.44140625" style="5" customWidth="1"/>
    <col min="2843" max="2843" width="5.6640625" style="5" customWidth="1"/>
    <col min="2844" max="2844" width="9.109375" style="5" customWidth="1"/>
    <col min="2845" max="2847" width="8.88671875" style="5"/>
    <col min="2848" max="2848" width="11.6640625" style="5" customWidth="1"/>
    <col min="2849" max="3072" width="8.88671875" style="5"/>
    <col min="3073" max="3073" width="6.44140625" style="5" customWidth="1"/>
    <col min="3074" max="3074" width="43.33203125" style="5" customWidth="1"/>
    <col min="3075" max="3075" width="11.109375" style="5" customWidth="1"/>
    <col min="3076" max="3076" width="13.109375" style="5" customWidth="1"/>
    <col min="3077" max="3077" width="13.88671875" style="5" customWidth="1"/>
    <col min="3078" max="3078" width="8.33203125" style="5" customWidth="1"/>
    <col min="3079" max="3079" width="13" style="5" customWidth="1"/>
    <col min="3080" max="3080" width="8.109375" style="5" customWidth="1"/>
    <col min="3081" max="3081" width="7.88671875" style="5" customWidth="1"/>
    <col min="3082" max="3082" width="11.109375" style="5" customWidth="1"/>
    <col min="3083" max="3083" width="9.44140625" style="5" customWidth="1"/>
    <col min="3084" max="3084" width="9.5546875" style="5" customWidth="1"/>
    <col min="3085" max="3085" width="10.77734375" style="5" customWidth="1"/>
    <col min="3086" max="3086" width="6.5546875" style="5" customWidth="1"/>
    <col min="3087" max="3087" width="7.5546875" style="5" customWidth="1"/>
    <col min="3088" max="3088" width="10.109375" style="5" customWidth="1"/>
    <col min="3089" max="3089" width="9.44140625" style="5" customWidth="1"/>
    <col min="3090" max="3090" width="11" style="5" customWidth="1"/>
    <col min="3091" max="3091" width="14" style="5" customWidth="1"/>
    <col min="3092" max="3092" width="9.88671875" style="5" customWidth="1"/>
    <col min="3093" max="3096" width="8.88671875" style="5"/>
    <col min="3097" max="3097" width="15" style="5" customWidth="1"/>
    <col min="3098" max="3098" width="6.44140625" style="5" customWidth="1"/>
    <col min="3099" max="3099" width="5.6640625" style="5" customWidth="1"/>
    <col min="3100" max="3100" width="9.109375" style="5" customWidth="1"/>
    <col min="3101" max="3103" width="8.88671875" style="5"/>
    <col min="3104" max="3104" width="11.6640625" style="5" customWidth="1"/>
    <col min="3105" max="3328" width="8.88671875" style="5"/>
    <col min="3329" max="3329" width="6.44140625" style="5" customWidth="1"/>
    <col min="3330" max="3330" width="43.33203125" style="5" customWidth="1"/>
    <col min="3331" max="3331" width="11.109375" style="5" customWidth="1"/>
    <col min="3332" max="3332" width="13.109375" style="5" customWidth="1"/>
    <col min="3333" max="3333" width="13.88671875" style="5" customWidth="1"/>
    <col min="3334" max="3334" width="8.33203125" style="5" customWidth="1"/>
    <col min="3335" max="3335" width="13" style="5" customWidth="1"/>
    <col min="3336" max="3336" width="8.109375" style="5" customWidth="1"/>
    <col min="3337" max="3337" width="7.88671875" style="5" customWidth="1"/>
    <col min="3338" max="3338" width="11.109375" style="5" customWidth="1"/>
    <col min="3339" max="3339" width="9.44140625" style="5" customWidth="1"/>
    <col min="3340" max="3340" width="9.5546875" style="5" customWidth="1"/>
    <col min="3341" max="3341" width="10.77734375" style="5" customWidth="1"/>
    <col min="3342" max="3342" width="6.5546875" style="5" customWidth="1"/>
    <col min="3343" max="3343" width="7.5546875" style="5" customWidth="1"/>
    <col min="3344" max="3344" width="10.109375" style="5" customWidth="1"/>
    <col min="3345" max="3345" width="9.44140625" style="5" customWidth="1"/>
    <col min="3346" max="3346" width="11" style="5" customWidth="1"/>
    <col min="3347" max="3347" width="14" style="5" customWidth="1"/>
    <col min="3348" max="3348" width="9.88671875" style="5" customWidth="1"/>
    <col min="3349" max="3352" width="8.88671875" style="5"/>
    <col min="3353" max="3353" width="15" style="5" customWidth="1"/>
    <col min="3354" max="3354" width="6.44140625" style="5" customWidth="1"/>
    <col min="3355" max="3355" width="5.6640625" style="5" customWidth="1"/>
    <col min="3356" max="3356" width="9.109375" style="5" customWidth="1"/>
    <col min="3357" max="3359" width="8.88671875" style="5"/>
    <col min="3360" max="3360" width="11.6640625" style="5" customWidth="1"/>
    <col min="3361" max="3584" width="8.88671875" style="5"/>
    <col min="3585" max="3585" width="6.44140625" style="5" customWidth="1"/>
    <col min="3586" max="3586" width="43.33203125" style="5" customWidth="1"/>
    <col min="3587" max="3587" width="11.109375" style="5" customWidth="1"/>
    <col min="3588" max="3588" width="13.109375" style="5" customWidth="1"/>
    <col min="3589" max="3589" width="13.88671875" style="5" customWidth="1"/>
    <col min="3590" max="3590" width="8.33203125" style="5" customWidth="1"/>
    <col min="3591" max="3591" width="13" style="5" customWidth="1"/>
    <col min="3592" max="3592" width="8.109375" style="5" customWidth="1"/>
    <col min="3593" max="3593" width="7.88671875" style="5" customWidth="1"/>
    <col min="3594" max="3594" width="11.109375" style="5" customWidth="1"/>
    <col min="3595" max="3595" width="9.44140625" style="5" customWidth="1"/>
    <col min="3596" max="3596" width="9.5546875" style="5" customWidth="1"/>
    <col min="3597" max="3597" width="10.77734375" style="5" customWidth="1"/>
    <col min="3598" max="3598" width="6.5546875" style="5" customWidth="1"/>
    <col min="3599" max="3599" width="7.5546875" style="5" customWidth="1"/>
    <col min="3600" max="3600" width="10.109375" style="5" customWidth="1"/>
    <col min="3601" max="3601" width="9.44140625" style="5" customWidth="1"/>
    <col min="3602" max="3602" width="11" style="5" customWidth="1"/>
    <col min="3603" max="3603" width="14" style="5" customWidth="1"/>
    <col min="3604" max="3604" width="9.88671875" style="5" customWidth="1"/>
    <col min="3605" max="3608" width="8.88671875" style="5"/>
    <col min="3609" max="3609" width="15" style="5" customWidth="1"/>
    <col min="3610" max="3610" width="6.44140625" style="5" customWidth="1"/>
    <col min="3611" max="3611" width="5.6640625" style="5" customWidth="1"/>
    <col min="3612" max="3612" width="9.109375" style="5" customWidth="1"/>
    <col min="3613" max="3615" width="8.88671875" style="5"/>
    <col min="3616" max="3616" width="11.6640625" style="5" customWidth="1"/>
    <col min="3617" max="3840" width="8.88671875" style="5"/>
    <col min="3841" max="3841" width="6.44140625" style="5" customWidth="1"/>
    <col min="3842" max="3842" width="43.33203125" style="5" customWidth="1"/>
    <col min="3843" max="3843" width="11.109375" style="5" customWidth="1"/>
    <col min="3844" max="3844" width="13.109375" style="5" customWidth="1"/>
    <col min="3845" max="3845" width="13.88671875" style="5" customWidth="1"/>
    <col min="3846" max="3846" width="8.33203125" style="5" customWidth="1"/>
    <col min="3847" max="3847" width="13" style="5" customWidth="1"/>
    <col min="3848" max="3848" width="8.109375" style="5" customWidth="1"/>
    <col min="3849" max="3849" width="7.88671875" style="5" customWidth="1"/>
    <col min="3850" max="3850" width="11.109375" style="5" customWidth="1"/>
    <col min="3851" max="3851" width="9.44140625" style="5" customWidth="1"/>
    <col min="3852" max="3852" width="9.5546875" style="5" customWidth="1"/>
    <col min="3853" max="3853" width="10.77734375" style="5" customWidth="1"/>
    <col min="3854" max="3854" width="6.5546875" style="5" customWidth="1"/>
    <col min="3855" max="3855" width="7.5546875" style="5" customWidth="1"/>
    <col min="3856" max="3856" width="10.109375" style="5" customWidth="1"/>
    <col min="3857" max="3857" width="9.44140625" style="5" customWidth="1"/>
    <col min="3858" max="3858" width="11" style="5" customWidth="1"/>
    <col min="3859" max="3859" width="14" style="5" customWidth="1"/>
    <col min="3860" max="3860" width="9.88671875" style="5" customWidth="1"/>
    <col min="3861" max="3864" width="8.88671875" style="5"/>
    <col min="3865" max="3865" width="15" style="5" customWidth="1"/>
    <col min="3866" max="3866" width="6.44140625" style="5" customWidth="1"/>
    <col min="3867" max="3867" width="5.6640625" style="5" customWidth="1"/>
    <col min="3868" max="3868" width="9.109375" style="5" customWidth="1"/>
    <col min="3869" max="3871" width="8.88671875" style="5"/>
    <col min="3872" max="3872" width="11.6640625" style="5" customWidth="1"/>
    <col min="3873" max="4096" width="8.88671875" style="5"/>
    <col min="4097" max="4097" width="6.44140625" style="5" customWidth="1"/>
    <col min="4098" max="4098" width="43.33203125" style="5" customWidth="1"/>
    <col min="4099" max="4099" width="11.109375" style="5" customWidth="1"/>
    <col min="4100" max="4100" width="13.109375" style="5" customWidth="1"/>
    <col min="4101" max="4101" width="13.88671875" style="5" customWidth="1"/>
    <col min="4102" max="4102" width="8.33203125" style="5" customWidth="1"/>
    <col min="4103" max="4103" width="13" style="5" customWidth="1"/>
    <col min="4104" max="4104" width="8.109375" style="5" customWidth="1"/>
    <col min="4105" max="4105" width="7.88671875" style="5" customWidth="1"/>
    <col min="4106" max="4106" width="11.109375" style="5" customWidth="1"/>
    <col min="4107" max="4107" width="9.44140625" style="5" customWidth="1"/>
    <col min="4108" max="4108" width="9.5546875" style="5" customWidth="1"/>
    <col min="4109" max="4109" width="10.77734375" style="5" customWidth="1"/>
    <col min="4110" max="4110" width="6.5546875" style="5" customWidth="1"/>
    <col min="4111" max="4111" width="7.5546875" style="5" customWidth="1"/>
    <col min="4112" max="4112" width="10.109375" style="5" customWidth="1"/>
    <col min="4113" max="4113" width="9.44140625" style="5" customWidth="1"/>
    <col min="4114" max="4114" width="11" style="5" customWidth="1"/>
    <col min="4115" max="4115" width="14" style="5" customWidth="1"/>
    <col min="4116" max="4116" width="9.88671875" style="5" customWidth="1"/>
    <col min="4117" max="4120" width="8.88671875" style="5"/>
    <col min="4121" max="4121" width="15" style="5" customWidth="1"/>
    <col min="4122" max="4122" width="6.44140625" style="5" customWidth="1"/>
    <col min="4123" max="4123" width="5.6640625" style="5" customWidth="1"/>
    <col min="4124" max="4124" width="9.109375" style="5" customWidth="1"/>
    <col min="4125" max="4127" width="8.88671875" style="5"/>
    <col min="4128" max="4128" width="11.6640625" style="5" customWidth="1"/>
    <col min="4129" max="4352" width="8.88671875" style="5"/>
    <col min="4353" max="4353" width="6.44140625" style="5" customWidth="1"/>
    <col min="4354" max="4354" width="43.33203125" style="5" customWidth="1"/>
    <col min="4355" max="4355" width="11.109375" style="5" customWidth="1"/>
    <col min="4356" max="4356" width="13.109375" style="5" customWidth="1"/>
    <col min="4357" max="4357" width="13.88671875" style="5" customWidth="1"/>
    <col min="4358" max="4358" width="8.33203125" style="5" customWidth="1"/>
    <col min="4359" max="4359" width="13" style="5" customWidth="1"/>
    <col min="4360" max="4360" width="8.109375" style="5" customWidth="1"/>
    <col min="4361" max="4361" width="7.88671875" style="5" customWidth="1"/>
    <col min="4362" max="4362" width="11.109375" style="5" customWidth="1"/>
    <col min="4363" max="4363" width="9.44140625" style="5" customWidth="1"/>
    <col min="4364" max="4364" width="9.5546875" style="5" customWidth="1"/>
    <col min="4365" max="4365" width="10.77734375" style="5" customWidth="1"/>
    <col min="4366" max="4366" width="6.5546875" style="5" customWidth="1"/>
    <col min="4367" max="4367" width="7.5546875" style="5" customWidth="1"/>
    <col min="4368" max="4368" width="10.109375" style="5" customWidth="1"/>
    <col min="4369" max="4369" width="9.44140625" style="5" customWidth="1"/>
    <col min="4370" max="4370" width="11" style="5" customWidth="1"/>
    <col min="4371" max="4371" width="14" style="5" customWidth="1"/>
    <col min="4372" max="4372" width="9.88671875" style="5" customWidth="1"/>
    <col min="4373" max="4376" width="8.88671875" style="5"/>
    <col min="4377" max="4377" width="15" style="5" customWidth="1"/>
    <col min="4378" max="4378" width="6.44140625" style="5" customWidth="1"/>
    <col min="4379" max="4379" width="5.6640625" style="5" customWidth="1"/>
    <col min="4380" max="4380" width="9.109375" style="5" customWidth="1"/>
    <col min="4381" max="4383" width="8.88671875" style="5"/>
    <col min="4384" max="4384" width="11.6640625" style="5" customWidth="1"/>
    <col min="4385" max="4608" width="8.88671875" style="5"/>
    <col min="4609" max="4609" width="6.44140625" style="5" customWidth="1"/>
    <col min="4610" max="4610" width="43.33203125" style="5" customWidth="1"/>
    <col min="4611" max="4611" width="11.109375" style="5" customWidth="1"/>
    <col min="4612" max="4612" width="13.109375" style="5" customWidth="1"/>
    <col min="4613" max="4613" width="13.88671875" style="5" customWidth="1"/>
    <col min="4614" max="4614" width="8.33203125" style="5" customWidth="1"/>
    <col min="4615" max="4615" width="13" style="5" customWidth="1"/>
    <col min="4616" max="4616" width="8.109375" style="5" customWidth="1"/>
    <col min="4617" max="4617" width="7.88671875" style="5" customWidth="1"/>
    <col min="4618" max="4618" width="11.109375" style="5" customWidth="1"/>
    <col min="4619" max="4619" width="9.44140625" style="5" customWidth="1"/>
    <col min="4620" max="4620" width="9.5546875" style="5" customWidth="1"/>
    <col min="4621" max="4621" width="10.77734375" style="5" customWidth="1"/>
    <col min="4622" max="4622" width="6.5546875" style="5" customWidth="1"/>
    <col min="4623" max="4623" width="7.5546875" style="5" customWidth="1"/>
    <col min="4624" max="4624" width="10.109375" style="5" customWidth="1"/>
    <col min="4625" max="4625" width="9.44140625" style="5" customWidth="1"/>
    <col min="4626" max="4626" width="11" style="5" customWidth="1"/>
    <col min="4627" max="4627" width="14" style="5" customWidth="1"/>
    <col min="4628" max="4628" width="9.88671875" style="5" customWidth="1"/>
    <col min="4629" max="4632" width="8.88671875" style="5"/>
    <col min="4633" max="4633" width="15" style="5" customWidth="1"/>
    <col min="4634" max="4634" width="6.44140625" style="5" customWidth="1"/>
    <col min="4635" max="4635" width="5.6640625" style="5" customWidth="1"/>
    <col min="4636" max="4636" width="9.109375" style="5" customWidth="1"/>
    <col min="4637" max="4639" width="8.88671875" style="5"/>
    <col min="4640" max="4640" width="11.6640625" style="5" customWidth="1"/>
    <col min="4641" max="4864" width="8.88671875" style="5"/>
    <col min="4865" max="4865" width="6.44140625" style="5" customWidth="1"/>
    <col min="4866" max="4866" width="43.33203125" style="5" customWidth="1"/>
    <col min="4867" max="4867" width="11.109375" style="5" customWidth="1"/>
    <col min="4868" max="4868" width="13.109375" style="5" customWidth="1"/>
    <col min="4869" max="4869" width="13.88671875" style="5" customWidth="1"/>
    <col min="4870" max="4870" width="8.33203125" style="5" customWidth="1"/>
    <col min="4871" max="4871" width="13" style="5" customWidth="1"/>
    <col min="4872" max="4872" width="8.109375" style="5" customWidth="1"/>
    <col min="4873" max="4873" width="7.88671875" style="5" customWidth="1"/>
    <col min="4874" max="4874" width="11.109375" style="5" customWidth="1"/>
    <col min="4875" max="4875" width="9.44140625" style="5" customWidth="1"/>
    <col min="4876" max="4876" width="9.5546875" style="5" customWidth="1"/>
    <col min="4877" max="4877" width="10.77734375" style="5" customWidth="1"/>
    <col min="4878" max="4878" width="6.5546875" style="5" customWidth="1"/>
    <col min="4879" max="4879" width="7.5546875" style="5" customWidth="1"/>
    <col min="4880" max="4880" width="10.109375" style="5" customWidth="1"/>
    <col min="4881" max="4881" width="9.44140625" style="5" customWidth="1"/>
    <col min="4882" max="4882" width="11" style="5" customWidth="1"/>
    <col min="4883" max="4883" width="14" style="5" customWidth="1"/>
    <col min="4884" max="4884" width="9.88671875" style="5" customWidth="1"/>
    <col min="4885" max="4888" width="8.88671875" style="5"/>
    <col min="4889" max="4889" width="15" style="5" customWidth="1"/>
    <col min="4890" max="4890" width="6.44140625" style="5" customWidth="1"/>
    <col min="4891" max="4891" width="5.6640625" style="5" customWidth="1"/>
    <col min="4892" max="4892" width="9.109375" style="5" customWidth="1"/>
    <col min="4893" max="4895" width="8.88671875" style="5"/>
    <col min="4896" max="4896" width="11.6640625" style="5" customWidth="1"/>
    <col min="4897" max="5120" width="8.88671875" style="5"/>
    <col min="5121" max="5121" width="6.44140625" style="5" customWidth="1"/>
    <col min="5122" max="5122" width="43.33203125" style="5" customWidth="1"/>
    <col min="5123" max="5123" width="11.109375" style="5" customWidth="1"/>
    <col min="5124" max="5124" width="13.109375" style="5" customWidth="1"/>
    <col min="5125" max="5125" width="13.88671875" style="5" customWidth="1"/>
    <col min="5126" max="5126" width="8.33203125" style="5" customWidth="1"/>
    <col min="5127" max="5127" width="13" style="5" customWidth="1"/>
    <col min="5128" max="5128" width="8.109375" style="5" customWidth="1"/>
    <col min="5129" max="5129" width="7.88671875" style="5" customWidth="1"/>
    <col min="5130" max="5130" width="11.109375" style="5" customWidth="1"/>
    <col min="5131" max="5131" width="9.44140625" style="5" customWidth="1"/>
    <col min="5132" max="5132" width="9.5546875" style="5" customWidth="1"/>
    <col min="5133" max="5133" width="10.77734375" style="5" customWidth="1"/>
    <col min="5134" max="5134" width="6.5546875" style="5" customWidth="1"/>
    <col min="5135" max="5135" width="7.5546875" style="5" customWidth="1"/>
    <col min="5136" max="5136" width="10.109375" style="5" customWidth="1"/>
    <col min="5137" max="5137" width="9.44140625" style="5" customWidth="1"/>
    <col min="5138" max="5138" width="11" style="5" customWidth="1"/>
    <col min="5139" max="5139" width="14" style="5" customWidth="1"/>
    <col min="5140" max="5140" width="9.88671875" style="5" customWidth="1"/>
    <col min="5141" max="5144" width="8.88671875" style="5"/>
    <col min="5145" max="5145" width="15" style="5" customWidth="1"/>
    <col min="5146" max="5146" width="6.44140625" style="5" customWidth="1"/>
    <col min="5147" max="5147" width="5.6640625" style="5" customWidth="1"/>
    <col min="5148" max="5148" width="9.109375" style="5" customWidth="1"/>
    <col min="5149" max="5151" width="8.88671875" style="5"/>
    <col min="5152" max="5152" width="11.6640625" style="5" customWidth="1"/>
    <col min="5153" max="5376" width="8.88671875" style="5"/>
    <col min="5377" max="5377" width="6.44140625" style="5" customWidth="1"/>
    <col min="5378" max="5378" width="43.33203125" style="5" customWidth="1"/>
    <col min="5379" max="5379" width="11.109375" style="5" customWidth="1"/>
    <col min="5380" max="5380" width="13.109375" style="5" customWidth="1"/>
    <col min="5381" max="5381" width="13.88671875" style="5" customWidth="1"/>
    <col min="5382" max="5382" width="8.33203125" style="5" customWidth="1"/>
    <col min="5383" max="5383" width="13" style="5" customWidth="1"/>
    <col min="5384" max="5384" width="8.109375" style="5" customWidth="1"/>
    <col min="5385" max="5385" width="7.88671875" style="5" customWidth="1"/>
    <col min="5386" max="5386" width="11.109375" style="5" customWidth="1"/>
    <col min="5387" max="5387" width="9.44140625" style="5" customWidth="1"/>
    <col min="5388" max="5388" width="9.5546875" style="5" customWidth="1"/>
    <col min="5389" max="5389" width="10.77734375" style="5" customWidth="1"/>
    <col min="5390" max="5390" width="6.5546875" style="5" customWidth="1"/>
    <col min="5391" max="5391" width="7.5546875" style="5" customWidth="1"/>
    <col min="5392" max="5392" width="10.109375" style="5" customWidth="1"/>
    <col min="5393" max="5393" width="9.44140625" style="5" customWidth="1"/>
    <col min="5394" max="5394" width="11" style="5" customWidth="1"/>
    <col min="5395" max="5395" width="14" style="5" customWidth="1"/>
    <col min="5396" max="5396" width="9.88671875" style="5" customWidth="1"/>
    <col min="5397" max="5400" width="8.88671875" style="5"/>
    <col min="5401" max="5401" width="15" style="5" customWidth="1"/>
    <col min="5402" max="5402" width="6.44140625" style="5" customWidth="1"/>
    <col min="5403" max="5403" width="5.6640625" style="5" customWidth="1"/>
    <col min="5404" max="5404" width="9.109375" style="5" customWidth="1"/>
    <col min="5405" max="5407" width="8.88671875" style="5"/>
    <col min="5408" max="5408" width="11.6640625" style="5" customWidth="1"/>
    <col min="5409" max="5632" width="8.88671875" style="5"/>
    <col min="5633" max="5633" width="6.44140625" style="5" customWidth="1"/>
    <col min="5634" max="5634" width="43.33203125" style="5" customWidth="1"/>
    <col min="5635" max="5635" width="11.109375" style="5" customWidth="1"/>
    <col min="5636" max="5636" width="13.109375" style="5" customWidth="1"/>
    <col min="5637" max="5637" width="13.88671875" style="5" customWidth="1"/>
    <col min="5638" max="5638" width="8.33203125" style="5" customWidth="1"/>
    <col min="5639" max="5639" width="13" style="5" customWidth="1"/>
    <col min="5640" max="5640" width="8.109375" style="5" customWidth="1"/>
    <col min="5641" max="5641" width="7.88671875" style="5" customWidth="1"/>
    <col min="5642" max="5642" width="11.109375" style="5" customWidth="1"/>
    <col min="5643" max="5643" width="9.44140625" style="5" customWidth="1"/>
    <col min="5644" max="5644" width="9.5546875" style="5" customWidth="1"/>
    <col min="5645" max="5645" width="10.77734375" style="5" customWidth="1"/>
    <col min="5646" max="5646" width="6.5546875" style="5" customWidth="1"/>
    <col min="5647" max="5647" width="7.5546875" style="5" customWidth="1"/>
    <col min="5648" max="5648" width="10.109375" style="5" customWidth="1"/>
    <col min="5649" max="5649" width="9.44140625" style="5" customWidth="1"/>
    <col min="5650" max="5650" width="11" style="5" customWidth="1"/>
    <col min="5651" max="5651" width="14" style="5" customWidth="1"/>
    <col min="5652" max="5652" width="9.88671875" style="5" customWidth="1"/>
    <col min="5653" max="5656" width="8.88671875" style="5"/>
    <col min="5657" max="5657" width="15" style="5" customWidth="1"/>
    <col min="5658" max="5658" width="6.44140625" style="5" customWidth="1"/>
    <col min="5659" max="5659" width="5.6640625" style="5" customWidth="1"/>
    <col min="5660" max="5660" width="9.109375" style="5" customWidth="1"/>
    <col min="5661" max="5663" width="8.88671875" style="5"/>
    <col min="5664" max="5664" width="11.6640625" style="5" customWidth="1"/>
    <col min="5665" max="5888" width="8.88671875" style="5"/>
    <col min="5889" max="5889" width="6.44140625" style="5" customWidth="1"/>
    <col min="5890" max="5890" width="43.33203125" style="5" customWidth="1"/>
    <col min="5891" max="5891" width="11.109375" style="5" customWidth="1"/>
    <col min="5892" max="5892" width="13.109375" style="5" customWidth="1"/>
    <col min="5893" max="5893" width="13.88671875" style="5" customWidth="1"/>
    <col min="5894" max="5894" width="8.33203125" style="5" customWidth="1"/>
    <col min="5895" max="5895" width="13" style="5" customWidth="1"/>
    <col min="5896" max="5896" width="8.109375" style="5" customWidth="1"/>
    <col min="5897" max="5897" width="7.88671875" style="5" customWidth="1"/>
    <col min="5898" max="5898" width="11.109375" style="5" customWidth="1"/>
    <col min="5899" max="5899" width="9.44140625" style="5" customWidth="1"/>
    <col min="5900" max="5900" width="9.5546875" style="5" customWidth="1"/>
    <col min="5901" max="5901" width="10.77734375" style="5" customWidth="1"/>
    <col min="5902" max="5902" width="6.5546875" style="5" customWidth="1"/>
    <col min="5903" max="5903" width="7.5546875" style="5" customWidth="1"/>
    <col min="5904" max="5904" width="10.109375" style="5" customWidth="1"/>
    <col min="5905" max="5905" width="9.44140625" style="5" customWidth="1"/>
    <col min="5906" max="5906" width="11" style="5" customWidth="1"/>
    <col min="5907" max="5907" width="14" style="5" customWidth="1"/>
    <col min="5908" max="5908" width="9.88671875" style="5" customWidth="1"/>
    <col min="5909" max="5912" width="8.88671875" style="5"/>
    <col min="5913" max="5913" width="15" style="5" customWidth="1"/>
    <col min="5914" max="5914" width="6.44140625" style="5" customWidth="1"/>
    <col min="5915" max="5915" width="5.6640625" style="5" customWidth="1"/>
    <col min="5916" max="5916" width="9.109375" style="5" customWidth="1"/>
    <col min="5917" max="5919" width="8.88671875" style="5"/>
    <col min="5920" max="5920" width="11.6640625" style="5" customWidth="1"/>
    <col min="5921" max="6144" width="8.88671875" style="5"/>
    <col min="6145" max="6145" width="6.44140625" style="5" customWidth="1"/>
    <col min="6146" max="6146" width="43.33203125" style="5" customWidth="1"/>
    <col min="6147" max="6147" width="11.109375" style="5" customWidth="1"/>
    <col min="6148" max="6148" width="13.109375" style="5" customWidth="1"/>
    <col min="6149" max="6149" width="13.88671875" style="5" customWidth="1"/>
    <col min="6150" max="6150" width="8.33203125" style="5" customWidth="1"/>
    <col min="6151" max="6151" width="13" style="5" customWidth="1"/>
    <col min="6152" max="6152" width="8.109375" style="5" customWidth="1"/>
    <col min="6153" max="6153" width="7.88671875" style="5" customWidth="1"/>
    <col min="6154" max="6154" width="11.109375" style="5" customWidth="1"/>
    <col min="6155" max="6155" width="9.44140625" style="5" customWidth="1"/>
    <col min="6156" max="6156" width="9.5546875" style="5" customWidth="1"/>
    <col min="6157" max="6157" width="10.77734375" style="5" customWidth="1"/>
    <col min="6158" max="6158" width="6.5546875" style="5" customWidth="1"/>
    <col min="6159" max="6159" width="7.5546875" style="5" customWidth="1"/>
    <col min="6160" max="6160" width="10.109375" style="5" customWidth="1"/>
    <col min="6161" max="6161" width="9.44140625" style="5" customWidth="1"/>
    <col min="6162" max="6162" width="11" style="5" customWidth="1"/>
    <col min="6163" max="6163" width="14" style="5" customWidth="1"/>
    <col min="6164" max="6164" width="9.88671875" style="5" customWidth="1"/>
    <col min="6165" max="6168" width="8.88671875" style="5"/>
    <col min="6169" max="6169" width="15" style="5" customWidth="1"/>
    <col min="6170" max="6170" width="6.44140625" style="5" customWidth="1"/>
    <col min="6171" max="6171" width="5.6640625" style="5" customWidth="1"/>
    <col min="6172" max="6172" width="9.109375" style="5" customWidth="1"/>
    <col min="6173" max="6175" width="8.88671875" style="5"/>
    <col min="6176" max="6176" width="11.6640625" style="5" customWidth="1"/>
    <col min="6177" max="6400" width="8.88671875" style="5"/>
    <col min="6401" max="6401" width="6.44140625" style="5" customWidth="1"/>
    <col min="6402" max="6402" width="43.33203125" style="5" customWidth="1"/>
    <col min="6403" max="6403" width="11.109375" style="5" customWidth="1"/>
    <col min="6404" max="6404" width="13.109375" style="5" customWidth="1"/>
    <col min="6405" max="6405" width="13.88671875" style="5" customWidth="1"/>
    <col min="6406" max="6406" width="8.33203125" style="5" customWidth="1"/>
    <col min="6407" max="6407" width="13" style="5" customWidth="1"/>
    <col min="6408" max="6408" width="8.109375" style="5" customWidth="1"/>
    <col min="6409" max="6409" width="7.88671875" style="5" customWidth="1"/>
    <col min="6410" max="6410" width="11.109375" style="5" customWidth="1"/>
    <col min="6411" max="6411" width="9.44140625" style="5" customWidth="1"/>
    <col min="6412" max="6412" width="9.5546875" style="5" customWidth="1"/>
    <col min="6413" max="6413" width="10.77734375" style="5" customWidth="1"/>
    <col min="6414" max="6414" width="6.5546875" style="5" customWidth="1"/>
    <col min="6415" max="6415" width="7.5546875" style="5" customWidth="1"/>
    <col min="6416" max="6416" width="10.109375" style="5" customWidth="1"/>
    <col min="6417" max="6417" width="9.44140625" style="5" customWidth="1"/>
    <col min="6418" max="6418" width="11" style="5" customWidth="1"/>
    <col min="6419" max="6419" width="14" style="5" customWidth="1"/>
    <col min="6420" max="6420" width="9.88671875" style="5" customWidth="1"/>
    <col min="6421" max="6424" width="8.88671875" style="5"/>
    <col min="6425" max="6425" width="15" style="5" customWidth="1"/>
    <col min="6426" max="6426" width="6.44140625" style="5" customWidth="1"/>
    <col min="6427" max="6427" width="5.6640625" style="5" customWidth="1"/>
    <col min="6428" max="6428" width="9.109375" style="5" customWidth="1"/>
    <col min="6429" max="6431" width="8.88671875" style="5"/>
    <col min="6432" max="6432" width="11.6640625" style="5" customWidth="1"/>
    <col min="6433" max="6656" width="8.88671875" style="5"/>
    <col min="6657" max="6657" width="6.44140625" style="5" customWidth="1"/>
    <col min="6658" max="6658" width="43.33203125" style="5" customWidth="1"/>
    <col min="6659" max="6659" width="11.109375" style="5" customWidth="1"/>
    <col min="6660" max="6660" width="13.109375" style="5" customWidth="1"/>
    <col min="6661" max="6661" width="13.88671875" style="5" customWidth="1"/>
    <col min="6662" max="6662" width="8.33203125" style="5" customWidth="1"/>
    <col min="6663" max="6663" width="13" style="5" customWidth="1"/>
    <col min="6664" max="6664" width="8.109375" style="5" customWidth="1"/>
    <col min="6665" max="6665" width="7.88671875" style="5" customWidth="1"/>
    <col min="6666" max="6666" width="11.109375" style="5" customWidth="1"/>
    <col min="6667" max="6667" width="9.44140625" style="5" customWidth="1"/>
    <col min="6668" max="6668" width="9.5546875" style="5" customWidth="1"/>
    <col min="6669" max="6669" width="10.77734375" style="5" customWidth="1"/>
    <col min="6670" max="6670" width="6.5546875" style="5" customWidth="1"/>
    <col min="6671" max="6671" width="7.5546875" style="5" customWidth="1"/>
    <col min="6672" max="6672" width="10.109375" style="5" customWidth="1"/>
    <col min="6673" max="6673" width="9.44140625" style="5" customWidth="1"/>
    <col min="6674" max="6674" width="11" style="5" customWidth="1"/>
    <col min="6675" max="6675" width="14" style="5" customWidth="1"/>
    <col min="6676" max="6676" width="9.88671875" style="5" customWidth="1"/>
    <col min="6677" max="6680" width="8.88671875" style="5"/>
    <col min="6681" max="6681" width="15" style="5" customWidth="1"/>
    <col min="6682" max="6682" width="6.44140625" style="5" customWidth="1"/>
    <col min="6683" max="6683" width="5.6640625" style="5" customWidth="1"/>
    <col min="6684" max="6684" width="9.109375" style="5" customWidth="1"/>
    <col min="6685" max="6687" width="8.88671875" style="5"/>
    <col min="6688" max="6688" width="11.6640625" style="5" customWidth="1"/>
    <col min="6689" max="6912" width="8.88671875" style="5"/>
    <col min="6913" max="6913" width="6.44140625" style="5" customWidth="1"/>
    <col min="6914" max="6914" width="43.33203125" style="5" customWidth="1"/>
    <col min="6915" max="6915" width="11.109375" style="5" customWidth="1"/>
    <col min="6916" max="6916" width="13.109375" style="5" customWidth="1"/>
    <col min="6917" max="6917" width="13.88671875" style="5" customWidth="1"/>
    <col min="6918" max="6918" width="8.33203125" style="5" customWidth="1"/>
    <col min="6919" max="6919" width="13" style="5" customWidth="1"/>
    <col min="6920" max="6920" width="8.109375" style="5" customWidth="1"/>
    <col min="6921" max="6921" width="7.88671875" style="5" customWidth="1"/>
    <col min="6922" max="6922" width="11.109375" style="5" customWidth="1"/>
    <col min="6923" max="6923" width="9.44140625" style="5" customWidth="1"/>
    <col min="6924" max="6924" width="9.5546875" style="5" customWidth="1"/>
    <col min="6925" max="6925" width="10.77734375" style="5" customWidth="1"/>
    <col min="6926" max="6926" width="6.5546875" style="5" customWidth="1"/>
    <col min="6927" max="6927" width="7.5546875" style="5" customWidth="1"/>
    <col min="6928" max="6928" width="10.109375" style="5" customWidth="1"/>
    <col min="6929" max="6929" width="9.44140625" style="5" customWidth="1"/>
    <col min="6930" max="6930" width="11" style="5" customWidth="1"/>
    <col min="6931" max="6931" width="14" style="5" customWidth="1"/>
    <col min="6932" max="6932" width="9.88671875" style="5" customWidth="1"/>
    <col min="6933" max="6936" width="8.88671875" style="5"/>
    <col min="6937" max="6937" width="15" style="5" customWidth="1"/>
    <col min="6938" max="6938" width="6.44140625" style="5" customWidth="1"/>
    <col min="6939" max="6939" width="5.6640625" style="5" customWidth="1"/>
    <col min="6940" max="6940" width="9.109375" style="5" customWidth="1"/>
    <col min="6941" max="6943" width="8.88671875" style="5"/>
    <col min="6944" max="6944" width="11.6640625" style="5" customWidth="1"/>
    <col min="6945" max="7168" width="8.88671875" style="5"/>
    <col min="7169" max="7169" width="6.44140625" style="5" customWidth="1"/>
    <col min="7170" max="7170" width="43.33203125" style="5" customWidth="1"/>
    <col min="7171" max="7171" width="11.109375" style="5" customWidth="1"/>
    <col min="7172" max="7172" width="13.109375" style="5" customWidth="1"/>
    <col min="7173" max="7173" width="13.88671875" style="5" customWidth="1"/>
    <col min="7174" max="7174" width="8.33203125" style="5" customWidth="1"/>
    <col min="7175" max="7175" width="13" style="5" customWidth="1"/>
    <col min="7176" max="7176" width="8.109375" style="5" customWidth="1"/>
    <col min="7177" max="7177" width="7.88671875" style="5" customWidth="1"/>
    <col min="7178" max="7178" width="11.109375" style="5" customWidth="1"/>
    <col min="7179" max="7179" width="9.44140625" style="5" customWidth="1"/>
    <col min="7180" max="7180" width="9.5546875" style="5" customWidth="1"/>
    <col min="7181" max="7181" width="10.77734375" style="5" customWidth="1"/>
    <col min="7182" max="7182" width="6.5546875" style="5" customWidth="1"/>
    <col min="7183" max="7183" width="7.5546875" style="5" customWidth="1"/>
    <col min="7184" max="7184" width="10.109375" style="5" customWidth="1"/>
    <col min="7185" max="7185" width="9.44140625" style="5" customWidth="1"/>
    <col min="7186" max="7186" width="11" style="5" customWidth="1"/>
    <col min="7187" max="7187" width="14" style="5" customWidth="1"/>
    <col min="7188" max="7188" width="9.88671875" style="5" customWidth="1"/>
    <col min="7189" max="7192" width="8.88671875" style="5"/>
    <col min="7193" max="7193" width="15" style="5" customWidth="1"/>
    <col min="7194" max="7194" width="6.44140625" style="5" customWidth="1"/>
    <col min="7195" max="7195" width="5.6640625" style="5" customWidth="1"/>
    <col min="7196" max="7196" width="9.109375" style="5" customWidth="1"/>
    <col min="7197" max="7199" width="8.88671875" style="5"/>
    <col min="7200" max="7200" width="11.6640625" style="5" customWidth="1"/>
    <col min="7201" max="7424" width="8.88671875" style="5"/>
    <col min="7425" max="7425" width="6.44140625" style="5" customWidth="1"/>
    <col min="7426" max="7426" width="43.33203125" style="5" customWidth="1"/>
    <col min="7427" max="7427" width="11.109375" style="5" customWidth="1"/>
    <col min="7428" max="7428" width="13.109375" style="5" customWidth="1"/>
    <col min="7429" max="7429" width="13.88671875" style="5" customWidth="1"/>
    <col min="7430" max="7430" width="8.33203125" style="5" customWidth="1"/>
    <col min="7431" max="7431" width="13" style="5" customWidth="1"/>
    <col min="7432" max="7432" width="8.109375" style="5" customWidth="1"/>
    <col min="7433" max="7433" width="7.88671875" style="5" customWidth="1"/>
    <col min="7434" max="7434" width="11.109375" style="5" customWidth="1"/>
    <col min="7435" max="7435" width="9.44140625" style="5" customWidth="1"/>
    <col min="7436" max="7436" width="9.5546875" style="5" customWidth="1"/>
    <col min="7437" max="7437" width="10.77734375" style="5" customWidth="1"/>
    <col min="7438" max="7438" width="6.5546875" style="5" customWidth="1"/>
    <col min="7439" max="7439" width="7.5546875" style="5" customWidth="1"/>
    <col min="7440" max="7440" width="10.109375" style="5" customWidth="1"/>
    <col min="7441" max="7441" width="9.44140625" style="5" customWidth="1"/>
    <col min="7442" max="7442" width="11" style="5" customWidth="1"/>
    <col min="7443" max="7443" width="14" style="5" customWidth="1"/>
    <col min="7444" max="7444" width="9.88671875" style="5" customWidth="1"/>
    <col min="7445" max="7448" width="8.88671875" style="5"/>
    <col min="7449" max="7449" width="15" style="5" customWidth="1"/>
    <col min="7450" max="7450" width="6.44140625" style="5" customWidth="1"/>
    <col min="7451" max="7451" width="5.6640625" style="5" customWidth="1"/>
    <col min="7452" max="7452" width="9.109375" style="5" customWidth="1"/>
    <col min="7453" max="7455" width="8.88671875" style="5"/>
    <col min="7456" max="7456" width="11.6640625" style="5" customWidth="1"/>
    <col min="7457" max="7680" width="8.88671875" style="5"/>
    <col min="7681" max="7681" width="6.44140625" style="5" customWidth="1"/>
    <col min="7682" max="7682" width="43.33203125" style="5" customWidth="1"/>
    <col min="7683" max="7683" width="11.109375" style="5" customWidth="1"/>
    <col min="7684" max="7684" width="13.109375" style="5" customWidth="1"/>
    <col min="7685" max="7685" width="13.88671875" style="5" customWidth="1"/>
    <col min="7686" max="7686" width="8.33203125" style="5" customWidth="1"/>
    <col min="7687" max="7687" width="13" style="5" customWidth="1"/>
    <col min="7688" max="7688" width="8.109375" style="5" customWidth="1"/>
    <col min="7689" max="7689" width="7.88671875" style="5" customWidth="1"/>
    <col min="7690" max="7690" width="11.109375" style="5" customWidth="1"/>
    <col min="7691" max="7691" width="9.44140625" style="5" customWidth="1"/>
    <col min="7692" max="7692" width="9.5546875" style="5" customWidth="1"/>
    <col min="7693" max="7693" width="10.77734375" style="5" customWidth="1"/>
    <col min="7694" max="7694" width="6.5546875" style="5" customWidth="1"/>
    <col min="7695" max="7695" width="7.5546875" style="5" customWidth="1"/>
    <col min="7696" max="7696" width="10.109375" style="5" customWidth="1"/>
    <col min="7697" max="7697" width="9.44140625" style="5" customWidth="1"/>
    <col min="7698" max="7698" width="11" style="5" customWidth="1"/>
    <col min="7699" max="7699" width="14" style="5" customWidth="1"/>
    <col min="7700" max="7700" width="9.88671875" style="5" customWidth="1"/>
    <col min="7701" max="7704" width="8.88671875" style="5"/>
    <col min="7705" max="7705" width="15" style="5" customWidth="1"/>
    <col min="7706" max="7706" width="6.44140625" style="5" customWidth="1"/>
    <col min="7707" max="7707" width="5.6640625" style="5" customWidth="1"/>
    <col min="7708" max="7708" width="9.109375" style="5" customWidth="1"/>
    <col min="7709" max="7711" width="8.88671875" style="5"/>
    <col min="7712" max="7712" width="11.6640625" style="5" customWidth="1"/>
    <col min="7713" max="7936" width="8.88671875" style="5"/>
    <col min="7937" max="7937" width="6.44140625" style="5" customWidth="1"/>
    <col min="7938" max="7938" width="43.33203125" style="5" customWidth="1"/>
    <col min="7939" max="7939" width="11.109375" style="5" customWidth="1"/>
    <col min="7940" max="7940" width="13.109375" style="5" customWidth="1"/>
    <col min="7941" max="7941" width="13.88671875" style="5" customWidth="1"/>
    <col min="7942" max="7942" width="8.33203125" style="5" customWidth="1"/>
    <col min="7943" max="7943" width="13" style="5" customWidth="1"/>
    <col min="7944" max="7944" width="8.109375" style="5" customWidth="1"/>
    <col min="7945" max="7945" width="7.88671875" style="5" customWidth="1"/>
    <col min="7946" max="7946" width="11.109375" style="5" customWidth="1"/>
    <col min="7947" max="7947" width="9.44140625" style="5" customWidth="1"/>
    <col min="7948" max="7948" width="9.5546875" style="5" customWidth="1"/>
    <col min="7949" max="7949" width="10.77734375" style="5" customWidth="1"/>
    <col min="7950" max="7950" width="6.5546875" style="5" customWidth="1"/>
    <col min="7951" max="7951" width="7.5546875" style="5" customWidth="1"/>
    <col min="7952" max="7952" width="10.109375" style="5" customWidth="1"/>
    <col min="7953" max="7953" width="9.44140625" style="5" customWidth="1"/>
    <col min="7954" max="7954" width="11" style="5" customWidth="1"/>
    <col min="7955" max="7955" width="14" style="5" customWidth="1"/>
    <col min="7956" max="7956" width="9.88671875" style="5" customWidth="1"/>
    <col min="7957" max="7960" width="8.88671875" style="5"/>
    <col min="7961" max="7961" width="15" style="5" customWidth="1"/>
    <col min="7962" max="7962" width="6.44140625" style="5" customWidth="1"/>
    <col min="7963" max="7963" width="5.6640625" style="5" customWidth="1"/>
    <col min="7964" max="7964" width="9.109375" style="5" customWidth="1"/>
    <col min="7965" max="7967" width="8.88671875" style="5"/>
    <col min="7968" max="7968" width="11.6640625" style="5" customWidth="1"/>
    <col min="7969" max="8192" width="8.88671875" style="5"/>
    <col min="8193" max="8193" width="6.44140625" style="5" customWidth="1"/>
    <col min="8194" max="8194" width="43.33203125" style="5" customWidth="1"/>
    <col min="8195" max="8195" width="11.109375" style="5" customWidth="1"/>
    <col min="8196" max="8196" width="13.109375" style="5" customWidth="1"/>
    <col min="8197" max="8197" width="13.88671875" style="5" customWidth="1"/>
    <col min="8198" max="8198" width="8.33203125" style="5" customWidth="1"/>
    <col min="8199" max="8199" width="13" style="5" customWidth="1"/>
    <col min="8200" max="8200" width="8.109375" style="5" customWidth="1"/>
    <col min="8201" max="8201" width="7.88671875" style="5" customWidth="1"/>
    <col min="8202" max="8202" width="11.109375" style="5" customWidth="1"/>
    <col min="8203" max="8203" width="9.44140625" style="5" customWidth="1"/>
    <col min="8204" max="8204" width="9.5546875" style="5" customWidth="1"/>
    <col min="8205" max="8205" width="10.77734375" style="5" customWidth="1"/>
    <col min="8206" max="8206" width="6.5546875" style="5" customWidth="1"/>
    <col min="8207" max="8207" width="7.5546875" style="5" customWidth="1"/>
    <col min="8208" max="8208" width="10.109375" style="5" customWidth="1"/>
    <col min="8209" max="8209" width="9.44140625" style="5" customWidth="1"/>
    <col min="8210" max="8210" width="11" style="5" customWidth="1"/>
    <col min="8211" max="8211" width="14" style="5" customWidth="1"/>
    <col min="8212" max="8212" width="9.88671875" style="5" customWidth="1"/>
    <col min="8213" max="8216" width="8.88671875" style="5"/>
    <col min="8217" max="8217" width="15" style="5" customWidth="1"/>
    <col min="8218" max="8218" width="6.44140625" style="5" customWidth="1"/>
    <col min="8219" max="8219" width="5.6640625" style="5" customWidth="1"/>
    <col min="8220" max="8220" width="9.109375" style="5" customWidth="1"/>
    <col min="8221" max="8223" width="8.88671875" style="5"/>
    <col min="8224" max="8224" width="11.6640625" style="5" customWidth="1"/>
    <col min="8225" max="8448" width="8.88671875" style="5"/>
    <col min="8449" max="8449" width="6.44140625" style="5" customWidth="1"/>
    <col min="8450" max="8450" width="43.33203125" style="5" customWidth="1"/>
    <col min="8451" max="8451" width="11.109375" style="5" customWidth="1"/>
    <col min="8452" max="8452" width="13.109375" style="5" customWidth="1"/>
    <col min="8453" max="8453" width="13.88671875" style="5" customWidth="1"/>
    <col min="8454" max="8454" width="8.33203125" style="5" customWidth="1"/>
    <col min="8455" max="8455" width="13" style="5" customWidth="1"/>
    <col min="8456" max="8456" width="8.109375" style="5" customWidth="1"/>
    <col min="8457" max="8457" width="7.88671875" style="5" customWidth="1"/>
    <col min="8458" max="8458" width="11.109375" style="5" customWidth="1"/>
    <col min="8459" max="8459" width="9.44140625" style="5" customWidth="1"/>
    <col min="8460" max="8460" width="9.5546875" style="5" customWidth="1"/>
    <col min="8461" max="8461" width="10.77734375" style="5" customWidth="1"/>
    <col min="8462" max="8462" width="6.5546875" style="5" customWidth="1"/>
    <col min="8463" max="8463" width="7.5546875" style="5" customWidth="1"/>
    <col min="8464" max="8464" width="10.109375" style="5" customWidth="1"/>
    <col min="8465" max="8465" width="9.44140625" style="5" customWidth="1"/>
    <col min="8466" max="8466" width="11" style="5" customWidth="1"/>
    <col min="8467" max="8467" width="14" style="5" customWidth="1"/>
    <col min="8468" max="8468" width="9.88671875" style="5" customWidth="1"/>
    <col min="8469" max="8472" width="8.88671875" style="5"/>
    <col min="8473" max="8473" width="15" style="5" customWidth="1"/>
    <col min="8474" max="8474" width="6.44140625" style="5" customWidth="1"/>
    <col min="8475" max="8475" width="5.6640625" style="5" customWidth="1"/>
    <col min="8476" max="8476" width="9.109375" style="5" customWidth="1"/>
    <col min="8477" max="8479" width="8.88671875" style="5"/>
    <col min="8480" max="8480" width="11.6640625" style="5" customWidth="1"/>
    <col min="8481" max="8704" width="8.88671875" style="5"/>
    <col min="8705" max="8705" width="6.44140625" style="5" customWidth="1"/>
    <col min="8706" max="8706" width="43.33203125" style="5" customWidth="1"/>
    <col min="8707" max="8707" width="11.109375" style="5" customWidth="1"/>
    <col min="8708" max="8708" width="13.109375" style="5" customWidth="1"/>
    <col min="8709" max="8709" width="13.88671875" style="5" customWidth="1"/>
    <col min="8710" max="8710" width="8.33203125" style="5" customWidth="1"/>
    <col min="8711" max="8711" width="13" style="5" customWidth="1"/>
    <col min="8712" max="8712" width="8.109375" style="5" customWidth="1"/>
    <col min="8713" max="8713" width="7.88671875" style="5" customWidth="1"/>
    <col min="8714" max="8714" width="11.109375" style="5" customWidth="1"/>
    <col min="8715" max="8715" width="9.44140625" style="5" customWidth="1"/>
    <col min="8716" max="8716" width="9.5546875" style="5" customWidth="1"/>
    <col min="8717" max="8717" width="10.77734375" style="5" customWidth="1"/>
    <col min="8718" max="8718" width="6.5546875" style="5" customWidth="1"/>
    <col min="8719" max="8719" width="7.5546875" style="5" customWidth="1"/>
    <col min="8720" max="8720" width="10.109375" style="5" customWidth="1"/>
    <col min="8721" max="8721" width="9.44140625" style="5" customWidth="1"/>
    <col min="8722" max="8722" width="11" style="5" customWidth="1"/>
    <col min="8723" max="8723" width="14" style="5" customWidth="1"/>
    <col min="8724" max="8724" width="9.88671875" style="5" customWidth="1"/>
    <col min="8725" max="8728" width="8.88671875" style="5"/>
    <col min="8729" max="8729" width="15" style="5" customWidth="1"/>
    <col min="8730" max="8730" width="6.44140625" style="5" customWidth="1"/>
    <col min="8731" max="8731" width="5.6640625" style="5" customWidth="1"/>
    <col min="8732" max="8732" width="9.109375" style="5" customWidth="1"/>
    <col min="8733" max="8735" width="8.88671875" style="5"/>
    <col min="8736" max="8736" width="11.6640625" style="5" customWidth="1"/>
    <col min="8737" max="8960" width="8.88671875" style="5"/>
    <col min="8961" max="8961" width="6.44140625" style="5" customWidth="1"/>
    <col min="8962" max="8962" width="43.33203125" style="5" customWidth="1"/>
    <col min="8963" max="8963" width="11.109375" style="5" customWidth="1"/>
    <col min="8964" max="8964" width="13.109375" style="5" customWidth="1"/>
    <col min="8965" max="8965" width="13.88671875" style="5" customWidth="1"/>
    <col min="8966" max="8966" width="8.33203125" style="5" customWidth="1"/>
    <col min="8967" max="8967" width="13" style="5" customWidth="1"/>
    <col min="8968" max="8968" width="8.109375" style="5" customWidth="1"/>
    <col min="8969" max="8969" width="7.88671875" style="5" customWidth="1"/>
    <col min="8970" max="8970" width="11.109375" style="5" customWidth="1"/>
    <col min="8971" max="8971" width="9.44140625" style="5" customWidth="1"/>
    <col min="8972" max="8972" width="9.5546875" style="5" customWidth="1"/>
    <col min="8973" max="8973" width="10.77734375" style="5" customWidth="1"/>
    <col min="8974" max="8974" width="6.5546875" style="5" customWidth="1"/>
    <col min="8975" max="8975" width="7.5546875" style="5" customWidth="1"/>
    <col min="8976" max="8976" width="10.109375" style="5" customWidth="1"/>
    <col min="8977" max="8977" width="9.44140625" style="5" customWidth="1"/>
    <col min="8978" max="8978" width="11" style="5" customWidth="1"/>
    <col min="8979" max="8979" width="14" style="5" customWidth="1"/>
    <col min="8980" max="8980" width="9.88671875" style="5" customWidth="1"/>
    <col min="8981" max="8984" width="8.88671875" style="5"/>
    <col min="8985" max="8985" width="15" style="5" customWidth="1"/>
    <col min="8986" max="8986" width="6.44140625" style="5" customWidth="1"/>
    <col min="8987" max="8987" width="5.6640625" style="5" customWidth="1"/>
    <col min="8988" max="8988" width="9.109375" style="5" customWidth="1"/>
    <col min="8989" max="8991" width="8.88671875" style="5"/>
    <col min="8992" max="8992" width="11.6640625" style="5" customWidth="1"/>
    <col min="8993" max="9216" width="8.88671875" style="5"/>
    <col min="9217" max="9217" width="6.44140625" style="5" customWidth="1"/>
    <col min="9218" max="9218" width="43.33203125" style="5" customWidth="1"/>
    <col min="9219" max="9219" width="11.109375" style="5" customWidth="1"/>
    <col min="9220" max="9220" width="13.109375" style="5" customWidth="1"/>
    <col min="9221" max="9221" width="13.88671875" style="5" customWidth="1"/>
    <col min="9222" max="9222" width="8.33203125" style="5" customWidth="1"/>
    <col min="9223" max="9223" width="13" style="5" customWidth="1"/>
    <col min="9224" max="9224" width="8.109375" style="5" customWidth="1"/>
    <col min="9225" max="9225" width="7.88671875" style="5" customWidth="1"/>
    <col min="9226" max="9226" width="11.109375" style="5" customWidth="1"/>
    <col min="9227" max="9227" width="9.44140625" style="5" customWidth="1"/>
    <col min="9228" max="9228" width="9.5546875" style="5" customWidth="1"/>
    <col min="9229" max="9229" width="10.77734375" style="5" customWidth="1"/>
    <col min="9230" max="9230" width="6.5546875" style="5" customWidth="1"/>
    <col min="9231" max="9231" width="7.5546875" style="5" customWidth="1"/>
    <col min="9232" max="9232" width="10.109375" style="5" customWidth="1"/>
    <col min="9233" max="9233" width="9.44140625" style="5" customWidth="1"/>
    <col min="9234" max="9234" width="11" style="5" customWidth="1"/>
    <col min="9235" max="9235" width="14" style="5" customWidth="1"/>
    <col min="9236" max="9236" width="9.88671875" style="5" customWidth="1"/>
    <col min="9237" max="9240" width="8.88671875" style="5"/>
    <col min="9241" max="9241" width="15" style="5" customWidth="1"/>
    <col min="9242" max="9242" width="6.44140625" style="5" customWidth="1"/>
    <col min="9243" max="9243" width="5.6640625" style="5" customWidth="1"/>
    <col min="9244" max="9244" width="9.109375" style="5" customWidth="1"/>
    <col min="9245" max="9247" width="8.88671875" style="5"/>
    <col min="9248" max="9248" width="11.6640625" style="5" customWidth="1"/>
    <col min="9249" max="9472" width="8.88671875" style="5"/>
    <col min="9473" max="9473" width="6.44140625" style="5" customWidth="1"/>
    <col min="9474" max="9474" width="43.33203125" style="5" customWidth="1"/>
    <col min="9475" max="9475" width="11.109375" style="5" customWidth="1"/>
    <col min="9476" max="9476" width="13.109375" style="5" customWidth="1"/>
    <col min="9477" max="9477" width="13.88671875" style="5" customWidth="1"/>
    <col min="9478" max="9478" width="8.33203125" style="5" customWidth="1"/>
    <col min="9479" max="9479" width="13" style="5" customWidth="1"/>
    <col min="9480" max="9480" width="8.109375" style="5" customWidth="1"/>
    <col min="9481" max="9481" width="7.88671875" style="5" customWidth="1"/>
    <col min="9482" max="9482" width="11.109375" style="5" customWidth="1"/>
    <col min="9483" max="9483" width="9.44140625" style="5" customWidth="1"/>
    <col min="9484" max="9484" width="9.5546875" style="5" customWidth="1"/>
    <col min="9485" max="9485" width="10.77734375" style="5" customWidth="1"/>
    <col min="9486" max="9486" width="6.5546875" style="5" customWidth="1"/>
    <col min="9487" max="9487" width="7.5546875" style="5" customWidth="1"/>
    <col min="9488" max="9488" width="10.109375" style="5" customWidth="1"/>
    <col min="9489" max="9489" width="9.44140625" style="5" customWidth="1"/>
    <col min="9490" max="9490" width="11" style="5" customWidth="1"/>
    <col min="9491" max="9491" width="14" style="5" customWidth="1"/>
    <col min="9492" max="9492" width="9.88671875" style="5" customWidth="1"/>
    <col min="9493" max="9496" width="8.88671875" style="5"/>
    <col min="9497" max="9497" width="15" style="5" customWidth="1"/>
    <col min="9498" max="9498" width="6.44140625" style="5" customWidth="1"/>
    <col min="9499" max="9499" width="5.6640625" style="5" customWidth="1"/>
    <col min="9500" max="9500" width="9.109375" style="5" customWidth="1"/>
    <col min="9501" max="9503" width="8.88671875" style="5"/>
    <col min="9504" max="9504" width="11.6640625" style="5" customWidth="1"/>
    <col min="9505" max="9728" width="8.88671875" style="5"/>
    <col min="9729" max="9729" width="6.44140625" style="5" customWidth="1"/>
    <col min="9730" max="9730" width="43.33203125" style="5" customWidth="1"/>
    <col min="9731" max="9731" width="11.109375" style="5" customWidth="1"/>
    <col min="9732" max="9732" width="13.109375" style="5" customWidth="1"/>
    <col min="9733" max="9733" width="13.88671875" style="5" customWidth="1"/>
    <col min="9734" max="9734" width="8.33203125" style="5" customWidth="1"/>
    <col min="9735" max="9735" width="13" style="5" customWidth="1"/>
    <col min="9736" max="9736" width="8.109375" style="5" customWidth="1"/>
    <col min="9737" max="9737" width="7.88671875" style="5" customWidth="1"/>
    <col min="9738" max="9738" width="11.109375" style="5" customWidth="1"/>
    <col min="9739" max="9739" width="9.44140625" style="5" customWidth="1"/>
    <col min="9740" max="9740" width="9.5546875" style="5" customWidth="1"/>
    <col min="9741" max="9741" width="10.77734375" style="5" customWidth="1"/>
    <col min="9742" max="9742" width="6.5546875" style="5" customWidth="1"/>
    <col min="9743" max="9743" width="7.5546875" style="5" customWidth="1"/>
    <col min="9744" max="9744" width="10.109375" style="5" customWidth="1"/>
    <col min="9745" max="9745" width="9.44140625" style="5" customWidth="1"/>
    <col min="9746" max="9746" width="11" style="5" customWidth="1"/>
    <col min="9747" max="9747" width="14" style="5" customWidth="1"/>
    <col min="9748" max="9748" width="9.88671875" style="5" customWidth="1"/>
    <col min="9749" max="9752" width="8.88671875" style="5"/>
    <col min="9753" max="9753" width="15" style="5" customWidth="1"/>
    <col min="9754" max="9754" width="6.44140625" style="5" customWidth="1"/>
    <col min="9755" max="9755" width="5.6640625" style="5" customWidth="1"/>
    <col min="9756" max="9756" width="9.109375" style="5" customWidth="1"/>
    <col min="9757" max="9759" width="8.88671875" style="5"/>
    <col min="9760" max="9760" width="11.6640625" style="5" customWidth="1"/>
    <col min="9761" max="9984" width="8.88671875" style="5"/>
    <col min="9985" max="9985" width="6.44140625" style="5" customWidth="1"/>
    <col min="9986" max="9986" width="43.33203125" style="5" customWidth="1"/>
    <col min="9987" max="9987" width="11.109375" style="5" customWidth="1"/>
    <col min="9988" max="9988" width="13.109375" style="5" customWidth="1"/>
    <col min="9989" max="9989" width="13.88671875" style="5" customWidth="1"/>
    <col min="9990" max="9990" width="8.33203125" style="5" customWidth="1"/>
    <col min="9991" max="9991" width="13" style="5" customWidth="1"/>
    <col min="9992" max="9992" width="8.109375" style="5" customWidth="1"/>
    <col min="9993" max="9993" width="7.88671875" style="5" customWidth="1"/>
    <col min="9994" max="9994" width="11.109375" style="5" customWidth="1"/>
    <col min="9995" max="9995" width="9.44140625" style="5" customWidth="1"/>
    <col min="9996" max="9996" width="9.5546875" style="5" customWidth="1"/>
    <col min="9997" max="9997" width="10.77734375" style="5" customWidth="1"/>
    <col min="9998" max="9998" width="6.5546875" style="5" customWidth="1"/>
    <col min="9999" max="9999" width="7.5546875" style="5" customWidth="1"/>
    <col min="10000" max="10000" width="10.109375" style="5" customWidth="1"/>
    <col min="10001" max="10001" width="9.44140625" style="5" customWidth="1"/>
    <col min="10002" max="10002" width="11" style="5" customWidth="1"/>
    <col min="10003" max="10003" width="14" style="5" customWidth="1"/>
    <col min="10004" max="10004" width="9.88671875" style="5" customWidth="1"/>
    <col min="10005" max="10008" width="8.88671875" style="5"/>
    <col min="10009" max="10009" width="15" style="5" customWidth="1"/>
    <col min="10010" max="10010" width="6.44140625" style="5" customWidth="1"/>
    <col min="10011" max="10011" width="5.6640625" style="5" customWidth="1"/>
    <col min="10012" max="10012" width="9.109375" style="5" customWidth="1"/>
    <col min="10013" max="10015" width="8.88671875" style="5"/>
    <col min="10016" max="10016" width="11.6640625" style="5" customWidth="1"/>
    <col min="10017" max="10240" width="8.88671875" style="5"/>
    <col min="10241" max="10241" width="6.44140625" style="5" customWidth="1"/>
    <col min="10242" max="10242" width="43.33203125" style="5" customWidth="1"/>
    <col min="10243" max="10243" width="11.109375" style="5" customWidth="1"/>
    <col min="10244" max="10244" width="13.109375" style="5" customWidth="1"/>
    <col min="10245" max="10245" width="13.88671875" style="5" customWidth="1"/>
    <col min="10246" max="10246" width="8.33203125" style="5" customWidth="1"/>
    <col min="10247" max="10247" width="13" style="5" customWidth="1"/>
    <col min="10248" max="10248" width="8.109375" style="5" customWidth="1"/>
    <col min="10249" max="10249" width="7.88671875" style="5" customWidth="1"/>
    <col min="10250" max="10250" width="11.109375" style="5" customWidth="1"/>
    <col min="10251" max="10251" width="9.44140625" style="5" customWidth="1"/>
    <col min="10252" max="10252" width="9.5546875" style="5" customWidth="1"/>
    <col min="10253" max="10253" width="10.77734375" style="5" customWidth="1"/>
    <col min="10254" max="10254" width="6.5546875" style="5" customWidth="1"/>
    <col min="10255" max="10255" width="7.5546875" style="5" customWidth="1"/>
    <col min="10256" max="10256" width="10.109375" style="5" customWidth="1"/>
    <col min="10257" max="10257" width="9.44140625" style="5" customWidth="1"/>
    <col min="10258" max="10258" width="11" style="5" customWidth="1"/>
    <col min="10259" max="10259" width="14" style="5" customWidth="1"/>
    <col min="10260" max="10260" width="9.88671875" style="5" customWidth="1"/>
    <col min="10261" max="10264" width="8.88671875" style="5"/>
    <col min="10265" max="10265" width="15" style="5" customWidth="1"/>
    <col min="10266" max="10266" width="6.44140625" style="5" customWidth="1"/>
    <col min="10267" max="10267" width="5.6640625" style="5" customWidth="1"/>
    <col min="10268" max="10268" width="9.109375" style="5" customWidth="1"/>
    <col min="10269" max="10271" width="8.88671875" style="5"/>
    <col min="10272" max="10272" width="11.6640625" style="5" customWidth="1"/>
    <col min="10273" max="10496" width="8.88671875" style="5"/>
    <col min="10497" max="10497" width="6.44140625" style="5" customWidth="1"/>
    <col min="10498" max="10498" width="43.33203125" style="5" customWidth="1"/>
    <col min="10499" max="10499" width="11.109375" style="5" customWidth="1"/>
    <col min="10500" max="10500" width="13.109375" style="5" customWidth="1"/>
    <col min="10501" max="10501" width="13.88671875" style="5" customWidth="1"/>
    <col min="10502" max="10502" width="8.33203125" style="5" customWidth="1"/>
    <col min="10503" max="10503" width="13" style="5" customWidth="1"/>
    <col min="10504" max="10504" width="8.109375" style="5" customWidth="1"/>
    <col min="10505" max="10505" width="7.88671875" style="5" customWidth="1"/>
    <col min="10506" max="10506" width="11.109375" style="5" customWidth="1"/>
    <col min="10507" max="10507" width="9.44140625" style="5" customWidth="1"/>
    <col min="10508" max="10508" width="9.5546875" style="5" customWidth="1"/>
    <col min="10509" max="10509" width="10.77734375" style="5" customWidth="1"/>
    <col min="10510" max="10510" width="6.5546875" style="5" customWidth="1"/>
    <col min="10511" max="10511" width="7.5546875" style="5" customWidth="1"/>
    <col min="10512" max="10512" width="10.109375" style="5" customWidth="1"/>
    <col min="10513" max="10513" width="9.44140625" style="5" customWidth="1"/>
    <col min="10514" max="10514" width="11" style="5" customWidth="1"/>
    <col min="10515" max="10515" width="14" style="5" customWidth="1"/>
    <col min="10516" max="10516" width="9.88671875" style="5" customWidth="1"/>
    <col min="10517" max="10520" width="8.88671875" style="5"/>
    <col min="10521" max="10521" width="15" style="5" customWidth="1"/>
    <col min="10522" max="10522" width="6.44140625" style="5" customWidth="1"/>
    <col min="10523" max="10523" width="5.6640625" style="5" customWidth="1"/>
    <col min="10524" max="10524" width="9.109375" style="5" customWidth="1"/>
    <col min="10525" max="10527" width="8.88671875" style="5"/>
    <col min="10528" max="10528" width="11.6640625" style="5" customWidth="1"/>
    <col min="10529" max="10752" width="8.88671875" style="5"/>
    <col min="10753" max="10753" width="6.44140625" style="5" customWidth="1"/>
    <col min="10754" max="10754" width="43.33203125" style="5" customWidth="1"/>
    <col min="10755" max="10755" width="11.109375" style="5" customWidth="1"/>
    <col min="10756" max="10756" width="13.109375" style="5" customWidth="1"/>
    <col min="10757" max="10757" width="13.88671875" style="5" customWidth="1"/>
    <col min="10758" max="10758" width="8.33203125" style="5" customWidth="1"/>
    <col min="10759" max="10759" width="13" style="5" customWidth="1"/>
    <col min="10760" max="10760" width="8.109375" style="5" customWidth="1"/>
    <col min="10761" max="10761" width="7.88671875" style="5" customWidth="1"/>
    <col min="10762" max="10762" width="11.109375" style="5" customWidth="1"/>
    <col min="10763" max="10763" width="9.44140625" style="5" customWidth="1"/>
    <col min="10764" max="10764" width="9.5546875" style="5" customWidth="1"/>
    <col min="10765" max="10765" width="10.77734375" style="5" customWidth="1"/>
    <col min="10766" max="10766" width="6.5546875" style="5" customWidth="1"/>
    <col min="10767" max="10767" width="7.5546875" style="5" customWidth="1"/>
    <col min="10768" max="10768" width="10.109375" style="5" customWidth="1"/>
    <col min="10769" max="10769" width="9.44140625" style="5" customWidth="1"/>
    <col min="10770" max="10770" width="11" style="5" customWidth="1"/>
    <col min="10771" max="10771" width="14" style="5" customWidth="1"/>
    <col min="10772" max="10772" width="9.88671875" style="5" customWidth="1"/>
    <col min="10773" max="10776" width="8.88671875" style="5"/>
    <col min="10777" max="10777" width="15" style="5" customWidth="1"/>
    <col min="10778" max="10778" width="6.44140625" style="5" customWidth="1"/>
    <col min="10779" max="10779" width="5.6640625" style="5" customWidth="1"/>
    <col min="10780" max="10780" width="9.109375" style="5" customWidth="1"/>
    <col min="10781" max="10783" width="8.88671875" style="5"/>
    <col min="10784" max="10784" width="11.6640625" style="5" customWidth="1"/>
    <col min="10785" max="11008" width="8.88671875" style="5"/>
    <col min="11009" max="11009" width="6.44140625" style="5" customWidth="1"/>
    <col min="11010" max="11010" width="43.33203125" style="5" customWidth="1"/>
    <col min="11011" max="11011" width="11.109375" style="5" customWidth="1"/>
    <col min="11012" max="11012" width="13.109375" style="5" customWidth="1"/>
    <col min="11013" max="11013" width="13.88671875" style="5" customWidth="1"/>
    <col min="11014" max="11014" width="8.33203125" style="5" customWidth="1"/>
    <col min="11015" max="11015" width="13" style="5" customWidth="1"/>
    <col min="11016" max="11016" width="8.109375" style="5" customWidth="1"/>
    <col min="11017" max="11017" width="7.88671875" style="5" customWidth="1"/>
    <col min="11018" max="11018" width="11.109375" style="5" customWidth="1"/>
    <col min="11019" max="11019" width="9.44140625" style="5" customWidth="1"/>
    <col min="11020" max="11020" width="9.5546875" style="5" customWidth="1"/>
    <col min="11021" max="11021" width="10.77734375" style="5" customWidth="1"/>
    <col min="11022" max="11022" width="6.5546875" style="5" customWidth="1"/>
    <col min="11023" max="11023" width="7.5546875" style="5" customWidth="1"/>
    <col min="11024" max="11024" width="10.109375" style="5" customWidth="1"/>
    <col min="11025" max="11025" width="9.44140625" style="5" customWidth="1"/>
    <col min="11026" max="11026" width="11" style="5" customWidth="1"/>
    <col min="11027" max="11027" width="14" style="5" customWidth="1"/>
    <col min="11028" max="11028" width="9.88671875" style="5" customWidth="1"/>
    <col min="11029" max="11032" width="8.88671875" style="5"/>
    <col min="11033" max="11033" width="15" style="5" customWidth="1"/>
    <col min="11034" max="11034" width="6.44140625" style="5" customWidth="1"/>
    <col min="11035" max="11035" width="5.6640625" style="5" customWidth="1"/>
    <col min="11036" max="11036" width="9.109375" style="5" customWidth="1"/>
    <col min="11037" max="11039" width="8.88671875" style="5"/>
    <col min="11040" max="11040" width="11.6640625" style="5" customWidth="1"/>
    <col min="11041" max="11264" width="8.88671875" style="5"/>
    <col min="11265" max="11265" width="6.44140625" style="5" customWidth="1"/>
    <col min="11266" max="11266" width="43.33203125" style="5" customWidth="1"/>
    <col min="11267" max="11267" width="11.109375" style="5" customWidth="1"/>
    <col min="11268" max="11268" width="13.109375" style="5" customWidth="1"/>
    <col min="11269" max="11269" width="13.88671875" style="5" customWidth="1"/>
    <col min="11270" max="11270" width="8.33203125" style="5" customWidth="1"/>
    <col min="11271" max="11271" width="13" style="5" customWidth="1"/>
    <col min="11272" max="11272" width="8.109375" style="5" customWidth="1"/>
    <col min="11273" max="11273" width="7.88671875" style="5" customWidth="1"/>
    <col min="11274" max="11274" width="11.109375" style="5" customWidth="1"/>
    <col min="11275" max="11275" width="9.44140625" style="5" customWidth="1"/>
    <col min="11276" max="11276" width="9.5546875" style="5" customWidth="1"/>
    <col min="11277" max="11277" width="10.77734375" style="5" customWidth="1"/>
    <col min="11278" max="11278" width="6.5546875" style="5" customWidth="1"/>
    <col min="11279" max="11279" width="7.5546875" style="5" customWidth="1"/>
    <col min="11280" max="11280" width="10.109375" style="5" customWidth="1"/>
    <col min="11281" max="11281" width="9.44140625" style="5" customWidth="1"/>
    <col min="11282" max="11282" width="11" style="5" customWidth="1"/>
    <col min="11283" max="11283" width="14" style="5" customWidth="1"/>
    <col min="11284" max="11284" width="9.88671875" style="5" customWidth="1"/>
    <col min="11285" max="11288" width="8.88671875" style="5"/>
    <col min="11289" max="11289" width="15" style="5" customWidth="1"/>
    <col min="11290" max="11290" width="6.44140625" style="5" customWidth="1"/>
    <col min="11291" max="11291" width="5.6640625" style="5" customWidth="1"/>
    <col min="11292" max="11292" width="9.109375" style="5" customWidth="1"/>
    <col min="11293" max="11295" width="8.88671875" style="5"/>
    <col min="11296" max="11296" width="11.6640625" style="5" customWidth="1"/>
    <col min="11297" max="11520" width="8.88671875" style="5"/>
    <col min="11521" max="11521" width="6.44140625" style="5" customWidth="1"/>
    <col min="11522" max="11522" width="43.33203125" style="5" customWidth="1"/>
    <col min="11523" max="11523" width="11.109375" style="5" customWidth="1"/>
    <col min="11524" max="11524" width="13.109375" style="5" customWidth="1"/>
    <col min="11525" max="11525" width="13.88671875" style="5" customWidth="1"/>
    <col min="11526" max="11526" width="8.33203125" style="5" customWidth="1"/>
    <col min="11527" max="11527" width="13" style="5" customWidth="1"/>
    <col min="11528" max="11528" width="8.109375" style="5" customWidth="1"/>
    <col min="11529" max="11529" width="7.88671875" style="5" customWidth="1"/>
    <col min="11530" max="11530" width="11.109375" style="5" customWidth="1"/>
    <col min="11531" max="11531" width="9.44140625" style="5" customWidth="1"/>
    <col min="11532" max="11532" width="9.5546875" style="5" customWidth="1"/>
    <col min="11533" max="11533" width="10.77734375" style="5" customWidth="1"/>
    <col min="11534" max="11534" width="6.5546875" style="5" customWidth="1"/>
    <col min="11535" max="11535" width="7.5546875" style="5" customWidth="1"/>
    <col min="11536" max="11536" width="10.109375" style="5" customWidth="1"/>
    <col min="11537" max="11537" width="9.44140625" style="5" customWidth="1"/>
    <col min="11538" max="11538" width="11" style="5" customWidth="1"/>
    <col min="11539" max="11539" width="14" style="5" customWidth="1"/>
    <col min="11540" max="11540" width="9.88671875" style="5" customWidth="1"/>
    <col min="11541" max="11544" width="8.88671875" style="5"/>
    <col min="11545" max="11545" width="15" style="5" customWidth="1"/>
    <col min="11546" max="11546" width="6.44140625" style="5" customWidth="1"/>
    <col min="11547" max="11547" width="5.6640625" style="5" customWidth="1"/>
    <col min="11548" max="11548" width="9.109375" style="5" customWidth="1"/>
    <col min="11549" max="11551" width="8.88671875" style="5"/>
    <col min="11552" max="11552" width="11.6640625" style="5" customWidth="1"/>
    <col min="11553" max="11776" width="8.88671875" style="5"/>
    <col min="11777" max="11777" width="6.44140625" style="5" customWidth="1"/>
    <col min="11778" max="11778" width="43.33203125" style="5" customWidth="1"/>
    <col min="11779" max="11779" width="11.109375" style="5" customWidth="1"/>
    <col min="11780" max="11780" width="13.109375" style="5" customWidth="1"/>
    <col min="11781" max="11781" width="13.88671875" style="5" customWidth="1"/>
    <col min="11782" max="11782" width="8.33203125" style="5" customWidth="1"/>
    <col min="11783" max="11783" width="13" style="5" customWidth="1"/>
    <col min="11784" max="11784" width="8.109375" style="5" customWidth="1"/>
    <col min="11785" max="11785" width="7.88671875" style="5" customWidth="1"/>
    <col min="11786" max="11786" width="11.109375" style="5" customWidth="1"/>
    <col min="11787" max="11787" width="9.44140625" style="5" customWidth="1"/>
    <col min="11788" max="11788" width="9.5546875" style="5" customWidth="1"/>
    <col min="11789" max="11789" width="10.77734375" style="5" customWidth="1"/>
    <col min="11790" max="11790" width="6.5546875" style="5" customWidth="1"/>
    <col min="11791" max="11791" width="7.5546875" style="5" customWidth="1"/>
    <col min="11792" max="11792" width="10.109375" style="5" customWidth="1"/>
    <col min="11793" max="11793" width="9.44140625" style="5" customWidth="1"/>
    <col min="11794" max="11794" width="11" style="5" customWidth="1"/>
    <col min="11795" max="11795" width="14" style="5" customWidth="1"/>
    <col min="11796" max="11796" width="9.88671875" style="5" customWidth="1"/>
    <col min="11797" max="11800" width="8.88671875" style="5"/>
    <col min="11801" max="11801" width="15" style="5" customWidth="1"/>
    <col min="11802" max="11802" width="6.44140625" style="5" customWidth="1"/>
    <col min="11803" max="11803" width="5.6640625" style="5" customWidth="1"/>
    <col min="11804" max="11804" width="9.109375" style="5" customWidth="1"/>
    <col min="11805" max="11807" width="8.88671875" style="5"/>
    <col min="11808" max="11808" width="11.6640625" style="5" customWidth="1"/>
    <col min="11809" max="12032" width="8.88671875" style="5"/>
    <col min="12033" max="12033" width="6.44140625" style="5" customWidth="1"/>
    <col min="12034" max="12034" width="43.33203125" style="5" customWidth="1"/>
    <col min="12035" max="12035" width="11.109375" style="5" customWidth="1"/>
    <col min="12036" max="12036" width="13.109375" style="5" customWidth="1"/>
    <col min="12037" max="12037" width="13.88671875" style="5" customWidth="1"/>
    <col min="12038" max="12038" width="8.33203125" style="5" customWidth="1"/>
    <col min="12039" max="12039" width="13" style="5" customWidth="1"/>
    <col min="12040" max="12040" width="8.109375" style="5" customWidth="1"/>
    <col min="12041" max="12041" width="7.88671875" style="5" customWidth="1"/>
    <col min="12042" max="12042" width="11.109375" style="5" customWidth="1"/>
    <col min="12043" max="12043" width="9.44140625" style="5" customWidth="1"/>
    <col min="12044" max="12044" width="9.5546875" style="5" customWidth="1"/>
    <col min="12045" max="12045" width="10.77734375" style="5" customWidth="1"/>
    <col min="12046" max="12046" width="6.5546875" style="5" customWidth="1"/>
    <col min="12047" max="12047" width="7.5546875" style="5" customWidth="1"/>
    <col min="12048" max="12048" width="10.109375" style="5" customWidth="1"/>
    <col min="12049" max="12049" width="9.44140625" style="5" customWidth="1"/>
    <col min="12050" max="12050" width="11" style="5" customWidth="1"/>
    <col min="12051" max="12051" width="14" style="5" customWidth="1"/>
    <col min="12052" max="12052" width="9.88671875" style="5" customWidth="1"/>
    <col min="12053" max="12056" width="8.88671875" style="5"/>
    <col min="12057" max="12057" width="15" style="5" customWidth="1"/>
    <col min="12058" max="12058" width="6.44140625" style="5" customWidth="1"/>
    <col min="12059" max="12059" width="5.6640625" style="5" customWidth="1"/>
    <col min="12060" max="12060" width="9.109375" style="5" customWidth="1"/>
    <col min="12061" max="12063" width="8.88671875" style="5"/>
    <col min="12064" max="12064" width="11.6640625" style="5" customWidth="1"/>
    <col min="12065" max="12288" width="8.88671875" style="5"/>
    <col min="12289" max="12289" width="6.44140625" style="5" customWidth="1"/>
    <col min="12290" max="12290" width="43.33203125" style="5" customWidth="1"/>
    <col min="12291" max="12291" width="11.109375" style="5" customWidth="1"/>
    <col min="12292" max="12292" width="13.109375" style="5" customWidth="1"/>
    <col min="12293" max="12293" width="13.88671875" style="5" customWidth="1"/>
    <col min="12294" max="12294" width="8.33203125" style="5" customWidth="1"/>
    <col min="12295" max="12295" width="13" style="5" customWidth="1"/>
    <col min="12296" max="12296" width="8.109375" style="5" customWidth="1"/>
    <col min="12297" max="12297" width="7.88671875" style="5" customWidth="1"/>
    <col min="12298" max="12298" width="11.109375" style="5" customWidth="1"/>
    <col min="12299" max="12299" width="9.44140625" style="5" customWidth="1"/>
    <col min="12300" max="12300" width="9.5546875" style="5" customWidth="1"/>
    <col min="12301" max="12301" width="10.77734375" style="5" customWidth="1"/>
    <col min="12302" max="12302" width="6.5546875" style="5" customWidth="1"/>
    <col min="12303" max="12303" width="7.5546875" style="5" customWidth="1"/>
    <col min="12304" max="12304" width="10.109375" style="5" customWidth="1"/>
    <col min="12305" max="12305" width="9.44140625" style="5" customWidth="1"/>
    <col min="12306" max="12306" width="11" style="5" customWidth="1"/>
    <col min="12307" max="12307" width="14" style="5" customWidth="1"/>
    <col min="12308" max="12308" width="9.88671875" style="5" customWidth="1"/>
    <col min="12309" max="12312" width="8.88671875" style="5"/>
    <col min="12313" max="12313" width="15" style="5" customWidth="1"/>
    <col min="12314" max="12314" width="6.44140625" style="5" customWidth="1"/>
    <col min="12315" max="12315" width="5.6640625" style="5" customWidth="1"/>
    <col min="12316" max="12316" width="9.109375" style="5" customWidth="1"/>
    <col min="12317" max="12319" width="8.88671875" style="5"/>
    <col min="12320" max="12320" width="11.6640625" style="5" customWidth="1"/>
    <col min="12321" max="12544" width="8.88671875" style="5"/>
    <col min="12545" max="12545" width="6.44140625" style="5" customWidth="1"/>
    <col min="12546" max="12546" width="43.33203125" style="5" customWidth="1"/>
    <col min="12547" max="12547" width="11.109375" style="5" customWidth="1"/>
    <col min="12548" max="12548" width="13.109375" style="5" customWidth="1"/>
    <col min="12549" max="12549" width="13.88671875" style="5" customWidth="1"/>
    <col min="12550" max="12550" width="8.33203125" style="5" customWidth="1"/>
    <col min="12551" max="12551" width="13" style="5" customWidth="1"/>
    <col min="12552" max="12552" width="8.109375" style="5" customWidth="1"/>
    <col min="12553" max="12553" width="7.88671875" style="5" customWidth="1"/>
    <col min="12554" max="12554" width="11.109375" style="5" customWidth="1"/>
    <col min="12555" max="12555" width="9.44140625" style="5" customWidth="1"/>
    <col min="12556" max="12556" width="9.5546875" style="5" customWidth="1"/>
    <col min="12557" max="12557" width="10.77734375" style="5" customWidth="1"/>
    <col min="12558" max="12558" width="6.5546875" style="5" customWidth="1"/>
    <col min="12559" max="12559" width="7.5546875" style="5" customWidth="1"/>
    <col min="12560" max="12560" width="10.109375" style="5" customWidth="1"/>
    <col min="12561" max="12561" width="9.44140625" style="5" customWidth="1"/>
    <col min="12562" max="12562" width="11" style="5" customWidth="1"/>
    <col min="12563" max="12563" width="14" style="5" customWidth="1"/>
    <col min="12564" max="12564" width="9.88671875" style="5" customWidth="1"/>
    <col min="12565" max="12568" width="8.88671875" style="5"/>
    <col min="12569" max="12569" width="15" style="5" customWidth="1"/>
    <col min="12570" max="12570" width="6.44140625" style="5" customWidth="1"/>
    <col min="12571" max="12571" width="5.6640625" style="5" customWidth="1"/>
    <col min="12572" max="12572" width="9.109375" style="5" customWidth="1"/>
    <col min="12573" max="12575" width="8.88671875" style="5"/>
    <col min="12576" max="12576" width="11.6640625" style="5" customWidth="1"/>
    <col min="12577" max="12800" width="8.88671875" style="5"/>
    <col min="12801" max="12801" width="6.44140625" style="5" customWidth="1"/>
    <col min="12802" max="12802" width="43.33203125" style="5" customWidth="1"/>
    <col min="12803" max="12803" width="11.109375" style="5" customWidth="1"/>
    <col min="12804" max="12804" width="13.109375" style="5" customWidth="1"/>
    <col min="12805" max="12805" width="13.88671875" style="5" customWidth="1"/>
    <col min="12806" max="12806" width="8.33203125" style="5" customWidth="1"/>
    <col min="12807" max="12807" width="13" style="5" customWidth="1"/>
    <col min="12808" max="12808" width="8.109375" style="5" customWidth="1"/>
    <col min="12809" max="12809" width="7.88671875" style="5" customWidth="1"/>
    <col min="12810" max="12810" width="11.109375" style="5" customWidth="1"/>
    <col min="12811" max="12811" width="9.44140625" style="5" customWidth="1"/>
    <col min="12812" max="12812" width="9.5546875" style="5" customWidth="1"/>
    <col min="12813" max="12813" width="10.77734375" style="5" customWidth="1"/>
    <col min="12814" max="12814" width="6.5546875" style="5" customWidth="1"/>
    <col min="12815" max="12815" width="7.5546875" style="5" customWidth="1"/>
    <col min="12816" max="12816" width="10.109375" style="5" customWidth="1"/>
    <col min="12817" max="12817" width="9.44140625" style="5" customWidth="1"/>
    <col min="12818" max="12818" width="11" style="5" customWidth="1"/>
    <col min="12819" max="12819" width="14" style="5" customWidth="1"/>
    <col min="12820" max="12820" width="9.88671875" style="5" customWidth="1"/>
    <col min="12821" max="12824" width="8.88671875" style="5"/>
    <col min="12825" max="12825" width="15" style="5" customWidth="1"/>
    <col min="12826" max="12826" width="6.44140625" style="5" customWidth="1"/>
    <col min="12827" max="12827" width="5.6640625" style="5" customWidth="1"/>
    <col min="12828" max="12828" width="9.109375" style="5" customWidth="1"/>
    <col min="12829" max="12831" width="8.88671875" style="5"/>
    <col min="12832" max="12832" width="11.6640625" style="5" customWidth="1"/>
    <col min="12833" max="13056" width="8.88671875" style="5"/>
    <col min="13057" max="13057" width="6.44140625" style="5" customWidth="1"/>
    <col min="13058" max="13058" width="43.33203125" style="5" customWidth="1"/>
    <col min="13059" max="13059" width="11.109375" style="5" customWidth="1"/>
    <col min="13060" max="13060" width="13.109375" style="5" customWidth="1"/>
    <col min="13061" max="13061" width="13.88671875" style="5" customWidth="1"/>
    <col min="13062" max="13062" width="8.33203125" style="5" customWidth="1"/>
    <col min="13063" max="13063" width="13" style="5" customWidth="1"/>
    <col min="13064" max="13064" width="8.109375" style="5" customWidth="1"/>
    <col min="13065" max="13065" width="7.88671875" style="5" customWidth="1"/>
    <col min="13066" max="13066" width="11.109375" style="5" customWidth="1"/>
    <col min="13067" max="13067" width="9.44140625" style="5" customWidth="1"/>
    <col min="13068" max="13068" width="9.5546875" style="5" customWidth="1"/>
    <col min="13069" max="13069" width="10.77734375" style="5" customWidth="1"/>
    <col min="13070" max="13070" width="6.5546875" style="5" customWidth="1"/>
    <col min="13071" max="13071" width="7.5546875" style="5" customWidth="1"/>
    <col min="13072" max="13072" width="10.109375" style="5" customWidth="1"/>
    <col min="13073" max="13073" width="9.44140625" style="5" customWidth="1"/>
    <col min="13074" max="13074" width="11" style="5" customWidth="1"/>
    <col min="13075" max="13075" width="14" style="5" customWidth="1"/>
    <col min="13076" max="13076" width="9.88671875" style="5" customWidth="1"/>
    <col min="13077" max="13080" width="8.88671875" style="5"/>
    <col min="13081" max="13081" width="15" style="5" customWidth="1"/>
    <col min="13082" max="13082" width="6.44140625" style="5" customWidth="1"/>
    <col min="13083" max="13083" width="5.6640625" style="5" customWidth="1"/>
    <col min="13084" max="13084" width="9.109375" style="5" customWidth="1"/>
    <col min="13085" max="13087" width="8.88671875" style="5"/>
    <col min="13088" max="13088" width="11.6640625" style="5" customWidth="1"/>
    <col min="13089" max="13312" width="8.88671875" style="5"/>
    <col min="13313" max="13313" width="6.44140625" style="5" customWidth="1"/>
    <col min="13314" max="13314" width="43.33203125" style="5" customWidth="1"/>
    <col min="13315" max="13315" width="11.109375" style="5" customWidth="1"/>
    <col min="13316" max="13316" width="13.109375" style="5" customWidth="1"/>
    <col min="13317" max="13317" width="13.88671875" style="5" customWidth="1"/>
    <col min="13318" max="13318" width="8.33203125" style="5" customWidth="1"/>
    <col min="13319" max="13319" width="13" style="5" customWidth="1"/>
    <col min="13320" max="13320" width="8.109375" style="5" customWidth="1"/>
    <col min="13321" max="13321" width="7.88671875" style="5" customWidth="1"/>
    <col min="13322" max="13322" width="11.109375" style="5" customWidth="1"/>
    <col min="13323" max="13323" width="9.44140625" style="5" customWidth="1"/>
    <col min="13324" max="13324" width="9.5546875" style="5" customWidth="1"/>
    <col min="13325" max="13325" width="10.77734375" style="5" customWidth="1"/>
    <col min="13326" max="13326" width="6.5546875" style="5" customWidth="1"/>
    <col min="13327" max="13327" width="7.5546875" style="5" customWidth="1"/>
    <col min="13328" max="13328" width="10.109375" style="5" customWidth="1"/>
    <col min="13329" max="13329" width="9.44140625" style="5" customWidth="1"/>
    <col min="13330" max="13330" width="11" style="5" customWidth="1"/>
    <col min="13331" max="13331" width="14" style="5" customWidth="1"/>
    <col min="13332" max="13332" width="9.88671875" style="5" customWidth="1"/>
    <col min="13333" max="13336" width="8.88671875" style="5"/>
    <col min="13337" max="13337" width="15" style="5" customWidth="1"/>
    <col min="13338" max="13338" width="6.44140625" style="5" customWidth="1"/>
    <col min="13339" max="13339" width="5.6640625" style="5" customWidth="1"/>
    <col min="13340" max="13340" width="9.109375" style="5" customWidth="1"/>
    <col min="13341" max="13343" width="8.88671875" style="5"/>
    <col min="13344" max="13344" width="11.6640625" style="5" customWidth="1"/>
    <col min="13345" max="13568" width="8.88671875" style="5"/>
    <col min="13569" max="13569" width="6.44140625" style="5" customWidth="1"/>
    <col min="13570" max="13570" width="43.33203125" style="5" customWidth="1"/>
    <col min="13571" max="13571" width="11.109375" style="5" customWidth="1"/>
    <col min="13572" max="13572" width="13.109375" style="5" customWidth="1"/>
    <col min="13573" max="13573" width="13.88671875" style="5" customWidth="1"/>
    <col min="13574" max="13574" width="8.33203125" style="5" customWidth="1"/>
    <col min="13575" max="13575" width="13" style="5" customWidth="1"/>
    <col min="13576" max="13576" width="8.109375" style="5" customWidth="1"/>
    <col min="13577" max="13577" width="7.88671875" style="5" customWidth="1"/>
    <col min="13578" max="13578" width="11.109375" style="5" customWidth="1"/>
    <col min="13579" max="13579" width="9.44140625" style="5" customWidth="1"/>
    <col min="13580" max="13580" width="9.5546875" style="5" customWidth="1"/>
    <col min="13581" max="13581" width="10.77734375" style="5" customWidth="1"/>
    <col min="13582" max="13582" width="6.5546875" style="5" customWidth="1"/>
    <col min="13583" max="13583" width="7.5546875" style="5" customWidth="1"/>
    <col min="13584" max="13584" width="10.109375" style="5" customWidth="1"/>
    <col min="13585" max="13585" width="9.44140625" style="5" customWidth="1"/>
    <col min="13586" max="13586" width="11" style="5" customWidth="1"/>
    <col min="13587" max="13587" width="14" style="5" customWidth="1"/>
    <col min="13588" max="13588" width="9.88671875" style="5" customWidth="1"/>
    <col min="13589" max="13592" width="8.88671875" style="5"/>
    <col min="13593" max="13593" width="15" style="5" customWidth="1"/>
    <col min="13594" max="13594" width="6.44140625" style="5" customWidth="1"/>
    <col min="13595" max="13595" width="5.6640625" style="5" customWidth="1"/>
    <col min="13596" max="13596" width="9.109375" style="5" customWidth="1"/>
    <col min="13597" max="13599" width="8.88671875" style="5"/>
    <col min="13600" max="13600" width="11.6640625" style="5" customWidth="1"/>
    <col min="13601" max="13824" width="8.88671875" style="5"/>
    <col min="13825" max="13825" width="6.44140625" style="5" customWidth="1"/>
    <col min="13826" max="13826" width="43.33203125" style="5" customWidth="1"/>
    <col min="13827" max="13827" width="11.109375" style="5" customWidth="1"/>
    <col min="13828" max="13828" width="13.109375" style="5" customWidth="1"/>
    <col min="13829" max="13829" width="13.88671875" style="5" customWidth="1"/>
    <col min="13830" max="13830" width="8.33203125" style="5" customWidth="1"/>
    <col min="13831" max="13831" width="13" style="5" customWidth="1"/>
    <col min="13832" max="13832" width="8.109375" style="5" customWidth="1"/>
    <col min="13833" max="13833" width="7.88671875" style="5" customWidth="1"/>
    <col min="13834" max="13834" width="11.109375" style="5" customWidth="1"/>
    <col min="13835" max="13835" width="9.44140625" style="5" customWidth="1"/>
    <col min="13836" max="13836" width="9.5546875" style="5" customWidth="1"/>
    <col min="13837" max="13837" width="10.77734375" style="5" customWidth="1"/>
    <col min="13838" max="13838" width="6.5546875" style="5" customWidth="1"/>
    <col min="13839" max="13839" width="7.5546875" style="5" customWidth="1"/>
    <col min="13840" max="13840" width="10.109375" style="5" customWidth="1"/>
    <col min="13841" max="13841" width="9.44140625" style="5" customWidth="1"/>
    <col min="13842" max="13842" width="11" style="5" customWidth="1"/>
    <col min="13843" max="13843" width="14" style="5" customWidth="1"/>
    <col min="13844" max="13844" width="9.88671875" style="5" customWidth="1"/>
    <col min="13845" max="13848" width="8.88671875" style="5"/>
    <col min="13849" max="13849" width="15" style="5" customWidth="1"/>
    <col min="13850" max="13850" width="6.44140625" style="5" customWidth="1"/>
    <col min="13851" max="13851" width="5.6640625" style="5" customWidth="1"/>
    <col min="13852" max="13852" width="9.109375" style="5" customWidth="1"/>
    <col min="13853" max="13855" width="8.88671875" style="5"/>
    <col min="13856" max="13856" width="11.6640625" style="5" customWidth="1"/>
    <col min="13857" max="14080" width="8.88671875" style="5"/>
    <col min="14081" max="14081" width="6.44140625" style="5" customWidth="1"/>
    <col min="14082" max="14082" width="43.33203125" style="5" customWidth="1"/>
    <col min="14083" max="14083" width="11.109375" style="5" customWidth="1"/>
    <col min="14084" max="14084" width="13.109375" style="5" customWidth="1"/>
    <col min="14085" max="14085" width="13.88671875" style="5" customWidth="1"/>
    <col min="14086" max="14086" width="8.33203125" style="5" customWidth="1"/>
    <col min="14087" max="14087" width="13" style="5" customWidth="1"/>
    <col min="14088" max="14088" width="8.109375" style="5" customWidth="1"/>
    <col min="14089" max="14089" width="7.88671875" style="5" customWidth="1"/>
    <col min="14090" max="14090" width="11.109375" style="5" customWidth="1"/>
    <col min="14091" max="14091" width="9.44140625" style="5" customWidth="1"/>
    <col min="14092" max="14092" width="9.5546875" style="5" customWidth="1"/>
    <col min="14093" max="14093" width="10.77734375" style="5" customWidth="1"/>
    <col min="14094" max="14094" width="6.5546875" style="5" customWidth="1"/>
    <col min="14095" max="14095" width="7.5546875" style="5" customWidth="1"/>
    <col min="14096" max="14096" width="10.109375" style="5" customWidth="1"/>
    <col min="14097" max="14097" width="9.44140625" style="5" customWidth="1"/>
    <col min="14098" max="14098" width="11" style="5" customWidth="1"/>
    <col min="14099" max="14099" width="14" style="5" customWidth="1"/>
    <col min="14100" max="14100" width="9.88671875" style="5" customWidth="1"/>
    <col min="14101" max="14104" width="8.88671875" style="5"/>
    <col min="14105" max="14105" width="15" style="5" customWidth="1"/>
    <col min="14106" max="14106" width="6.44140625" style="5" customWidth="1"/>
    <col min="14107" max="14107" width="5.6640625" style="5" customWidth="1"/>
    <col min="14108" max="14108" width="9.109375" style="5" customWidth="1"/>
    <col min="14109" max="14111" width="8.88671875" style="5"/>
    <col min="14112" max="14112" width="11.6640625" style="5" customWidth="1"/>
    <col min="14113" max="14336" width="8.88671875" style="5"/>
    <col min="14337" max="14337" width="6.44140625" style="5" customWidth="1"/>
    <col min="14338" max="14338" width="43.33203125" style="5" customWidth="1"/>
    <col min="14339" max="14339" width="11.109375" style="5" customWidth="1"/>
    <col min="14340" max="14340" width="13.109375" style="5" customWidth="1"/>
    <col min="14341" max="14341" width="13.88671875" style="5" customWidth="1"/>
    <col min="14342" max="14342" width="8.33203125" style="5" customWidth="1"/>
    <col min="14343" max="14343" width="13" style="5" customWidth="1"/>
    <col min="14344" max="14344" width="8.109375" style="5" customWidth="1"/>
    <col min="14345" max="14345" width="7.88671875" style="5" customWidth="1"/>
    <col min="14346" max="14346" width="11.109375" style="5" customWidth="1"/>
    <col min="14347" max="14347" width="9.44140625" style="5" customWidth="1"/>
    <col min="14348" max="14348" width="9.5546875" style="5" customWidth="1"/>
    <col min="14349" max="14349" width="10.77734375" style="5" customWidth="1"/>
    <col min="14350" max="14350" width="6.5546875" style="5" customWidth="1"/>
    <col min="14351" max="14351" width="7.5546875" style="5" customWidth="1"/>
    <col min="14352" max="14352" width="10.109375" style="5" customWidth="1"/>
    <col min="14353" max="14353" width="9.44140625" style="5" customWidth="1"/>
    <col min="14354" max="14354" width="11" style="5" customWidth="1"/>
    <col min="14355" max="14355" width="14" style="5" customWidth="1"/>
    <col min="14356" max="14356" width="9.88671875" style="5" customWidth="1"/>
    <col min="14357" max="14360" width="8.88671875" style="5"/>
    <col min="14361" max="14361" width="15" style="5" customWidth="1"/>
    <col min="14362" max="14362" width="6.44140625" style="5" customWidth="1"/>
    <col min="14363" max="14363" width="5.6640625" style="5" customWidth="1"/>
    <col min="14364" max="14364" width="9.109375" style="5" customWidth="1"/>
    <col min="14365" max="14367" width="8.88671875" style="5"/>
    <col min="14368" max="14368" width="11.6640625" style="5" customWidth="1"/>
    <col min="14369" max="14592" width="8.88671875" style="5"/>
    <col min="14593" max="14593" width="6.44140625" style="5" customWidth="1"/>
    <col min="14594" max="14594" width="43.33203125" style="5" customWidth="1"/>
    <col min="14595" max="14595" width="11.109375" style="5" customWidth="1"/>
    <col min="14596" max="14596" width="13.109375" style="5" customWidth="1"/>
    <col min="14597" max="14597" width="13.88671875" style="5" customWidth="1"/>
    <col min="14598" max="14598" width="8.33203125" style="5" customWidth="1"/>
    <col min="14599" max="14599" width="13" style="5" customWidth="1"/>
    <col min="14600" max="14600" width="8.109375" style="5" customWidth="1"/>
    <col min="14601" max="14601" width="7.88671875" style="5" customWidth="1"/>
    <col min="14602" max="14602" width="11.109375" style="5" customWidth="1"/>
    <col min="14603" max="14603" width="9.44140625" style="5" customWidth="1"/>
    <col min="14604" max="14604" width="9.5546875" style="5" customWidth="1"/>
    <col min="14605" max="14605" width="10.77734375" style="5" customWidth="1"/>
    <col min="14606" max="14606" width="6.5546875" style="5" customWidth="1"/>
    <col min="14607" max="14607" width="7.5546875" style="5" customWidth="1"/>
    <col min="14608" max="14608" width="10.109375" style="5" customWidth="1"/>
    <col min="14609" max="14609" width="9.44140625" style="5" customWidth="1"/>
    <col min="14610" max="14610" width="11" style="5" customWidth="1"/>
    <col min="14611" max="14611" width="14" style="5" customWidth="1"/>
    <col min="14612" max="14612" width="9.88671875" style="5" customWidth="1"/>
    <col min="14613" max="14616" width="8.88671875" style="5"/>
    <col min="14617" max="14617" width="15" style="5" customWidth="1"/>
    <col min="14618" max="14618" width="6.44140625" style="5" customWidth="1"/>
    <col min="14619" max="14619" width="5.6640625" style="5" customWidth="1"/>
    <col min="14620" max="14620" width="9.109375" style="5" customWidth="1"/>
    <col min="14621" max="14623" width="8.88671875" style="5"/>
    <col min="14624" max="14624" width="11.6640625" style="5" customWidth="1"/>
    <col min="14625" max="14848" width="8.88671875" style="5"/>
    <col min="14849" max="14849" width="6.44140625" style="5" customWidth="1"/>
    <col min="14850" max="14850" width="43.33203125" style="5" customWidth="1"/>
    <col min="14851" max="14851" width="11.109375" style="5" customWidth="1"/>
    <col min="14852" max="14852" width="13.109375" style="5" customWidth="1"/>
    <col min="14853" max="14853" width="13.88671875" style="5" customWidth="1"/>
    <col min="14854" max="14854" width="8.33203125" style="5" customWidth="1"/>
    <col min="14855" max="14855" width="13" style="5" customWidth="1"/>
    <col min="14856" max="14856" width="8.109375" style="5" customWidth="1"/>
    <col min="14857" max="14857" width="7.88671875" style="5" customWidth="1"/>
    <col min="14858" max="14858" width="11.109375" style="5" customWidth="1"/>
    <col min="14859" max="14859" width="9.44140625" style="5" customWidth="1"/>
    <col min="14860" max="14860" width="9.5546875" style="5" customWidth="1"/>
    <col min="14861" max="14861" width="10.77734375" style="5" customWidth="1"/>
    <col min="14862" max="14862" width="6.5546875" style="5" customWidth="1"/>
    <col min="14863" max="14863" width="7.5546875" style="5" customWidth="1"/>
    <col min="14864" max="14864" width="10.109375" style="5" customWidth="1"/>
    <col min="14865" max="14865" width="9.44140625" style="5" customWidth="1"/>
    <col min="14866" max="14866" width="11" style="5" customWidth="1"/>
    <col min="14867" max="14867" width="14" style="5" customWidth="1"/>
    <col min="14868" max="14868" width="9.88671875" style="5" customWidth="1"/>
    <col min="14869" max="14872" width="8.88671875" style="5"/>
    <col min="14873" max="14873" width="15" style="5" customWidth="1"/>
    <col min="14874" max="14874" width="6.44140625" style="5" customWidth="1"/>
    <col min="14875" max="14875" width="5.6640625" style="5" customWidth="1"/>
    <col min="14876" max="14876" width="9.109375" style="5" customWidth="1"/>
    <col min="14877" max="14879" width="8.88671875" style="5"/>
    <col min="14880" max="14880" width="11.6640625" style="5" customWidth="1"/>
    <col min="14881" max="15104" width="8.88671875" style="5"/>
    <col min="15105" max="15105" width="6.44140625" style="5" customWidth="1"/>
    <col min="15106" max="15106" width="43.33203125" style="5" customWidth="1"/>
    <col min="15107" max="15107" width="11.109375" style="5" customWidth="1"/>
    <col min="15108" max="15108" width="13.109375" style="5" customWidth="1"/>
    <col min="15109" max="15109" width="13.88671875" style="5" customWidth="1"/>
    <col min="15110" max="15110" width="8.33203125" style="5" customWidth="1"/>
    <col min="15111" max="15111" width="13" style="5" customWidth="1"/>
    <col min="15112" max="15112" width="8.109375" style="5" customWidth="1"/>
    <col min="15113" max="15113" width="7.88671875" style="5" customWidth="1"/>
    <col min="15114" max="15114" width="11.109375" style="5" customWidth="1"/>
    <col min="15115" max="15115" width="9.44140625" style="5" customWidth="1"/>
    <col min="15116" max="15116" width="9.5546875" style="5" customWidth="1"/>
    <col min="15117" max="15117" width="10.77734375" style="5" customWidth="1"/>
    <col min="15118" max="15118" width="6.5546875" style="5" customWidth="1"/>
    <col min="15119" max="15119" width="7.5546875" style="5" customWidth="1"/>
    <col min="15120" max="15120" width="10.109375" style="5" customWidth="1"/>
    <col min="15121" max="15121" width="9.44140625" style="5" customWidth="1"/>
    <col min="15122" max="15122" width="11" style="5" customWidth="1"/>
    <col min="15123" max="15123" width="14" style="5" customWidth="1"/>
    <col min="15124" max="15124" width="9.88671875" style="5" customWidth="1"/>
    <col min="15125" max="15128" width="8.88671875" style="5"/>
    <col min="15129" max="15129" width="15" style="5" customWidth="1"/>
    <col min="15130" max="15130" width="6.44140625" style="5" customWidth="1"/>
    <col min="15131" max="15131" width="5.6640625" style="5" customWidth="1"/>
    <col min="15132" max="15132" width="9.109375" style="5" customWidth="1"/>
    <col min="15133" max="15135" width="8.88671875" style="5"/>
    <col min="15136" max="15136" width="11.6640625" style="5" customWidth="1"/>
    <col min="15137" max="15360" width="8.88671875" style="5"/>
    <col min="15361" max="15361" width="6.44140625" style="5" customWidth="1"/>
    <col min="15362" max="15362" width="43.33203125" style="5" customWidth="1"/>
    <col min="15363" max="15363" width="11.109375" style="5" customWidth="1"/>
    <col min="15364" max="15364" width="13.109375" style="5" customWidth="1"/>
    <col min="15365" max="15365" width="13.88671875" style="5" customWidth="1"/>
    <col min="15366" max="15366" width="8.33203125" style="5" customWidth="1"/>
    <col min="15367" max="15367" width="13" style="5" customWidth="1"/>
    <col min="15368" max="15368" width="8.109375" style="5" customWidth="1"/>
    <col min="15369" max="15369" width="7.88671875" style="5" customWidth="1"/>
    <col min="15370" max="15370" width="11.109375" style="5" customWidth="1"/>
    <col min="15371" max="15371" width="9.44140625" style="5" customWidth="1"/>
    <col min="15372" max="15372" width="9.5546875" style="5" customWidth="1"/>
    <col min="15373" max="15373" width="10.77734375" style="5" customWidth="1"/>
    <col min="15374" max="15374" width="6.5546875" style="5" customWidth="1"/>
    <col min="15375" max="15375" width="7.5546875" style="5" customWidth="1"/>
    <col min="15376" max="15376" width="10.109375" style="5" customWidth="1"/>
    <col min="15377" max="15377" width="9.44140625" style="5" customWidth="1"/>
    <col min="15378" max="15378" width="11" style="5" customWidth="1"/>
    <col min="15379" max="15379" width="14" style="5" customWidth="1"/>
    <col min="15380" max="15380" width="9.88671875" style="5" customWidth="1"/>
    <col min="15381" max="15384" width="8.88671875" style="5"/>
    <col min="15385" max="15385" width="15" style="5" customWidth="1"/>
    <col min="15386" max="15386" width="6.44140625" style="5" customWidth="1"/>
    <col min="15387" max="15387" width="5.6640625" style="5" customWidth="1"/>
    <col min="15388" max="15388" width="9.109375" style="5" customWidth="1"/>
    <col min="15389" max="15391" width="8.88671875" style="5"/>
    <col min="15392" max="15392" width="11.6640625" style="5" customWidth="1"/>
    <col min="15393" max="15616" width="8.88671875" style="5"/>
    <col min="15617" max="15617" width="6.44140625" style="5" customWidth="1"/>
    <col min="15618" max="15618" width="43.33203125" style="5" customWidth="1"/>
    <col min="15619" max="15619" width="11.109375" style="5" customWidth="1"/>
    <col min="15620" max="15620" width="13.109375" style="5" customWidth="1"/>
    <col min="15621" max="15621" width="13.88671875" style="5" customWidth="1"/>
    <col min="15622" max="15622" width="8.33203125" style="5" customWidth="1"/>
    <col min="15623" max="15623" width="13" style="5" customWidth="1"/>
    <col min="15624" max="15624" width="8.109375" style="5" customWidth="1"/>
    <col min="15625" max="15625" width="7.88671875" style="5" customWidth="1"/>
    <col min="15626" max="15626" width="11.109375" style="5" customWidth="1"/>
    <col min="15627" max="15627" width="9.44140625" style="5" customWidth="1"/>
    <col min="15628" max="15628" width="9.5546875" style="5" customWidth="1"/>
    <col min="15629" max="15629" width="10.77734375" style="5" customWidth="1"/>
    <col min="15630" max="15630" width="6.5546875" style="5" customWidth="1"/>
    <col min="15631" max="15631" width="7.5546875" style="5" customWidth="1"/>
    <col min="15632" max="15632" width="10.109375" style="5" customWidth="1"/>
    <col min="15633" max="15633" width="9.44140625" style="5" customWidth="1"/>
    <col min="15634" max="15634" width="11" style="5" customWidth="1"/>
    <col min="15635" max="15635" width="14" style="5" customWidth="1"/>
    <col min="15636" max="15636" width="9.88671875" style="5" customWidth="1"/>
    <col min="15637" max="15640" width="8.88671875" style="5"/>
    <col min="15641" max="15641" width="15" style="5" customWidth="1"/>
    <col min="15642" max="15642" width="6.44140625" style="5" customWidth="1"/>
    <col min="15643" max="15643" width="5.6640625" style="5" customWidth="1"/>
    <col min="15644" max="15644" width="9.109375" style="5" customWidth="1"/>
    <col min="15645" max="15647" width="8.88671875" style="5"/>
    <col min="15648" max="15648" width="11.6640625" style="5" customWidth="1"/>
    <col min="15649" max="15872" width="8.88671875" style="5"/>
    <col min="15873" max="15873" width="6.44140625" style="5" customWidth="1"/>
    <col min="15874" max="15874" width="43.33203125" style="5" customWidth="1"/>
    <col min="15875" max="15875" width="11.109375" style="5" customWidth="1"/>
    <col min="15876" max="15876" width="13.109375" style="5" customWidth="1"/>
    <col min="15877" max="15877" width="13.88671875" style="5" customWidth="1"/>
    <col min="15878" max="15878" width="8.33203125" style="5" customWidth="1"/>
    <col min="15879" max="15879" width="13" style="5" customWidth="1"/>
    <col min="15880" max="15880" width="8.109375" style="5" customWidth="1"/>
    <col min="15881" max="15881" width="7.88671875" style="5" customWidth="1"/>
    <col min="15882" max="15882" width="11.109375" style="5" customWidth="1"/>
    <col min="15883" max="15883" width="9.44140625" style="5" customWidth="1"/>
    <col min="15884" max="15884" width="9.5546875" style="5" customWidth="1"/>
    <col min="15885" max="15885" width="10.77734375" style="5" customWidth="1"/>
    <col min="15886" max="15886" width="6.5546875" style="5" customWidth="1"/>
    <col min="15887" max="15887" width="7.5546875" style="5" customWidth="1"/>
    <col min="15888" max="15888" width="10.109375" style="5" customWidth="1"/>
    <col min="15889" max="15889" width="9.44140625" style="5" customWidth="1"/>
    <col min="15890" max="15890" width="11" style="5" customWidth="1"/>
    <col min="15891" max="15891" width="14" style="5" customWidth="1"/>
    <col min="15892" max="15892" width="9.88671875" style="5" customWidth="1"/>
    <col min="15893" max="15896" width="8.88671875" style="5"/>
    <col min="15897" max="15897" width="15" style="5" customWidth="1"/>
    <col min="15898" max="15898" width="6.44140625" style="5" customWidth="1"/>
    <col min="15899" max="15899" width="5.6640625" style="5" customWidth="1"/>
    <col min="15900" max="15900" width="9.109375" style="5" customWidth="1"/>
    <col min="15901" max="15903" width="8.88671875" style="5"/>
    <col min="15904" max="15904" width="11.6640625" style="5" customWidth="1"/>
    <col min="15905" max="16128" width="8.88671875" style="5"/>
    <col min="16129" max="16129" width="6.44140625" style="5" customWidth="1"/>
    <col min="16130" max="16130" width="43.33203125" style="5" customWidth="1"/>
    <col min="16131" max="16131" width="11.109375" style="5" customWidth="1"/>
    <col min="16132" max="16132" width="13.109375" style="5" customWidth="1"/>
    <col min="16133" max="16133" width="13.88671875" style="5" customWidth="1"/>
    <col min="16134" max="16134" width="8.33203125" style="5" customWidth="1"/>
    <col min="16135" max="16135" width="13" style="5" customWidth="1"/>
    <col min="16136" max="16136" width="8.109375" style="5" customWidth="1"/>
    <col min="16137" max="16137" width="7.88671875" style="5" customWidth="1"/>
    <col min="16138" max="16138" width="11.109375" style="5" customWidth="1"/>
    <col min="16139" max="16139" width="9.44140625" style="5" customWidth="1"/>
    <col min="16140" max="16140" width="9.5546875" style="5" customWidth="1"/>
    <col min="16141" max="16141" width="10.77734375" style="5" customWidth="1"/>
    <col min="16142" max="16142" width="6.5546875" style="5" customWidth="1"/>
    <col min="16143" max="16143" width="7.5546875" style="5" customWidth="1"/>
    <col min="16144" max="16144" width="10.109375" style="5" customWidth="1"/>
    <col min="16145" max="16145" width="9.44140625" style="5" customWidth="1"/>
    <col min="16146" max="16146" width="11" style="5" customWidth="1"/>
    <col min="16147" max="16147" width="14" style="5" customWidth="1"/>
    <col min="16148" max="16148" width="9.88671875" style="5" customWidth="1"/>
    <col min="16149" max="16152" width="8.88671875" style="5"/>
    <col min="16153" max="16153" width="15" style="5" customWidth="1"/>
    <col min="16154" max="16154" width="6.44140625" style="5" customWidth="1"/>
    <col min="16155" max="16155" width="5.6640625" style="5" customWidth="1"/>
    <col min="16156" max="16156" width="9.109375" style="5" customWidth="1"/>
    <col min="16157" max="16159" width="8.88671875" style="5"/>
    <col min="16160" max="16160" width="11.6640625" style="5" customWidth="1"/>
    <col min="16161" max="16384" width="8.88671875" style="5"/>
  </cols>
  <sheetData>
    <row r="1" spans="1:36" ht="15.75" x14ac:dyDescent="0.25">
      <c r="A1" s="3"/>
      <c r="B1" s="3"/>
      <c r="C1" s="3"/>
      <c r="D1" s="3"/>
      <c r="E1" s="4" t="s">
        <v>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6" ht="15.75" x14ac:dyDescent="0.25">
      <c r="A2" s="3"/>
      <c r="B2" s="3"/>
      <c r="D2" s="3"/>
      <c r="F2" s="4"/>
      <c r="G2" s="4"/>
      <c r="H2" s="4"/>
      <c r="I2" s="3"/>
      <c r="J2" s="3"/>
      <c r="K2" s="3"/>
      <c r="L2" s="3"/>
      <c r="M2" s="3"/>
      <c r="N2" s="3"/>
      <c r="O2" s="3"/>
      <c r="P2" s="6"/>
      <c r="Q2" s="3"/>
    </row>
    <row r="3" spans="1:36" ht="15.75" x14ac:dyDescent="0.25">
      <c r="A3" s="3"/>
      <c r="B3" s="3"/>
      <c r="D3" s="3"/>
      <c r="E3" s="181" t="s">
        <v>32</v>
      </c>
      <c r="F3" s="7"/>
      <c r="G3" s="7"/>
      <c r="H3" s="8"/>
      <c r="I3" s="3"/>
      <c r="J3" s="3"/>
      <c r="L3" s="3"/>
      <c r="M3" s="3"/>
      <c r="N3" s="3"/>
      <c r="O3" s="3"/>
      <c r="P3" s="3"/>
      <c r="Q3" s="3"/>
    </row>
    <row r="4" spans="1:36" ht="15.75" x14ac:dyDescent="0.25">
      <c r="A4" s="3"/>
      <c r="B4" s="3"/>
      <c r="D4" s="3"/>
      <c r="E4" s="181" t="s">
        <v>31</v>
      </c>
      <c r="F4" s="7"/>
      <c r="G4" s="7"/>
      <c r="H4" s="9"/>
      <c r="I4" s="3"/>
      <c r="J4" s="3"/>
      <c r="K4" s="3"/>
      <c r="L4" s="3"/>
      <c r="M4" s="3"/>
      <c r="N4" s="3"/>
      <c r="O4" s="3"/>
      <c r="P4" s="3"/>
      <c r="Q4" s="3"/>
    </row>
    <row r="5" spans="1:36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/>
      <c r="Q5" s="3"/>
    </row>
    <row r="6" spans="1:36" ht="18" x14ac:dyDescent="0.25">
      <c r="A6" s="374" t="s">
        <v>10</v>
      </c>
      <c r="B6" s="374"/>
      <c r="C6" s="374"/>
      <c r="D6" s="374"/>
      <c r="E6" s="374"/>
      <c r="F6" s="10"/>
      <c r="G6" s="10"/>
      <c r="H6" s="10"/>
      <c r="I6" s="3"/>
      <c r="J6" s="3"/>
      <c r="K6" s="3"/>
      <c r="L6" s="3"/>
      <c r="M6" s="3"/>
      <c r="N6" s="3"/>
      <c r="O6" s="3"/>
      <c r="P6" s="1"/>
      <c r="Q6" s="3"/>
    </row>
    <row r="7" spans="1:36" ht="18" x14ac:dyDescent="0.25">
      <c r="A7" s="375" t="str">
        <f>'BOQ_removed by TFL'!A2:G2</f>
        <v>BOKARO STEEL PLANT</v>
      </c>
      <c r="B7" s="375"/>
      <c r="C7" s="375"/>
      <c r="D7" s="375"/>
      <c r="E7" s="375"/>
      <c r="F7" s="10"/>
      <c r="G7" s="10"/>
      <c r="H7" s="10"/>
      <c r="I7" s="3"/>
      <c r="J7" s="3"/>
      <c r="K7" s="3"/>
      <c r="L7" s="3"/>
      <c r="M7" s="3"/>
      <c r="N7" s="3"/>
      <c r="O7" s="3"/>
      <c r="P7" s="3"/>
      <c r="Q7" s="3"/>
    </row>
    <row r="8" spans="1:36" ht="18" x14ac:dyDescent="0.25">
      <c r="A8" s="376" t="str">
        <f>'BOQ_removed by TFL'!A3:G3</f>
        <v xml:space="preserve">Installation of FDA in all substations and cable cellar and CCTV surveillance with Central Control Room </v>
      </c>
      <c r="B8" s="376"/>
      <c r="C8" s="376"/>
      <c r="D8" s="376"/>
      <c r="E8" s="376"/>
      <c r="F8" s="10"/>
      <c r="G8" s="10"/>
      <c r="H8" s="10"/>
      <c r="I8" s="3"/>
      <c r="J8" s="3"/>
      <c r="K8" s="3"/>
      <c r="L8" s="3"/>
      <c r="M8" s="3"/>
      <c r="N8" s="3"/>
      <c r="O8" s="3"/>
      <c r="P8" s="3"/>
      <c r="Q8" s="3"/>
    </row>
    <row r="9" spans="1:36" ht="15.75" x14ac:dyDescent="0.25">
      <c r="A9" s="377" t="s">
        <v>11</v>
      </c>
      <c r="B9" s="377"/>
      <c r="C9" s="377"/>
      <c r="D9" s="377"/>
      <c r="E9" s="377"/>
      <c r="F9" s="11"/>
      <c r="G9" s="11"/>
      <c r="H9" s="11"/>
      <c r="I9" s="3"/>
      <c r="J9" s="3"/>
      <c r="K9" s="3"/>
      <c r="L9" s="3"/>
      <c r="M9" s="3"/>
      <c r="N9" s="3"/>
      <c r="O9" s="3"/>
      <c r="P9" s="3"/>
      <c r="Q9" s="3"/>
    </row>
    <row r="10" spans="1:36" ht="15.75" x14ac:dyDescent="0.25">
      <c r="A10" s="378" t="s">
        <v>216</v>
      </c>
      <c r="B10" s="378"/>
      <c r="C10" s="378"/>
      <c r="D10" s="378"/>
      <c r="E10" s="378"/>
      <c r="F10" s="11"/>
      <c r="G10" s="11"/>
      <c r="H10" s="11"/>
      <c r="I10" s="3"/>
      <c r="J10" s="3"/>
      <c r="K10" s="3"/>
      <c r="L10" s="3"/>
      <c r="M10" s="3"/>
      <c r="N10" s="3"/>
      <c r="O10" s="3"/>
      <c r="P10" s="3"/>
      <c r="Q10" s="3"/>
    </row>
    <row r="11" spans="1:36" ht="15.75" x14ac:dyDescent="0.25">
      <c r="A11" s="12"/>
      <c r="B11" s="12"/>
      <c r="C11" s="12"/>
      <c r="D11" s="3"/>
      <c r="E11" s="3"/>
      <c r="F11" s="11"/>
      <c r="G11" s="11"/>
      <c r="H11" s="11"/>
      <c r="I11" s="3"/>
      <c r="J11" s="3"/>
      <c r="K11" s="3"/>
      <c r="L11" s="3"/>
      <c r="M11" s="3"/>
      <c r="N11" s="3"/>
      <c r="O11" s="3"/>
      <c r="P11" s="3"/>
      <c r="Q11" s="3"/>
    </row>
    <row r="12" spans="1:36" ht="16.5" thickBot="1" x14ac:dyDescent="0.3">
      <c r="A12" s="13"/>
      <c r="B12" s="182"/>
      <c r="C12" s="14"/>
      <c r="D12" s="15"/>
      <c r="E12" s="16" t="s">
        <v>48</v>
      </c>
      <c r="F12" s="17"/>
      <c r="G12" s="17"/>
      <c r="H12" s="17"/>
      <c r="I12" s="3"/>
      <c r="J12" s="3"/>
      <c r="K12" s="17"/>
      <c r="L12" s="3"/>
      <c r="M12" s="3"/>
      <c r="N12" s="3"/>
      <c r="O12" s="3"/>
      <c r="P12" s="3"/>
      <c r="Q12" s="3"/>
      <c r="S12" s="18"/>
      <c r="T12" s="19"/>
      <c r="U12" s="19"/>
      <c r="V12" s="20"/>
      <c r="W12" s="19"/>
      <c r="AE12" s="19"/>
      <c r="AF12" s="19"/>
      <c r="AG12" s="19"/>
      <c r="AH12" s="19"/>
      <c r="AI12" s="19"/>
      <c r="AJ12" s="19"/>
    </row>
    <row r="13" spans="1:36" ht="16.5" thickBot="1" x14ac:dyDescent="0.3">
      <c r="A13" s="13"/>
      <c r="B13" s="182"/>
      <c r="C13" s="14"/>
      <c r="D13" s="15"/>
      <c r="E13" s="16"/>
      <c r="F13" s="17"/>
      <c r="G13" s="17"/>
      <c r="H13" s="17"/>
      <c r="I13" s="3"/>
      <c r="J13" s="3"/>
      <c r="K13" s="17"/>
      <c r="L13" s="3"/>
      <c r="M13" s="3"/>
      <c r="N13" s="3"/>
      <c r="O13" s="3"/>
      <c r="P13" s="3"/>
      <c r="Q13" s="3"/>
      <c r="S13" s="18"/>
      <c r="T13" s="19"/>
      <c r="U13" s="19"/>
      <c r="V13" s="20"/>
      <c r="W13" s="19"/>
      <c r="AE13" s="19"/>
      <c r="AF13" s="19"/>
      <c r="AG13" s="19"/>
      <c r="AH13" s="19"/>
      <c r="AI13" s="19"/>
      <c r="AJ13" s="19"/>
    </row>
    <row r="14" spans="1:36" ht="16.5" thickBot="1" x14ac:dyDescent="0.3">
      <c r="A14" s="21" t="s">
        <v>8</v>
      </c>
      <c r="B14" s="22" t="s">
        <v>12</v>
      </c>
      <c r="C14" s="22" t="s">
        <v>3</v>
      </c>
      <c r="D14" s="23" t="s">
        <v>2</v>
      </c>
      <c r="E14" s="24" t="s">
        <v>1</v>
      </c>
      <c r="F14" s="12"/>
      <c r="G14" s="12"/>
      <c r="H14" s="25"/>
      <c r="I14" s="25"/>
      <c r="J14" s="25"/>
      <c r="K14" s="25"/>
      <c r="L14" s="26"/>
      <c r="M14" s="26"/>
      <c r="N14" s="26"/>
      <c r="O14" s="26"/>
      <c r="P14" s="11"/>
      <c r="Q14" s="3"/>
      <c r="R14" s="11"/>
      <c r="S14" s="27"/>
      <c r="T14" s="19"/>
      <c r="U14" s="19"/>
      <c r="V14" s="19"/>
      <c r="W14" s="19"/>
      <c r="X14" s="11"/>
      <c r="Y14" s="11"/>
      <c r="Z14" s="11"/>
      <c r="AA14" s="11"/>
      <c r="AB14" s="28"/>
      <c r="AE14" s="29"/>
      <c r="AF14" s="19"/>
      <c r="AG14" s="19"/>
      <c r="AH14" s="19"/>
      <c r="AI14" s="19"/>
      <c r="AJ14" s="19"/>
    </row>
    <row r="15" spans="1:36" ht="15.75" x14ac:dyDescent="0.25">
      <c r="A15" s="30">
        <v>1</v>
      </c>
      <c r="B15" s="31" t="s">
        <v>60</v>
      </c>
      <c r="C15" s="32">
        <f>C55</f>
        <v>0</v>
      </c>
      <c r="D15" s="33">
        <f>SUM(D55:G55)</f>
        <v>0.39322431648265233</v>
      </c>
      <c r="E15" s="34">
        <f>C15+D15</f>
        <v>0.39322431648265233</v>
      </c>
      <c r="F15" s="12"/>
      <c r="G15" s="12"/>
      <c r="H15" s="35"/>
      <c r="I15" s="36"/>
      <c r="J15" s="35"/>
      <c r="K15" s="36"/>
      <c r="L15" s="3"/>
      <c r="M15" s="3"/>
      <c r="N15" s="3"/>
      <c r="O15" s="3"/>
      <c r="P15" s="37"/>
      <c r="Q15" s="38"/>
      <c r="R15" s="39"/>
      <c r="S15" s="40"/>
      <c r="T15" s="19"/>
      <c r="U15" s="19"/>
      <c r="V15" s="19"/>
      <c r="W15" s="19"/>
      <c r="X15" s="39"/>
      <c r="Y15" s="39"/>
      <c r="Z15" s="39"/>
      <c r="AA15" s="39"/>
      <c r="AB15" s="39"/>
      <c r="AE15" s="41"/>
      <c r="AF15" s="42"/>
      <c r="AG15" s="19"/>
      <c r="AH15" s="19"/>
      <c r="AI15" s="19"/>
      <c r="AJ15" s="19"/>
    </row>
    <row r="16" spans="1:36" ht="30" x14ac:dyDescent="0.25">
      <c r="A16" s="30">
        <v>2</v>
      </c>
      <c r="B16" s="43" t="s">
        <v>13</v>
      </c>
      <c r="C16" s="32">
        <f>C56+C57+C58+C70</f>
        <v>0</v>
      </c>
      <c r="D16" s="44">
        <f>SUM(D56:G58)</f>
        <v>7.135508778840002</v>
      </c>
      <c r="E16" s="34">
        <f t="shared" ref="E16:E34" si="0">C16+D16</f>
        <v>7.135508778840002</v>
      </c>
      <c r="F16" s="3"/>
      <c r="G16" s="3"/>
      <c r="H16" s="38"/>
      <c r="I16" s="6"/>
      <c r="J16" s="38"/>
      <c r="K16" s="45"/>
      <c r="L16" s="46"/>
      <c r="M16" s="46"/>
      <c r="N16" s="46"/>
      <c r="O16" s="46"/>
      <c r="P16" s="37"/>
      <c r="Q16" s="38"/>
      <c r="R16" s="39"/>
      <c r="S16" s="47"/>
      <c r="T16" s="48"/>
      <c r="U16" s="49"/>
      <c r="V16" s="49"/>
      <c r="W16" s="50"/>
      <c r="X16" s="39"/>
      <c r="Y16" s="39"/>
      <c r="Z16" s="39"/>
      <c r="AA16" s="39"/>
      <c r="AB16" s="39"/>
      <c r="AE16" s="41"/>
      <c r="AF16" s="42"/>
      <c r="AG16" s="19"/>
      <c r="AH16" s="51"/>
      <c r="AI16" s="19"/>
      <c r="AJ16" s="19"/>
    </row>
    <row r="17" spans="1:36" ht="30" x14ac:dyDescent="0.25">
      <c r="A17" s="30">
        <v>3</v>
      </c>
      <c r="B17" s="43" t="s">
        <v>61</v>
      </c>
      <c r="C17" s="32"/>
      <c r="D17" s="52">
        <f>SUM(D59:G59)</f>
        <v>0</v>
      </c>
      <c r="E17" s="34">
        <f t="shared" si="0"/>
        <v>0</v>
      </c>
      <c r="F17" s="53"/>
      <c r="G17" s="53"/>
      <c r="H17" s="54"/>
      <c r="I17" s="55"/>
      <c r="J17" s="54"/>
      <c r="K17" s="55"/>
      <c r="L17" s="3"/>
      <c r="M17" s="3"/>
      <c r="N17" s="3"/>
      <c r="O17" s="3"/>
      <c r="P17" s="37"/>
      <c r="Q17" s="38"/>
      <c r="R17" s="39"/>
      <c r="S17" s="47"/>
      <c r="T17" s="56"/>
      <c r="U17" s="49"/>
      <c r="V17" s="49"/>
      <c r="W17" s="50"/>
      <c r="X17" s="39"/>
      <c r="Y17" s="39"/>
      <c r="Z17" s="39"/>
      <c r="AA17" s="39"/>
      <c r="AB17" s="39"/>
      <c r="AE17" s="19"/>
      <c r="AF17" s="19"/>
      <c r="AG17" s="19"/>
      <c r="AH17" s="19"/>
      <c r="AI17" s="19"/>
      <c r="AJ17" s="19"/>
    </row>
    <row r="18" spans="1:36" ht="15.75" x14ac:dyDescent="0.25">
      <c r="A18" s="30">
        <v>4</v>
      </c>
      <c r="B18" s="57" t="s">
        <v>14</v>
      </c>
      <c r="C18" s="32">
        <f>C60</f>
        <v>0</v>
      </c>
      <c r="D18" s="52">
        <f>SUM(D60:G60)</f>
        <v>0</v>
      </c>
      <c r="E18" s="34">
        <f t="shared" si="0"/>
        <v>0</v>
      </c>
      <c r="F18" s="53"/>
      <c r="G18" s="53"/>
      <c r="H18" s="39"/>
      <c r="I18" s="37"/>
      <c r="J18" s="39"/>
      <c r="K18" s="58"/>
      <c r="L18" s="6"/>
      <c r="M18" s="6"/>
      <c r="N18" s="6"/>
      <c r="O18" s="6"/>
      <c r="P18" s="37"/>
      <c r="Q18" s="38"/>
      <c r="R18" s="39"/>
      <c r="S18" s="59"/>
      <c r="T18" s="60"/>
      <c r="U18" s="59"/>
      <c r="V18" s="59"/>
      <c r="W18" s="59"/>
      <c r="X18" s="39"/>
      <c r="Y18" s="39"/>
      <c r="Z18" s="39"/>
      <c r="AA18" s="39"/>
      <c r="AB18" s="39"/>
      <c r="AE18" s="59"/>
      <c r="AF18" s="59"/>
      <c r="AG18" s="61"/>
      <c r="AH18" s="61"/>
      <c r="AI18" s="49"/>
      <c r="AJ18" s="19"/>
    </row>
    <row r="19" spans="1:36" ht="30" x14ac:dyDescent="0.25">
      <c r="A19" s="30">
        <v>5</v>
      </c>
      <c r="B19" s="43" t="s">
        <v>43</v>
      </c>
      <c r="C19" s="32"/>
      <c r="D19" s="52">
        <f>SUM(D61:G61)</f>
        <v>0</v>
      </c>
      <c r="E19" s="34">
        <f t="shared" si="0"/>
        <v>0</v>
      </c>
      <c r="F19" s="3"/>
      <c r="G19" s="53"/>
      <c r="H19" s="54"/>
      <c r="I19" s="55"/>
      <c r="J19" s="54"/>
      <c r="K19" s="55"/>
      <c r="L19" s="3"/>
      <c r="M19" s="3"/>
      <c r="N19" s="3"/>
      <c r="O19" s="3"/>
      <c r="P19" s="37"/>
      <c r="Q19" s="38"/>
      <c r="R19" s="39"/>
      <c r="S19" s="19"/>
      <c r="T19" s="19"/>
      <c r="U19" s="19"/>
      <c r="V19" s="19"/>
      <c r="W19" s="59"/>
      <c r="X19" s="39"/>
      <c r="Y19" s="39"/>
      <c r="Z19" s="39"/>
      <c r="AA19" s="39"/>
      <c r="AB19" s="39"/>
      <c r="AE19" s="59"/>
      <c r="AF19" s="59"/>
      <c r="AI19" s="62"/>
      <c r="AJ19" s="19"/>
    </row>
    <row r="20" spans="1:36" ht="30" x14ac:dyDescent="0.25">
      <c r="A20" s="30">
        <v>6</v>
      </c>
      <c r="B20" s="43" t="s">
        <v>62</v>
      </c>
      <c r="C20" s="58"/>
      <c r="D20" s="52">
        <f>SUM(D62:G62)</f>
        <v>1.9977866613043484E-2</v>
      </c>
      <c r="E20" s="34">
        <f t="shared" si="0"/>
        <v>1.9977866613043484E-2</v>
      </c>
      <c r="F20" s="3"/>
      <c r="G20" s="53"/>
      <c r="H20" s="54"/>
      <c r="I20" s="55"/>
      <c r="J20" s="54"/>
      <c r="K20" s="55"/>
      <c r="L20" s="3"/>
      <c r="M20" s="3"/>
      <c r="N20" s="3"/>
      <c r="O20" s="3"/>
      <c r="P20" s="37"/>
      <c r="Q20" s="38"/>
      <c r="R20" s="39"/>
      <c r="S20" s="19"/>
      <c r="T20" s="19"/>
      <c r="U20" s="19"/>
      <c r="V20" s="19"/>
      <c r="W20" s="59"/>
      <c r="X20" s="39"/>
      <c r="Y20" s="39"/>
      <c r="Z20" s="39"/>
      <c r="AA20" s="39"/>
      <c r="AB20" s="39"/>
      <c r="AE20" s="59"/>
      <c r="AF20" s="59"/>
      <c r="AI20" s="62"/>
      <c r="AJ20" s="19"/>
    </row>
    <row r="21" spans="1:36" ht="45" x14ac:dyDescent="0.25">
      <c r="A21" s="30">
        <v>7</v>
      </c>
      <c r="B21" s="43" t="s">
        <v>63</v>
      </c>
      <c r="C21" s="63"/>
      <c r="D21" s="44">
        <f>SUM(D63:G66)</f>
        <v>0.84891162104000017</v>
      </c>
      <c r="E21" s="34">
        <f t="shared" si="0"/>
        <v>0.84891162104000017</v>
      </c>
      <c r="H21" s="54"/>
      <c r="I21" s="55"/>
      <c r="J21" s="54"/>
      <c r="K21" s="55"/>
    </row>
    <row r="22" spans="1:36" ht="30" x14ac:dyDescent="0.25">
      <c r="A22" s="30">
        <v>8</v>
      </c>
      <c r="B22" s="43" t="s">
        <v>64</v>
      </c>
      <c r="C22" s="63"/>
      <c r="D22" s="44">
        <f>SUM(D67:G67)</f>
        <v>0</v>
      </c>
      <c r="E22" s="34">
        <f t="shared" si="0"/>
        <v>0</v>
      </c>
      <c r="H22" s="54"/>
      <c r="I22" s="55"/>
      <c r="J22" s="54"/>
      <c r="K22" s="55"/>
    </row>
    <row r="23" spans="1:36" ht="47.25" x14ac:dyDescent="0.25">
      <c r="A23" s="30">
        <v>9</v>
      </c>
      <c r="B23" s="64" t="s">
        <v>65</v>
      </c>
      <c r="C23" s="65">
        <f>C68</f>
        <v>0</v>
      </c>
      <c r="D23" s="66"/>
      <c r="E23" s="34">
        <f t="shared" si="0"/>
        <v>0</v>
      </c>
      <c r="F23" s="3"/>
      <c r="G23" s="54"/>
      <c r="H23" s="54"/>
      <c r="I23" s="67"/>
      <c r="J23" s="54"/>
      <c r="K23" s="45"/>
      <c r="L23" s="6"/>
      <c r="M23" s="6"/>
      <c r="N23" s="6"/>
      <c r="O23" s="6"/>
      <c r="P23" s="37"/>
      <c r="Q23" s="38"/>
      <c r="R23" s="39"/>
      <c r="S23" s="68"/>
      <c r="T23" s="69"/>
      <c r="U23" s="70"/>
      <c r="V23" s="71"/>
      <c r="W23" s="72"/>
      <c r="X23" s="39"/>
      <c r="Y23" s="39"/>
      <c r="Z23" s="39"/>
      <c r="AA23" s="39"/>
      <c r="AB23" s="39"/>
      <c r="AE23" s="69"/>
      <c r="AF23" s="73"/>
      <c r="AG23" s="74"/>
      <c r="AH23" s="63"/>
      <c r="AI23" s="42"/>
      <c r="AJ23" s="19"/>
    </row>
    <row r="24" spans="1:36" ht="45" x14ac:dyDescent="0.25">
      <c r="A24" s="30">
        <v>10</v>
      </c>
      <c r="B24" s="64" t="s">
        <v>66</v>
      </c>
      <c r="C24" s="75">
        <f>C69</f>
        <v>0</v>
      </c>
      <c r="D24" s="52">
        <f>D69</f>
        <v>0</v>
      </c>
      <c r="E24" s="34">
        <f t="shared" si="0"/>
        <v>0</v>
      </c>
      <c r="F24" s="3"/>
      <c r="G24" s="53"/>
      <c r="H24" s="39"/>
      <c r="I24" s="37"/>
      <c r="J24" s="39"/>
      <c r="K24" s="58"/>
      <c r="L24" s="6"/>
      <c r="M24" s="6"/>
      <c r="N24" s="6"/>
      <c r="O24" s="6"/>
      <c r="P24" s="11"/>
      <c r="Q24" s="76"/>
      <c r="R24" s="53"/>
      <c r="S24" s="77"/>
      <c r="T24" s="69"/>
      <c r="U24" s="70"/>
      <c r="V24" s="71"/>
      <c r="W24" s="72"/>
      <c r="X24" s="53"/>
      <c r="Y24" s="53"/>
      <c r="Z24" s="53"/>
      <c r="AA24" s="39"/>
      <c r="AB24" s="39"/>
      <c r="AE24" s="69"/>
      <c r="AF24" s="73"/>
      <c r="AG24" s="78"/>
      <c r="AI24" s="19"/>
      <c r="AJ24" s="19"/>
    </row>
    <row r="25" spans="1:36" ht="45" x14ac:dyDescent="0.25">
      <c r="A25" s="30">
        <v>11</v>
      </c>
      <c r="B25" s="64" t="s">
        <v>67</v>
      </c>
      <c r="C25" s="75"/>
      <c r="D25" s="52">
        <f>SUM(E71:G71)</f>
        <v>0</v>
      </c>
      <c r="E25" s="34">
        <f t="shared" si="0"/>
        <v>0</v>
      </c>
      <c r="F25" s="3"/>
      <c r="G25" s="53"/>
      <c r="H25" s="54"/>
      <c r="I25" s="79"/>
      <c r="J25" s="54"/>
      <c r="K25" s="54"/>
      <c r="L25" s="6"/>
      <c r="M25" s="6"/>
      <c r="N25" s="6"/>
      <c r="O25" s="6"/>
      <c r="P25" s="11"/>
      <c r="Q25" s="76"/>
      <c r="R25" s="53"/>
      <c r="S25" s="77"/>
      <c r="T25" s="69"/>
      <c r="U25" s="70"/>
      <c r="V25" s="71"/>
      <c r="W25" s="72"/>
      <c r="X25" s="53"/>
      <c r="Y25" s="53"/>
      <c r="Z25" s="53"/>
      <c r="AA25" s="39"/>
      <c r="AB25" s="39"/>
      <c r="AE25" s="80"/>
      <c r="AF25" s="73"/>
      <c r="AG25" s="78"/>
      <c r="AI25" s="19"/>
      <c r="AJ25" s="19"/>
    </row>
    <row r="26" spans="1:36" ht="30" x14ac:dyDescent="0.25">
      <c r="A26" s="30">
        <v>12</v>
      </c>
      <c r="B26" s="64" t="s">
        <v>68</v>
      </c>
      <c r="C26" s="75"/>
      <c r="D26" s="39" t="s">
        <v>42</v>
      </c>
      <c r="E26" s="221"/>
      <c r="F26" s="3"/>
      <c r="G26" s="53"/>
      <c r="H26" s="54"/>
      <c r="I26" s="79"/>
      <c r="J26" s="54"/>
      <c r="K26" s="54"/>
      <c r="L26" s="6"/>
      <c r="M26" s="6"/>
      <c r="N26" s="6"/>
      <c r="O26" s="6"/>
      <c r="P26" s="11"/>
      <c r="Q26" s="76"/>
      <c r="R26" s="53"/>
      <c r="S26" s="77"/>
      <c r="T26" s="69"/>
      <c r="U26" s="70"/>
      <c r="V26" s="71"/>
      <c r="W26" s="72"/>
      <c r="X26" s="53"/>
      <c r="Y26" s="53"/>
      <c r="Z26" s="53"/>
      <c r="AA26" s="39"/>
      <c r="AB26" s="39"/>
      <c r="AE26" s="80"/>
      <c r="AF26" s="73"/>
      <c r="AG26" s="78"/>
      <c r="AI26" s="19"/>
      <c r="AJ26" s="19"/>
    </row>
    <row r="27" spans="1:36" ht="15.75" x14ac:dyDescent="0.25">
      <c r="A27" s="224">
        <v>13</v>
      </c>
      <c r="B27" s="82" t="s">
        <v>69</v>
      </c>
      <c r="C27" s="222">
        <f>C72</f>
        <v>0</v>
      </c>
      <c r="D27" s="223">
        <f>SUM(D72:G72)</f>
        <v>0</v>
      </c>
      <c r="E27" s="222">
        <f>C27+D27</f>
        <v>0</v>
      </c>
      <c r="F27" s="3"/>
      <c r="G27" s="53"/>
      <c r="H27" s="54"/>
      <c r="I27" s="83"/>
      <c r="J27" s="54"/>
      <c r="K27" s="84"/>
      <c r="L27" s="6"/>
      <c r="M27" s="6"/>
      <c r="N27" s="6"/>
      <c r="O27" s="6"/>
      <c r="P27" s="37"/>
      <c r="Q27" s="38"/>
      <c r="R27" s="39"/>
      <c r="S27" s="68"/>
      <c r="T27" s="85"/>
      <c r="U27" s="49"/>
      <c r="V27" s="86"/>
      <c r="W27" s="50"/>
      <c r="X27" s="39"/>
      <c r="Y27" s="39"/>
      <c r="Z27" s="39"/>
      <c r="AB27" s="39"/>
      <c r="AE27" s="87"/>
      <c r="AF27" s="73"/>
      <c r="AG27" s="78"/>
      <c r="AI27" s="19"/>
      <c r="AJ27" s="19"/>
    </row>
    <row r="28" spans="1:36" ht="15.75" x14ac:dyDescent="0.25">
      <c r="A28" s="81">
        <v>14</v>
      </c>
      <c r="B28" s="88" t="s">
        <v>70</v>
      </c>
      <c r="C28" s="89">
        <f>SUM(C15:C27)</f>
        <v>0</v>
      </c>
      <c r="D28" s="89">
        <f>SUM(D15:D27)</f>
        <v>8.3976225829756981</v>
      </c>
      <c r="E28" s="90">
        <f t="shared" si="0"/>
        <v>8.3976225829756981</v>
      </c>
      <c r="F28" s="3"/>
      <c r="G28" s="53"/>
      <c r="H28" s="91"/>
      <c r="I28" s="92"/>
      <c r="J28" s="93"/>
      <c r="K28" s="94"/>
      <c r="L28" s="3"/>
      <c r="M28" s="3"/>
      <c r="N28" s="3"/>
      <c r="O28" s="3"/>
      <c r="P28" s="37"/>
      <c r="Q28" s="38"/>
      <c r="R28" s="39"/>
      <c r="S28" s="68"/>
      <c r="T28" s="85"/>
      <c r="U28" s="49"/>
      <c r="V28" s="86"/>
      <c r="W28" s="50"/>
      <c r="X28" s="39"/>
      <c r="Y28" s="39"/>
      <c r="Z28" s="39"/>
      <c r="AB28" s="39"/>
      <c r="AE28" s="87"/>
      <c r="AF28" s="73"/>
      <c r="AG28" s="78"/>
      <c r="AI28" s="19"/>
      <c r="AJ28" s="19"/>
    </row>
    <row r="29" spans="1:36" ht="15.75" x14ac:dyDescent="0.25">
      <c r="A29" s="30">
        <v>15</v>
      </c>
      <c r="B29" s="95" t="s">
        <v>15</v>
      </c>
      <c r="C29" s="96">
        <v>0</v>
      </c>
      <c r="D29" s="97"/>
      <c r="E29" s="97"/>
      <c r="F29" s="98"/>
      <c r="G29" s="3"/>
      <c r="H29" s="3"/>
      <c r="L29" s="3"/>
      <c r="M29" s="3"/>
      <c r="N29" s="3"/>
      <c r="O29" s="3"/>
      <c r="P29" s="3"/>
      <c r="Q29" s="3"/>
      <c r="S29" s="99"/>
      <c r="T29" s="100"/>
      <c r="U29" s="59"/>
      <c r="V29" s="101"/>
      <c r="W29" s="60"/>
      <c r="AE29" s="60"/>
      <c r="AF29" s="60"/>
      <c r="AI29" s="60"/>
      <c r="AJ29" s="19">
        <f>AE29-AI29</f>
        <v>0</v>
      </c>
    </row>
    <row r="30" spans="1:36" ht="15.75" x14ac:dyDescent="0.25">
      <c r="A30" s="102" t="s">
        <v>6</v>
      </c>
      <c r="B30" s="103" t="s">
        <v>76</v>
      </c>
      <c r="C30" s="32"/>
      <c r="D30" s="110">
        <f>+(C16+C17+C18+C27)*0.075</f>
        <v>0</v>
      </c>
      <c r="E30" s="34">
        <f t="shared" si="0"/>
        <v>0</v>
      </c>
      <c r="F30" s="3"/>
      <c r="G30" s="3"/>
      <c r="H30" s="3"/>
      <c r="L30" s="3"/>
      <c r="M30" s="3"/>
      <c r="N30" s="3"/>
      <c r="O30" s="3"/>
      <c r="P30" s="3"/>
      <c r="Q30" s="3"/>
      <c r="S30" s="19"/>
      <c r="T30" s="104"/>
      <c r="U30" s="61"/>
      <c r="V30" s="80"/>
      <c r="W30" s="80"/>
      <c r="AE30" s="19"/>
      <c r="AF30" s="19"/>
      <c r="AI30" s="19"/>
      <c r="AJ30" s="19"/>
    </row>
    <row r="31" spans="1:36" ht="15.75" x14ac:dyDescent="0.25">
      <c r="A31" s="102" t="s">
        <v>16</v>
      </c>
      <c r="B31" s="57" t="s">
        <v>49</v>
      </c>
      <c r="C31" s="32"/>
      <c r="D31" s="110">
        <f>+(D30)*0.1</f>
        <v>0</v>
      </c>
      <c r="E31" s="34">
        <f t="shared" si="0"/>
        <v>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S31" s="73"/>
      <c r="T31" s="105"/>
      <c r="U31" s="61"/>
      <c r="V31" s="80"/>
      <c r="W31" s="80"/>
      <c r="AE31" s="19"/>
      <c r="AF31" s="19"/>
      <c r="AI31" s="19"/>
      <c r="AJ31" s="19"/>
    </row>
    <row r="32" spans="1:36" ht="15.75" x14ac:dyDescent="0.25">
      <c r="A32" s="102" t="s">
        <v>17</v>
      </c>
      <c r="B32" s="57" t="s">
        <v>54</v>
      </c>
      <c r="C32" s="32"/>
      <c r="D32" s="110">
        <f>((C16+C17+C18+C27)+D30+D31)*0.18</f>
        <v>0</v>
      </c>
      <c r="E32" s="34">
        <f t="shared" si="0"/>
        <v>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S32" s="73"/>
      <c r="T32" s="105"/>
      <c r="U32" s="61"/>
      <c r="V32" s="80"/>
      <c r="W32" s="80"/>
      <c r="AE32" s="19"/>
      <c r="AF32" s="19"/>
      <c r="AI32" s="19"/>
      <c r="AJ32" s="19"/>
    </row>
    <row r="33" spans="1:36" ht="30" x14ac:dyDescent="0.25">
      <c r="A33" s="218" t="s">
        <v>50</v>
      </c>
      <c r="B33" s="64" t="s">
        <v>52</v>
      </c>
      <c r="C33" s="32"/>
      <c r="D33" s="110">
        <f>+(C15+C23+C24)*0.1/(1-0.1)</f>
        <v>0</v>
      </c>
      <c r="E33" s="34">
        <f t="shared" si="0"/>
        <v>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S33" s="19"/>
      <c r="T33" s="29"/>
      <c r="U33" s="61"/>
      <c r="V33" s="80"/>
      <c r="W33" s="80"/>
      <c r="AE33" s="106"/>
      <c r="AF33" s="19"/>
      <c r="AI33" s="106"/>
      <c r="AJ33" s="19"/>
    </row>
    <row r="34" spans="1:36" ht="15.75" x14ac:dyDescent="0.25">
      <c r="A34" s="218" t="s">
        <v>51</v>
      </c>
      <c r="B34" s="64" t="s">
        <v>53</v>
      </c>
      <c r="C34" s="204"/>
      <c r="D34" s="205">
        <f>+(C15+C23+C24+D33)*0.18</f>
        <v>0</v>
      </c>
      <c r="E34" s="206">
        <f t="shared" si="0"/>
        <v>0</v>
      </c>
      <c r="F34" s="3"/>
      <c r="G34" s="3"/>
      <c r="H34" s="3"/>
      <c r="I34" s="3"/>
      <c r="J34" s="53"/>
      <c r="K34" s="3"/>
      <c r="L34" s="3"/>
      <c r="M34" s="3"/>
      <c r="N34" s="3"/>
      <c r="O34" s="3"/>
      <c r="P34" s="3"/>
      <c r="Q34" s="3"/>
      <c r="S34" s="60"/>
      <c r="T34" s="107"/>
      <c r="U34" s="61"/>
      <c r="V34" s="61"/>
      <c r="W34" s="61"/>
      <c r="AE34" s="80"/>
      <c r="AF34" s="60"/>
      <c r="AI34" s="19"/>
      <c r="AJ34" s="19"/>
    </row>
    <row r="35" spans="1:36" ht="15.75" x14ac:dyDescent="0.25">
      <c r="A35" s="111">
        <v>15</v>
      </c>
      <c r="B35" s="112" t="s">
        <v>218</v>
      </c>
      <c r="C35" s="113"/>
      <c r="D35" s="113">
        <f>D28</f>
        <v>8.3976225829756981</v>
      </c>
      <c r="E35" s="113">
        <f>E28</f>
        <v>8.3976225829756981</v>
      </c>
      <c r="F35" s="3"/>
      <c r="G35" s="3"/>
      <c r="H35" s="3"/>
      <c r="I35" s="3"/>
      <c r="J35" s="108"/>
      <c r="K35" s="53"/>
      <c r="L35" s="3"/>
      <c r="M35" s="3"/>
      <c r="N35" s="3"/>
      <c r="O35" s="3"/>
      <c r="P35" s="3"/>
      <c r="Q35" s="3"/>
      <c r="S35" s="60"/>
      <c r="T35" s="109"/>
      <c r="U35" s="61"/>
      <c r="V35" s="114"/>
      <c r="W35" s="80"/>
      <c r="AE35" s="87"/>
      <c r="AF35" s="60"/>
      <c r="AI35" s="19"/>
      <c r="AJ35" s="19"/>
    </row>
    <row r="36" spans="1:36" ht="15.75" x14ac:dyDescent="0.25">
      <c r="A36" s="115">
        <v>16</v>
      </c>
      <c r="B36" s="213" t="s">
        <v>71</v>
      </c>
      <c r="C36" s="214"/>
      <c r="D36" s="215">
        <f>I75</f>
        <v>1.2765058041909132</v>
      </c>
      <c r="E36" s="214">
        <f>C36+D36</f>
        <v>1.2765058041909132</v>
      </c>
      <c r="F36" s="3"/>
      <c r="G36" s="3"/>
      <c r="H36" s="3"/>
      <c r="I36" s="3"/>
      <c r="J36" s="108"/>
      <c r="K36" s="53"/>
      <c r="L36" s="3"/>
      <c r="M36" s="3"/>
      <c r="N36" s="3"/>
      <c r="O36" s="3"/>
      <c r="P36" s="3"/>
      <c r="Q36" s="3"/>
      <c r="S36" s="60"/>
      <c r="T36" s="109"/>
      <c r="U36" s="61"/>
      <c r="V36" s="114"/>
      <c r="W36" s="80"/>
      <c r="AE36" s="87"/>
      <c r="AF36" s="60"/>
      <c r="AI36" s="19"/>
      <c r="AJ36" s="19"/>
    </row>
    <row r="37" spans="1:36" ht="15.75" x14ac:dyDescent="0.25">
      <c r="A37" s="111">
        <v>17</v>
      </c>
      <c r="B37" s="112" t="s">
        <v>217</v>
      </c>
      <c r="C37" s="117">
        <f>C35-C36</f>
        <v>0</v>
      </c>
      <c r="D37" s="117">
        <f>D35-D36</f>
        <v>7.1211167787847849</v>
      </c>
      <c r="E37" s="117">
        <f>E35-E36</f>
        <v>7.1211167787847849</v>
      </c>
      <c r="F37" s="3"/>
      <c r="G37" s="3"/>
      <c r="H37" s="2"/>
      <c r="I37" s="118"/>
      <c r="J37" s="119"/>
      <c r="K37" s="3"/>
      <c r="L37" s="3"/>
      <c r="M37" s="3"/>
      <c r="N37" s="3"/>
      <c r="O37" s="3"/>
      <c r="P37" s="3"/>
      <c r="Q37" s="3"/>
    </row>
    <row r="38" spans="1:36" ht="15.75" x14ac:dyDescent="0.25">
      <c r="A38" s="9"/>
      <c r="B38" s="120"/>
      <c r="C38" s="11"/>
      <c r="D38" s="3"/>
      <c r="E38" s="3"/>
      <c r="F38" s="3"/>
      <c r="G38" s="3"/>
      <c r="H38" s="3"/>
      <c r="I38" s="118"/>
      <c r="J38" s="121"/>
      <c r="K38" s="3"/>
      <c r="L38" s="3"/>
      <c r="M38" s="3"/>
      <c r="N38" s="3"/>
      <c r="O38" s="3"/>
      <c r="P38" s="3"/>
      <c r="Q38" s="3"/>
    </row>
    <row r="39" spans="1:36" ht="15.75" x14ac:dyDescent="0.25">
      <c r="A39" s="9"/>
      <c r="B39" s="120"/>
      <c r="C39" s="11"/>
      <c r="D39" s="3"/>
      <c r="E39" s="3"/>
      <c r="F39" s="3"/>
      <c r="G39" s="3"/>
      <c r="H39" s="3"/>
      <c r="I39" s="119"/>
      <c r="J39" s="121"/>
      <c r="K39" s="3"/>
      <c r="L39" s="3"/>
      <c r="M39" s="3"/>
      <c r="N39" s="3"/>
      <c r="O39" s="3"/>
      <c r="P39" s="3"/>
      <c r="Q39" s="3"/>
    </row>
    <row r="40" spans="1:36" ht="15.75" x14ac:dyDescent="0.25">
      <c r="A40" s="9"/>
      <c r="B40" s="120"/>
      <c r="C40" s="11"/>
      <c r="D40" s="3"/>
      <c r="E40" s="3"/>
      <c r="F40" s="3"/>
      <c r="G40" s="2"/>
      <c r="H40" s="3"/>
      <c r="I40" s="3"/>
      <c r="J40" s="121"/>
      <c r="K40" s="3"/>
      <c r="L40" s="3"/>
      <c r="M40" s="3"/>
      <c r="N40" s="3"/>
      <c r="O40" s="3"/>
      <c r="P40" s="3"/>
      <c r="Q40" s="3"/>
    </row>
    <row r="41" spans="1:36" ht="15.75" x14ac:dyDescent="0.25">
      <c r="A41" s="9"/>
      <c r="B41" s="120"/>
      <c r="C41" s="11"/>
      <c r="D41" s="3"/>
      <c r="E41" s="183"/>
      <c r="F41" s="3"/>
      <c r="G41" s="3"/>
      <c r="H41" s="3"/>
      <c r="I41" s="119"/>
      <c r="J41" s="121"/>
      <c r="K41" s="3"/>
      <c r="L41" s="3"/>
      <c r="M41" s="3"/>
      <c r="N41" s="3"/>
      <c r="O41" s="3"/>
      <c r="P41" s="3"/>
      <c r="Q41" s="3"/>
    </row>
    <row r="42" spans="1:36" ht="15.75" x14ac:dyDescent="0.25">
      <c r="A42" s="9"/>
      <c r="B42" s="120"/>
      <c r="C42" s="11"/>
      <c r="D42" s="3"/>
      <c r="E42" s="183"/>
      <c r="F42" s="3"/>
      <c r="G42" s="3"/>
      <c r="H42" s="3"/>
      <c r="I42" s="3"/>
      <c r="J42" s="121"/>
      <c r="K42" s="3"/>
      <c r="L42" s="3"/>
      <c r="M42" s="3"/>
      <c r="N42" s="3"/>
      <c r="O42" s="3"/>
      <c r="P42" s="3"/>
      <c r="Q42" s="3"/>
    </row>
    <row r="43" spans="1:36" ht="15.75" x14ac:dyDescent="0.25">
      <c r="A43" s="9"/>
      <c r="B43" s="120"/>
      <c r="C43" s="11"/>
      <c r="D43" s="3"/>
      <c r="E43" s="122"/>
      <c r="F43" s="3"/>
      <c r="G43" s="3"/>
      <c r="H43" s="3"/>
      <c r="I43" s="3"/>
      <c r="J43" s="121"/>
      <c r="K43" s="3"/>
      <c r="L43" s="3"/>
      <c r="M43" s="3"/>
      <c r="N43" s="3"/>
      <c r="O43" s="3"/>
      <c r="P43" s="3"/>
      <c r="Q43" s="3"/>
    </row>
    <row r="44" spans="1:36" ht="15.75" x14ac:dyDescent="0.25">
      <c r="A44" s="9"/>
      <c r="B44" s="120"/>
      <c r="C44" s="11"/>
      <c r="D44" s="3"/>
      <c r="E44" s="122"/>
      <c r="F44" s="3"/>
      <c r="G44" s="3"/>
      <c r="H44" s="3"/>
      <c r="I44" s="3"/>
      <c r="J44" s="121"/>
      <c r="K44" s="3"/>
      <c r="L44" s="3"/>
      <c r="M44" s="3"/>
      <c r="N44" s="3"/>
      <c r="O44" s="3"/>
      <c r="P44" s="3"/>
      <c r="Q44" s="3"/>
    </row>
    <row r="45" spans="1:36" ht="15.75" x14ac:dyDescent="0.25">
      <c r="A45" s="9"/>
      <c r="B45" s="192" t="s">
        <v>33</v>
      </c>
      <c r="C45" s="190">
        <v>75</v>
      </c>
      <c r="D45" s="184" t="s">
        <v>35</v>
      </c>
      <c r="F45" s="3"/>
      <c r="I45" s="121"/>
      <c r="L45" s="3"/>
      <c r="M45" s="3"/>
      <c r="N45" s="3"/>
      <c r="O45" s="3"/>
      <c r="P45" s="3"/>
      <c r="Q45" s="3"/>
      <c r="S45" s="123"/>
      <c r="T45" s="63"/>
      <c r="U45" s="63"/>
      <c r="V45" s="63"/>
      <c r="W45" s="63"/>
      <c r="AF45" s="63"/>
      <c r="AG45" s="63"/>
      <c r="AH45" s="63"/>
      <c r="AI45" s="63"/>
      <c r="AJ45" s="124"/>
    </row>
    <row r="46" spans="1:36" ht="15.75" x14ac:dyDescent="0.25">
      <c r="A46" s="9"/>
      <c r="B46" s="192" t="s">
        <v>34</v>
      </c>
      <c r="C46" s="190">
        <v>68</v>
      </c>
      <c r="D46" s="194" t="s">
        <v>30</v>
      </c>
      <c r="F46" s="3"/>
      <c r="G46" s="3"/>
      <c r="H46" s="3"/>
      <c r="I46" s="3"/>
      <c r="J46" s="121"/>
      <c r="L46" s="3"/>
      <c r="M46" s="3"/>
      <c r="N46" s="3"/>
      <c r="O46" s="3"/>
      <c r="P46" s="3"/>
      <c r="Q46" s="3"/>
      <c r="Y46" s="125"/>
      <c r="Z46" s="126"/>
      <c r="AA46" s="126"/>
      <c r="AB46" s="127"/>
      <c r="AC46" s="126"/>
    </row>
    <row r="47" spans="1:36" ht="15.75" x14ac:dyDescent="0.25">
      <c r="A47" s="9"/>
      <c r="B47" s="189" t="s">
        <v>36</v>
      </c>
      <c r="C47" s="191">
        <v>0.06</v>
      </c>
      <c r="D47" s="195"/>
      <c r="F47" s="3"/>
      <c r="G47" s="3"/>
      <c r="H47" s="3"/>
      <c r="I47" s="3"/>
      <c r="J47" s="121"/>
      <c r="K47" s="3"/>
      <c r="L47" s="3"/>
      <c r="M47" s="3"/>
      <c r="N47" s="3"/>
      <c r="O47" s="3"/>
      <c r="P47" s="3"/>
      <c r="Q47" s="3"/>
      <c r="Y47" s="125"/>
      <c r="Z47" s="126"/>
      <c r="AA47" s="126"/>
      <c r="AB47" s="127"/>
      <c r="AC47" s="126"/>
    </row>
    <row r="48" spans="1:36" ht="15.75" x14ac:dyDescent="0.25">
      <c r="A48" s="9"/>
      <c r="B48" s="189" t="s">
        <v>38</v>
      </c>
      <c r="C48" s="191">
        <v>0.12</v>
      </c>
      <c r="D48" s="187"/>
      <c r="E48" s="188"/>
      <c r="F48" s="3"/>
      <c r="G48" s="3"/>
      <c r="H48" s="3"/>
      <c r="I48" s="3"/>
      <c r="J48" s="121"/>
      <c r="K48" s="3"/>
      <c r="L48" s="3"/>
      <c r="M48" s="3"/>
      <c r="N48" s="3"/>
      <c r="O48" s="3"/>
      <c r="P48" s="3"/>
      <c r="Q48" s="3"/>
      <c r="Y48" s="125"/>
      <c r="Z48" s="126"/>
      <c r="AA48" s="126"/>
      <c r="AB48" s="127"/>
      <c r="AC48" s="126"/>
    </row>
    <row r="49" spans="1:29" ht="15.75" x14ac:dyDescent="0.25">
      <c r="A49" s="9"/>
      <c r="B49" s="189" t="s">
        <v>39</v>
      </c>
      <c r="C49" s="191">
        <v>0.2</v>
      </c>
      <c r="D49" s="187"/>
      <c r="E49" s="188"/>
      <c r="F49" s="3"/>
      <c r="G49" s="3"/>
      <c r="H49" s="3"/>
      <c r="I49" s="3" t="s">
        <v>40</v>
      </c>
      <c r="K49" s="3"/>
      <c r="L49" s="3"/>
      <c r="M49" s="3"/>
      <c r="N49" s="3"/>
      <c r="O49" s="3"/>
      <c r="P49" s="3"/>
      <c r="Q49" s="3"/>
      <c r="Y49" s="125"/>
      <c r="Z49" s="126"/>
      <c r="AA49" s="126"/>
      <c r="AB49" s="127"/>
      <c r="AC49" s="126"/>
    </row>
    <row r="50" spans="1:29" ht="15.75" x14ac:dyDescent="0.25">
      <c r="A50" s="9"/>
      <c r="B50" s="189" t="s">
        <v>37</v>
      </c>
      <c r="C50" s="191">
        <v>0.12</v>
      </c>
      <c r="D50" s="195"/>
      <c r="F50" s="3"/>
      <c r="G50" s="3"/>
      <c r="H50" s="3"/>
      <c r="I50" s="3"/>
      <c r="J50" s="121"/>
      <c r="K50" s="3"/>
      <c r="L50" s="3"/>
      <c r="M50" s="3"/>
      <c r="N50" s="3"/>
      <c r="O50" s="3"/>
      <c r="P50" s="3"/>
      <c r="Q50" s="3"/>
      <c r="Y50" s="125"/>
      <c r="Z50" s="126"/>
      <c r="AA50" s="126"/>
      <c r="AB50" s="127"/>
      <c r="AC50" s="126"/>
    </row>
    <row r="51" spans="1:29" ht="15.75" x14ac:dyDescent="0.25">
      <c r="A51" s="9"/>
      <c r="B51" s="211" t="s">
        <v>47</v>
      </c>
      <c r="C51" s="191">
        <v>7.4999999999999997E-2</v>
      </c>
      <c r="D51" s="195"/>
      <c r="F51" s="3"/>
      <c r="G51" s="3"/>
      <c r="H51" s="3"/>
      <c r="I51" s="3"/>
      <c r="J51" s="121"/>
      <c r="K51" s="3"/>
      <c r="L51" s="3"/>
      <c r="M51" s="3"/>
      <c r="N51" s="3"/>
      <c r="O51" s="3"/>
      <c r="P51" s="3"/>
      <c r="Q51" s="3"/>
      <c r="Y51" s="125"/>
      <c r="Z51" s="126"/>
      <c r="AA51" s="126"/>
      <c r="AB51" s="127"/>
      <c r="AC51" s="126"/>
    </row>
    <row r="52" spans="1:29" ht="15.75" x14ac:dyDescent="0.25">
      <c r="A52" s="128" t="s">
        <v>5</v>
      </c>
      <c r="B52" s="129" t="s">
        <v>0</v>
      </c>
      <c r="C52" s="372" t="s">
        <v>18</v>
      </c>
      <c r="D52" s="372"/>
      <c r="E52" s="373" t="s">
        <v>19</v>
      </c>
      <c r="F52" s="373"/>
      <c r="G52" s="373"/>
      <c r="H52" s="216"/>
      <c r="I52" s="216"/>
      <c r="J52" s="107"/>
      <c r="K52" s="107"/>
      <c r="L52" s="3"/>
      <c r="M52" s="3"/>
      <c r="N52" s="3"/>
      <c r="O52" s="3"/>
      <c r="P52" s="3"/>
      <c r="Q52" s="3"/>
      <c r="S52" s="130"/>
      <c r="T52" s="130"/>
      <c r="U52" s="130"/>
      <c r="V52" s="130"/>
      <c r="W52" s="130"/>
      <c r="Y52" s="125"/>
      <c r="Z52" s="63"/>
      <c r="AA52" s="63"/>
      <c r="AB52" s="63"/>
      <c r="AC52" s="126"/>
    </row>
    <row r="53" spans="1:29" ht="30" x14ac:dyDescent="0.25">
      <c r="A53" s="131"/>
      <c r="B53" s="132"/>
      <c r="C53" s="133" t="s">
        <v>20</v>
      </c>
      <c r="D53" s="134" t="s">
        <v>21</v>
      </c>
      <c r="E53" s="210" t="s">
        <v>44</v>
      </c>
      <c r="F53" s="210" t="s">
        <v>45</v>
      </c>
      <c r="G53" s="133" t="s">
        <v>46</v>
      </c>
      <c r="H53" s="212" t="s">
        <v>41</v>
      </c>
      <c r="I53" s="135" t="s">
        <v>1</v>
      </c>
      <c r="L53" s="3"/>
      <c r="M53" s="3"/>
      <c r="N53" s="3"/>
      <c r="O53" s="3"/>
      <c r="P53" s="3"/>
      <c r="Q53" s="3"/>
      <c r="S53" s="130"/>
      <c r="T53" s="130"/>
      <c r="U53" s="130"/>
      <c r="V53" s="130"/>
      <c r="W53" s="130"/>
      <c r="Y53" s="136"/>
      <c r="AC53" s="63"/>
    </row>
    <row r="54" spans="1:29" ht="15.75" x14ac:dyDescent="0.25">
      <c r="A54" s="131"/>
      <c r="B54" s="186">
        <v>0.05</v>
      </c>
      <c r="C54" s="209"/>
      <c r="D54" s="185">
        <f>(B54-C54)</f>
        <v>0.05</v>
      </c>
      <c r="E54" s="196">
        <v>0.18</v>
      </c>
      <c r="F54" s="196">
        <v>0.18</v>
      </c>
      <c r="G54" s="196">
        <v>0.18</v>
      </c>
      <c r="H54" s="197"/>
      <c r="I54" s="135"/>
      <c r="L54" s="3"/>
      <c r="M54" s="3"/>
      <c r="N54" s="3"/>
      <c r="O54" s="3"/>
      <c r="P54" s="3"/>
      <c r="Q54" s="3"/>
      <c r="S54" s="130"/>
      <c r="T54" s="130"/>
      <c r="U54" s="130"/>
      <c r="V54" s="130"/>
      <c r="W54" s="130"/>
      <c r="Y54" s="136"/>
      <c r="AC54" s="63"/>
    </row>
    <row r="55" spans="1:29" ht="15.75" x14ac:dyDescent="0.25">
      <c r="A55" s="111">
        <v>1</v>
      </c>
      <c r="B55" s="137" t="s">
        <v>22</v>
      </c>
      <c r="C55" s="144">
        <f>(SUM(D56:D66)+SUM(C56:C60)*1.07-C57*1.07-D57)*C54</f>
        <v>0</v>
      </c>
      <c r="D55" s="138">
        <f>(SUM(D56:D67)+SUM(C56:C60)*1.07-C57*1.07-D57)*D54</f>
        <v>0.33324094617173927</v>
      </c>
      <c r="E55" s="139"/>
      <c r="F55" s="144">
        <f>D55*F54</f>
        <v>5.9983370310913067E-2</v>
      </c>
      <c r="G55" s="139"/>
      <c r="H55" s="139"/>
      <c r="I55" s="140">
        <f>SUM(C55:H55)</f>
        <v>0.39322431648265233</v>
      </c>
      <c r="L55" s="3"/>
      <c r="M55" s="3"/>
      <c r="N55" s="3"/>
      <c r="O55" s="3"/>
      <c r="P55" s="3"/>
      <c r="Q55" s="3"/>
      <c r="S55" s="130"/>
      <c r="T55" s="130"/>
      <c r="U55" s="130"/>
      <c r="V55" s="130"/>
      <c r="W55" s="130"/>
    </row>
    <row r="56" spans="1:29" ht="15.75" x14ac:dyDescent="0.25">
      <c r="A56" s="142">
        <v>2</v>
      </c>
      <c r="B56" s="143" t="s">
        <v>23</v>
      </c>
      <c r="C56" s="184"/>
      <c r="D56" s="184">
        <f>'BOQ_removed by TFL'!K57/100</f>
        <v>5.9284719000000017</v>
      </c>
      <c r="E56" s="146">
        <f>D56*$E$54</f>
        <v>1.0671249420000002</v>
      </c>
      <c r="F56" s="141">
        <f>(D56*0.02)*($F$54)</f>
        <v>2.1342498840000005E-2</v>
      </c>
      <c r="G56" s="141">
        <f>(D56*0.02)</f>
        <v>0.11856943800000004</v>
      </c>
      <c r="H56" s="141"/>
      <c r="I56" s="140">
        <f t="shared" ref="I56:I73" si="1">SUM(C56:H56)</f>
        <v>7.135508778840002</v>
      </c>
      <c r="L56" s="3"/>
      <c r="M56" s="3"/>
      <c r="N56" s="3"/>
      <c r="O56" s="3"/>
      <c r="P56" s="3"/>
      <c r="Q56" s="3"/>
      <c r="S56" s="130"/>
      <c r="T56" s="130"/>
      <c r="U56" s="130"/>
      <c r="V56" s="130"/>
      <c r="W56" s="130"/>
    </row>
    <row r="57" spans="1:29" ht="15.75" x14ac:dyDescent="0.25">
      <c r="A57" s="142">
        <v>3</v>
      </c>
      <c r="B57" s="143" t="s">
        <v>24</v>
      </c>
      <c r="C57" s="184"/>
      <c r="D57" s="184"/>
      <c r="E57" s="146">
        <f>D57*E54</f>
        <v>0</v>
      </c>
      <c r="F57" s="146"/>
      <c r="G57" s="141">
        <f>(D57*0.02)*(1+$G$54)*0</f>
        <v>0</v>
      </c>
      <c r="H57" s="141"/>
      <c r="I57" s="140">
        <f t="shared" si="1"/>
        <v>0</v>
      </c>
      <c r="L57" s="3"/>
      <c r="M57" s="3"/>
      <c r="N57" s="3"/>
      <c r="O57" s="3"/>
      <c r="P57" s="3"/>
      <c r="Q57" s="3"/>
      <c r="S57" s="130"/>
      <c r="T57" s="130"/>
      <c r="U57" s="130"/>
      <c r="V57" s="130"/>
      <c r="W57" s="130"/>
    </row>
    <row r="58" spans="1:29" ht="15.75" x14ac:dyDescent="0.25">
      <c r="A58" s="142">
        <v>4</v>
      </c>
      <c r="B58" s="143" t="s">
        <v>25</v>
      </c>
      <c r="C58" s="184"/>
      <c r="D58" s="184"/>
      <c r="E58" s="146">
        <f>D58*E54</f>
        <v>0</v>
      </c>
      <c r="F58" s="141">
        <f>(D58*0.09)*($F$54)</f>
        <v>0</v>
      </c>
      <c r="G58" s="141">
        <f>(D58*0.09)</f>
        <v>0</v>
      </c>
      <c r="H58" s="141"/>
      <c r="I58" s="140">
        <f t="shared" si="1"/>
        <v>0</v>
      </c>
      <c r="L58" s="3"/>
      <c r="M58" s="3"/>
      <c r="N58" s="3"/>
      <c r="O58" s="3"/>
      <c r="P58" s="3"/>
      <c r="Q58" s="3"/>
    </row>
    <row r="59" spans="1:29" s="63" customFormat="1" x14ac:dyDescent="0.2">
      <c r="A59" s="111">
        <v>5</v>
      </c>
      <c r="B59" s="137" t="s">
        <v>26</v>
      </c>
      <c r="C59" s="144"/>
      <c r="D59" s="184"/>
      <c r="E59" s="144">
        <f>D59*E54</f>
        <v>0</v>
      </c>
      <c r="F59" s="141">
        <f>(D59*0.09)*($F$54)</f>
        <v>0</v>
      </c>
      <c r="G59" s="141">
        <f>(D59*0.09)</f>
        <v>0</v>
      </c>
      <c r="H59" s="140"/>
      <c r="I59" s="140">
        <f t="shared" si="1"/>
        <v>0</v>
      </c>
      <c r="L59" s="6"/>
      <c r="M59" s="6"/>
      <c r="N59" s="6"/>
      <c r="O59" s="6"/>
      <c r="P59" s="6"/>
      <c r="Q59" s="6"/>
      <c r="U59" s="136"/>
      <c r="W59" s="136"/>
    </row>
    <row r="60" spans="1:29" s="63" customFormat="1" x14ac:dyDescent="0.2">
      <c r="A60" s="111">
        <v>6</v>
      </c>
      <c r="B60" s="137" t="s">
        <v>4</v>
      </c>
      <c r="C60" s="184"/>
      <c r="D60" s="184"/>
      <c r="E60" s="144">
        <f>D60*E54</f>
        <v>0</v>
      </c>
      <c r="F60" s="141">
        <f>(D60*0.09)*($F$54)</f>
        <v>0</v>
      </c>
      <c r="G60" s="141">
        <f>(D60*0.09)</f>
        <v>0</v>
      </c>
      <c r="H60" s="140"/>
      <c r="I60" s="140">
        <f t="shared" si="1"/>
        <v>0</v>
      </c>
      <c r="L60" s="6"/>
      <c r="M60" s="6"/>
      <c r="N60" s="6"/>
      <c r="O60" s="6"/>
      <c r="P60" s="6"/>
      <c r="Q60" s="6"/>
      <c r="S60" s="147"/>
      <c r="U60" s="148"/>
    </row>
    <row r="61" spans="1:29" s="63" customFormat="1" ht="30" x14ac:dyDescent="0.2">
      <c r="A61" s="111">
        <v>7</v>
      </c>
      <c r="B61" s="207" t="s">
        <v>72</v>
      </c>
      <c r="C61" s="144"/>
      <c r="D61" s="184"/>
      <c r="E61" s="144"/>
      <c r="F61" s="140">
        <f>D61*F54</f>
        <v>0</v>
      </c>
      <c r="G61" s="144"/>
      <c r="H61" s="144"/>
      <c r="I61" s="140">
        <f t="shared" si="1"/>
        <v>0</v>
      </c>
      <c r="L61" s="6"/>
      <c r="M61" s="6"/>
      <c r="N61" s="6"/>
      <c r="O61" s="6"/>
      <c r="P61" s="6"/>
      <c r="Q61" s="6"/>
      <c r="S61" s="147"/>
      <c r="U61" s="148"/>
    </row>
    <row r="62" spans="1:29" s="63" customFormat="1" x14ac:dyDescent="0.2">
      <c r="A62" s="111"/>
      <c r="B62" s="208" t="s">
        <v>73</v>
      </c>
      <c r="C62" s="144"/>
      <c r="D62" s="184">
        <f>'BOQ_removed by TFL'!F74/100</f>
        <v>1.6930395434782614E-2</v>
      </c>
      <c r="E62" s="144"/>
      <c r="F62" s="140">
        <f>D62*F54</f>
        <v>3.0474711782608704E-3</v>
      </c>
      <c r="G62" s="144"/>
      <c r="H62" s="144"/>
      <c r="I62" s="140">
        <f t="shared" si="1"/>
        <v>1.9977866613043484E-2</v>
      </c>
      <c r="L62" s="6"/>
      <c r="M62" s="6"/>
      <c r="N62" s="6"/>
      <c r="O62" s="6"/>
      <c r="P62" s="6"/>
      <c r="Q62" s="6"/>
      <c r="S62" s="147"/>
      <c r="U62" s="148"/>
    </row>
    <row r="63" spans="1:29" s="63" customFormat="1" ht="15.75" x14ac:dyDescent="0.2">
      <c r="A63" s="111">
        <v>8</v>
      </c>
      <c r="B63" s="198" t="s">
        <v>56</v>
      </c>
      <c r="C63" s="144"/>
      <c r="D63" s="193">
        <f>C56*1.07*C47+D56*C48</f>
        <v>0.71141662800000016</v>
      </c>
      <c r="E63" s="199"/>
      <c r="F63" s="140">
        <f>D63*F54</f>
        <v>0.12805499304000004</v>
      </c>
      <c r="G63" s="199"/>
      <c r="H63" s="199"/>
      <c r="I63" s="140">
        <f t="shared" si="1"/>
        <v>0.83947162104000017</v>
      </c>
      <c r="L63" s="6"/>
      <c r="M63" s="6"/>
      <c r="N63" s="6"/>
      <c r="O63" s="6"/>
      <c r="P63" s="6"/>
      <c r="Q63" s="6"/>
      <c r="S63" s="149"/>
    </row>
    <row r="64" spans="1:29" s="63" customFormat="1" ht="15.75" x14ac:dyDescent="0.2">
      <c r="A64" s="111"/>
      <c r="B64" s="198" t="s">
        <v>57</v>
      </c>
      <c r="C64" s="144"/>
      <c r="D64" s="193">
        <f>C58*1.07*C49+D58*C49</f>
        <v>0</v>
      </c>
      <c r="E64" s="199"/>
      <c r="F64" s="140">
        <f>D64*F54</f>
        <v>0</v>
      </c>
      <c r="G64" s="199"/>
      <c r="H64" s="199"/>
      <c r="I64" s="140">
        <f t="shared" si="1"/>
        <v>0</v>
      </c>
      <c r="L64" s="6"/>
      <c r="M64" s="6"/>
      <c r="N64" s="6"/>
      <c r="O64" s="6"/>
      <c r="P64" s="6"/>
      <c r="Q64" s="6"/>
      <c r="S64" s="149"/>
    </row>
    <row r="65" spans="1:25" s="63" customFormat="1" ht="15.75" x14ac:dyDescent="0.2">
      <c r="A65" s="111"/>
      <c r="B65" s="198" t="s">
        <v>59</v>
      </c>
      <c r="C65" s="144"/>
      <c r="D65" s="193">
        <f>C60*1.07*C50+D60*C50</f>
        <v>0</v>
      </c>
      <c r="E65" s="199"/>
      <c r="F65" s="140">
        <f>D65*F54</f>
        <v>0</v>
      </c>
      <c r="G65" s="199"/>
      <c r="H65" s="199"/>
      <c r="I65" s="140">
        <f t="shared" si="1"/>
        <v>0</v>
      </c>
      <c r="L65" s="6"/>
      <c r="M65" s="6"/>
      <c r="N65" s="6"/>
      <c r="O65" s="6"/>
      <c r="P65" s="6"/>
      <c r="Q65" s="6"/>
      <c r="S65" s="149"/>
    </row>
    <row r="66" spans="1:25" s="63" customFormat="1" ht="15.75" x14ac:dyDescent="0.2">
      <c r="A66" s="111"/>
      <c r="B66" s="198" t="s">
        <v>55</v>
      </c>
      <c r="C66" s="144"/>
      <c r="D66" s="220">
        <f>'BOQ_removed by TFL'!F62/100</f>
        <v>8.0000000000000002E-3</v>
      </c>
      <c r="E66" s="199"/>
      <c r="F66" s="140">
        <f>D66*F54</f>
        <v>1.4399999999999999E-3</v>
      </c>
      <c r="G66" s="199"/>
      <c r="H66" s="199"/>
      <c r="I66" s="140">
        <f t="shared" si="1"/>
        <v>9.4400000000000005E-3</v>
      </c>
      <c r="L66" s="6"/>
      <c r="M66" s="6"/>
      <c r="N66" s="6"/>
      <c r="O66" s="6"/>
      <c r="P66" s="6"/>
      <c r="Q66" s="6"/>
      <c r="S66" s="149"/>
    </row>
    <row r="67" spans="1:25" s="63" customFormat="1" ht="15.75" x14ac:dyDescent="0.2">
      <c r="A67" s="111"/>
      <c r="B67" s="198" t="s">
        <v>58</v>
      </c>
      <c r="C67" s="144"/>
      <c r="D67" s="193">
        <f>D59*C49</f>
        <v>0</v>
      </c>
      <c r="E67" s="199"/>
      <c r="F67" s="140">
        <f>D67*F54</f>
        <v>0</v>
      </c>
      <c r="G67" s="199"/>
      <c r="H67" s="199"/>
      <c r="I67" s="140">
        <f>SUM(C67:H67)</f>
        <v>0</v>
      </c>
      <c r="L67" s="6"/>
      <c r="M67" s="6"/>
      <c r="N67" s="6"/>
      <c r="O67" s="6"/>
      <c r="P67" s="6"/>
      <c r="Q67" s="6"/>
      <c r="S67" s="149"/>
    </row>
    <row r="68" spans="1:25" s="63" customFormat="1" ht="15.75" x14ac:dyDescent="0.2">
      <c r="A68" s="111">
        <v>9</v>
      </c>
      <c r="B68" s="137" t="s">
        <v>7</v>
      </c>
      <c r="C68" s="184"/>
      <c r="D68" s="138"/>
      <c r="E68" s="201"/>
      <c r="F68" s="201"/>
      <c r="G68" s="201"/>
      <c r="H68" s="201"/>
      <c r="I68" s="140">
        <f t="shared" si="1"/>
        <v>0</v>
      </c>
      <c r="L68" s="6"/>
      <c r="M68" s="6"/>
      <c r="N68" s="6"/>
      <c r="O68" s="6"/>
      <c r="P68" s="6"/>
      <c r="Q68" s="6"/>
      <c r="S68" s="151"/>
    </row>
    <row r="69" spans="1:25" s="63" customFormat="1" ht="15.75" x14ac:dyDescent="0.2">
      <c r="A69" s="111">
        <v>10</v>
      </c>
      <c r="B69" s="137" t="s">
        <v>27</v>
      </c>
      <c r="C69" s="184"/>
      <c r="D69" s="228"/>
      <c r="E69" s="201"/>
      <c r="F69" s="201"/>
      <c r="G69" s="201"/>
      <c r="H69" s="201"/>
      <c r="I69" s="140">
        <f t="shared" si="1"/>
        <v>0</v>
      </c>
      <c r="L69" s="6"/>
      <c r="M69" s="6"/>
      <c r="N69" s="6"/>
      <c r="O69" s="6"/>
      <c r="P69" s="6"/>
      <c r="Q69" s="6"/>
      <c r="S69" s="147"/>
    </row>
    <row r="70" spans="1:25" ht="15.75" x14ac:dyDescent="0.25">
      <c r="A70" s="142">
        <v>11</v>
      </c>
      <c r="B70" s="152" t="s">
        <v>28</v>
      </c>
      <c r="C70" s="144">
        <f>+(C56+C58+C60+C72)*0.07</f>
        <v>0</v>
      </c>
      <c r="D70" s="145"/>
      <c r="E70" s="150"/>
      <c r="F70" s="150"/>
      <c r="G70" s="219"/>
      <c r="H70" s="150"/>
      <c r="I70" s="140">
        <f t="shared" si="1"/>
        <v>0</v>
      </c>
      <c r="L70" s="3"/>
      <c r="M70" s="3"/>
      <c r="N70" s="3"/>
      <c r="O70" s="3"/>
      <c r="P70" s="3"/>
      <c r="Q70" s="3"/>
      <c r="S70" s="147"/>
      <c r="T70" s="63"/>
      <c r="V70" s="63"/>
      <c r="W70" s="63"/>
    </row>
    <row r="71" spans="1:25" s="63" customFormat="1" ht="15.75" x14ac:dyDescent="0.2">
      <c r="A71" s="111"/>
      <c r="B71" s="203" t="s">
        <v>29</v>
      </c>
      <c r="C71" s="144"/>
      <c r="D71" s="138"/>
      <c r="E71" s="200"/>
      <c r="F71" s="217">
        <f>((C56+C57)*1.07*0.03+(C58+C60)*1.07*0.1)*($G$54)</f>
        <v>0</v>
      </c>
      <c r="G71" s="226">
        <f>((C56+C57)*1.07*0.03+(C58+C60)*1.07*0.1)</f>
        <v>0</v>
      </c>
      <c r="H71" s="140">
        <f>((C56*1.07)*0.03+(C58+C60)*1.07*0.1)*(1+C51)*0</f>
        <v>0</v>
      </c>
      <c r="I71" s="140">
        <f t="shared" si="1"/>
        <v>0</v>
      </c>
      <c r="L71" s="6"/>
      <c r="M71" s="6"/>
      <c r="N71" s="6"/>
      <c r="O71" s="6"/>
      <c r="P71" s="6"/>
      <c r="Q71" s="6"/>
      <c r="S71" s="147"/>
    </row>
    <row r="72" spans="1:25" s="63" customFormat="1" x14ac:dyDescent="0.2">
      <c r="A72" s="111">
        <v>12</v>
      </c>
      <c r="B72" s="202" t="s">
        <v>75</v>
      </c>
      <c r="C72" s="184"/>
      <c r="D72" s="228"/>
      <c r="E72" s="144">
        <f>D72*$E$54</f>
        <v>0</v>
      </c>
      <c r="F72" s="140">
        <f>(D72*0.02)*($F$54)</f>
        <v>0</v>
      </c>
      <c r="G72" s="140">
        <f>(D72*0.02)</f>
        <v>0</v>
      </c>
      <c r="H72" s="225"/>
      <c r="I72" s="140">
        <f t="shared" si="1"/>
        <v>0</v>
      </c>
      <c r="L72" s="6"/>
      <c r="M72" s="6"/>
      <c r="N72" s="6"/>
      <c r="O72" s="6"/>
      <c r="P72" s="6"/>
      <c r="Q72" s="6"/>
      <c r="S72" s="147"/>
    </row>
    <row r="73" spans="1:25" s="63" customFormat="1" ht="15.75" x14ac:dyDescent="0.2">
      <c r="A73" s="111">
        <v>13</v>
      </c>
      <c r="B73" s="202" t="s">
        <v>41</v>
      </c>
      <c r="C73" s="144"/>
      <c r="D73" s="138"/>
      <c r="E73" s="200"/>
      <c r="F73" s="200"/>
      <c r="G73" s="140"/>
      <c r="H73" s="227"/>
      <c r="I73" s="140">
        <f t="shared" si="1"/>
        <v>0</v>
      </c>
      <c r="L73" s="6"/>
      <c r="M73" s="6"/>
      <c r="N73" s="6"/>
      <c r="O73" s="6"/>
      <c r="P73" s="6"/>
      <c r="Q73" s="6"/>
      <c r="S73" s="147"/>
    </row>
    <row r="74" spans="1:25" ht="15.75" x14ac:dyDescent="0.25">
      <c r="A74" s="142"/>
      <c r="B74" s="153" t="s">
        <v>1</v>
      </c>
      <c r="C74" s="154">
        <f t="shared" ref="C74:I74" si="2">SUM(C55:C73)</f>
        <v>0</v>
      </c>
      <c r="D74" s="154">
        <f t="shared" si="2"/>
        <v>6.9980598696065242</v>
      </c>
      <c r="E74" s="154">
        <f t="shared" si="2"/>
        <v>1.0671249420000002</v>
      </c>
      <c r="F74" s="154">
        <f t="shared" si="2"/>
        <v>0.21386833336917399</v>
      </c>
      <c r="G74" s="154">
        <f t="shared" si="2"/>
        <v>0.11856943800000004</v>
      </c>
      <c r="H74" s="154">
        <f t="shared" si="2"/>
        <v>0</v>
      </c>
      <c r="I74" s="154">
        <f t="shared" si="2"/>
        <v>8.3976225829756981</v>
      </c>
      <c r="K74" s="180"/>
      <c r="L74" s="3"/>
      <c r="M74" s="3"/>
      <c r="N74" s="3"/>
      <c r="O74" s="3"/>
      <c r="P74" s="3"/>
      <c r="Q74" s="3"/>
      <c r="S74" s="147"/>
      <c r="T74" s="63"/>
      <c r="V74" s="63"/>
      <c r="W74" s="63"/>
    </row>
    <row r="75" spans="1:25" ht="15.75" x14ac:dyDescent="0.25">
      <c r="A75" s="142"/>
      <c r="B75" s="129" t="s">
        <v>74</v>
      </c>
      <c r="C75" s="146"/>
      <c r="D75" s="145"/>
      <c r="E75" s="146">
        <f>E56+E57+E58+E60+E72</f>
        <v>1.0671249420000002</v>
      </c>
      <c r="F75" s="146">
        <f>F55+F56+F57+F58+F59+F60+F61+F63+F64+F65+F71+F72</f>
        <v>0.20938086219091312</v>
      </c>
      <c r="G75" s="146"/>
      <c r="H75" s="146">
        <f>D32+D34</f>
        <v>0</v>
      </c>
      <c r="I75" s="141">
        <f>SUM(C75:H75)</f>
        <v>1.2765058041909132</v>
      </c>
      <c r="K75" s="180"/>
      <c r="L75" s="3"/>
      <c r="M75" s="3"/>
      <c r="N75" s="3"/>
      <c r="O75" s="3"/>
      <c r="P75" s="3"/>
      <c r="Q75" s="3"/>
      <c r="S75" s="147"/>
      <c r="T75" s="63"/>
      <c r="V75" s="63"/>
      <c r="W75" s="63"/>
    </row>
    <row r="76" spans="1:25" ht="15.75" x14ac:dyDescent="0.25">
      <c r="A76" s="155"/>
      <c r="B76" s="19"/>
      <c r="C76" s="19"/>
      <c r="D76" s="19"/>
      <c r="E76" s="19"/>
      <c r="F76" s="19"/>
      <c r="G76" s="19"/>
      <c r="H76" s="19"/>
      <c r="I76" s="19">
        <f>I74-I75</f>
        <v>7.1211167787847849</v>
      </c>
      <c r="J76" s="19"/>
      <c r="K76" s="180"/>
      <c r="L76" s="3"/>
      <c r="M76" s="3"/>
      <c r="N76" s="3"/>
      <c r="O76" s="3"/>
      <c r="P76" s="3"/>
      <c r="Q76" s="3"/>
      <c r="S76" s="147"/>
      <c r="T76" s="63"/>
      <c r="V76" s="63"/>
      <c r="W76" s="63"/>
    </row>
    <row r="77" spans="1:25" x14ac:dyDescent="0.25">
      <c r="A77" s="106"/>
      <c r="P77" s="19"/>
      <c r="Q77" s="156"/>
      <c r="R77" s="19"/>
      <c r="X77" s="19"/>
      <c r="Y77" s="19"/>
    </row>
    <row r="78" spans="1:25" ht="15.75" x14ac:dyDescent="0.25">
      <c r="A78" s="18"/>
      <c r="B78" s="157"/>
      <c r="C78" s="19"/>
      <c r="D78" s="20"/>
      <c r="E78" s="19"/>
      <c r="F78" s="19"/>
      <c r="G78" s="19"/>
      <c r="H78" s="19"/>
      <c r="I78" s="19"/>
      <c r="J78" s="19"/>
      <c r="K78" s="19"/>
      <c r="P78" s="19"/>
      <c r="Q78" s="156"/>
      <c r="R78" s="19"/>
      <c r="X78" s="19"/>
      <c r="Y78" s="19"/>
    </row>
    <row r="79" spans="1:25" ht="15.75" x14ac:dyDescent="0.25">
      <c r="A79" s="27"/>
      <c r="B79" s="19"/>
      <c r="C79" s="19"/>
      <c r="D79" s="19"/>
      <c r="E79" s="19"/>
      <c r="F79" s="29"/>
      <c r="G79" s="19"/>
      <c r="H79" s="19"/>
      <c r="I79" s="19"/>
      <c r="J79" s="19"/>
      <c r="K79" s="19"/>
      <c r="P79" s="51"/>
      <c r="Q79" s="19"/>
      <c r="R79" s="19"/>
      <c r="X79" s="19"/>
      <c r="Y79" s="19"/>
    </row>
    <row r="80" spans="1:25" ht="15.75" x14ac:dyDescent="0.25">
      <c r="A80" s="40"/>
      <c r="B80" s="19"/>
      <c r="C80" s="19"/>
      <c r="D80" s="19"/>
      <c r="E80" s="19"/>
      <c r="F80" s="41"/>
      <c r="G80" s="42"/>
      <c r="H80" s="19"/>
      <c r="I80" s="19"/>
      <c r="J80" s="19"/>
      <c r="K80" s="19"/>
      <c r="P80" s="19"/>
      <c r="Q80" s="19"/>
      <c r="R80" s="19"/>
      <c r="X80" s="19"/>
      <c r="Y80" s="19"/>
    </row>
    <row r="81" spans="1:25" x14ac:dyDescent="0.25">
      <c r="A81" s="60"/>
      <c r="B81" s="60"/>
      <c r="C81" s="59"/>
      <c r="D81" s="59"/>
      <c r="E81" s="59"/>
      <c r="F81" s="59"/>
      <c r="G81" s="59"/>
      <c r="H81" s="49"/>
      <c r="J81" s="19"/>
      <c r="K81" s="19"/>
      <c r="P81" s="19"/>
      <c r="Q81" s="19"/>
      <c r="R81" s="19"/>
      <c r="X81" s="19"/>
      <c r="Y81" s="19"/>
    </row>
    <row r="82" spans="1:25" x14ac:dyDescent="0.25">
      <c r="A82" s="19"/>
      <c r="B82" s="19"/>
      <c r="C82" s="19"/>
      <c r="D82" s="19"/>
      <c r="E82" s="59"/>
      <c r="F82" s="59"/>
      <c r="G82" s="59"/>
      <c r="H82" s="62"/>
      <c r="J82" s="19"/>
      <c r="K82" s="19"/>
      <c r="P82" s="19"/>
      <c r="Q82" s="19"/>
      <c r="R82" s="19"/>
      <c r="X82" s="19"/>
      <c r="Y82" s="19"/>
    </row>
    <row r="83" spans="1:25" x14ac:dyDescent="0.25">
      <c r="A83" s="158"/>
      <c r="B83" s="159"/>
      <c r="C83" s="160"/>
      <c r="D83" s="73"/>
      <c r="E83" s="156"/>
      <c r="F83" s="59"/>
      <c r="G83" s="73"/>
      <c r="H83" s="19"/>
      <c r="J83" s="19"/>
      <c r="K83" s="19"/>
      <c r="P83" s="19"/>
      <c r="Q83" s="156"/>
      <c r="R83" s="19"/>
      <c r="X83" s="19"/>
      <c r="Y83" s="19"/>
    </row>
    <row r="84" spans="1:25" x14ac:dyDescent="0.25">
      <c r="A84" s="77"/>
      <c r="B84" s="161"/>
      <c r="C84" s="61"/>
      <c r="D84" s="114"/>
      <c r="E84" s="80"/>
      <c r="F84" s="116"/>
      <c r="G84" s="162"/>
      <c r="H84" s="19"/>
      <c r="J84" s="156"/>
      <c r="K84" s="19"/>
      <c r="P84" s="51"/>
      <c r="Q84" s="19"/>
      <c r="R84" s="19"/>
      <c r="X84" s="19"/>
      <c r="Y84" s="19"/>
    </row>
    <row r="85" spans="1:25" x14ac:dyDescent="0.25">
      <c r="A85" s="77"/>
      <c r="B85" s="161"/>
      <c r="C85" s="61"/>
      <c r="D85" s="114"/>
      <c r="E85" s="80"/>
      <c r="F85" s="116"/>
      <c r="G85" s="163"/>
      <c r="H85" s="19"/>
      <c r="J85" s="156"/>
      <c r="K85" s="19"/>
      <c r="P85" s="51"/>
      <c r="Q85" s="19"/>
      <c r="R85" s="19"/>
      <c r="X85" s="19"/>
      <c r="Y85" s="19"/>
    </row>
    <row r="86" spans="1:25" x14ac:dyDescent="0.25">
      <c r="A86" s="77"/>
      <c r="B86" s="161"/>
      <c r="C86" s="61"/>
      <c r="D86" s="114"/>
      <c r="E86" s="80"/>
      <c r="F86" s="116"/>
      <c r="G86" s="163"/>
      <c r="H86" s="19"/>
      <c r="J86" s="156"/>
      <c r="K86" s="19"/>
      <c r="P86" s="51"/>
      <c r="Q86" s="19"/>
      <c r="R86" s="19"/>
      <c r="X86" s="19"/>
      <c r="Y86" s="19"/>
    </row>
    <row r="87" spans="1:25" x14ac:dyDescent="0.25">
      <c r="A87" s="77"/>
      <c r="B87" s="161"/>
      <c r="C87" s="61"/>
      <c r="D87" s="114"/>
      <c r="E87" s="80"/>
      <c r="F87" s="116"/>
      <c r="G87" s="107"/>
      <c r="H87" s="19"/>
      <c r="J87" s="156"/>
      <c r="K87" s="19"/>
      <c r="P87" s="51"/>
      <c r="Q87" s="19"/>
      <c r="R87" s="19"/>
      <c r="X87" s="19"/>
      <c r="Y87" s="19"/>
    </row>
    <row r="88" spans="1:25" x14ac:dyDescent="0.25">
      <c r="A88" s="99"/>
      <c r="B88" s="164"/>
      <c r="C88" s="59"/>
      <c r="D88" s="101"/>
      <c r="E88" s="60"/>
      <c r="F88" s="60"/>
      <c r="G88" s="60"/>
      <c r="H88" s="60">
        <f>SUM(H84:H86)</f>
        <v>0</v>
      </c>
      <c r="J88" s="156"/>
      <c r="K88" s="19"/>
      <c r="P88" s="51"/>
      <c r="Q88" s="19"/>
      <c r="R88" s="19"/>
      <c r="X88" s="19"/>
      <c r="Y88" s="19"/>
    </row>
    <row r="89" spans="1:25" x14ac:dyDescent="0.25">
      <c r="A89" s="19"/>
      <c r="B89" s="104"/>
      <c r="C89" s="61"/>
      <c r="D89" s="80"/>
      <c r="E89" s="80"/>
      <c r="F89" s="19"/>
      <c r="G89" s="19"/>
      <c r="H89" s="19"/>
      <c r="J89" s="19"/>
      <c r="K89" s="19"/>
      <c r="P89" s="19"/>
      <c r="Q89" s="19"/>
      <c r="R89" s="19"/>
      <c r="X89" s="19"/>
      <c r="Y89" s="19"/>
    </row>
    <row r="90" spans="1:25" x14ac:dyDescent="0.25">
      <c r="A90" s="73"/>
      <c r="B90" s="105"/>
      <c r="C90" s="61"/>
      <c r="D90" s="80"/>
      <c r="E90" s="80"/>
      <c r="F90" s="19"/>
      <c r="G90" s="165"/>
      <c r="H90" s="19"/>
      <c r="J90" s="19"/>
      <c r="K90" s="19"/>
      <c r="P90" s="19"/>
      <c r="Q90" s="19"/>
      <c r="R90" s="19"/>
      <c r="X90" s="19"/>
      <c r="Y90" s="19"/>
    </row>
    <row r="91" spans="1:25" x14ac:dyDescent="0.25">
      <c r="A91" s="73"/>
      <c r="B91" s="105"/>
      <c r="C91" s="61"/>
      <c r="D91" s="80"/>
      <c r="E91" s="80"/>
      <c r="F91" s="19"/>
      <c r="G91" s="165"/>
      <c r="H91" s="19"/>
      <c r="J91" s="19"/>
      <c r="K91" s="19"/>
      <c r="P91" s="19"/>
      <c r="Q91" s="19"/>
      <c r="R91" s="19"/>
      <c r="X91" s="19"/>
      <c r="Y91" s="19"/>
    </row>
    <row r="92" spans="1:25" x14ac:dyDescent="0.25">
      <c r="A92" s="19"/>
      <c r="B92" s="59"/>
      <c r="C92" s="59"/>
      <c r="D92" s="29"/>
      <c r="E92" s="29"/>
      <c r="F92" s="106"/>
      <c r="G92" s="19"/>
      <c r="H92" s="19"/>
      <c r="J92" s="19"/>
      <c r="K92" s="19"/>
      <c r="P92" s="19"/>
      <c r="Q92" s="19"/>
      <c r="R92" s="19"/>
      <c r="X92" s="19"/>
      <c r="Y92" s="19"/>
    </row>
    <row r="93" spans="1:25" x14ac:dyDescent="0.25">
      <c r="A93" s="19"/>
      <c r="B93" s="29"/>
      <c r="C93" s="61"/>
      <c r="D93" s="80"/>
      <c r="E93" s="80"/>
      <c r="F93" s="106"/>
      <c r="G93" s="19"/>
      <c r="H93" s="106">
        <f>H92+H88</f>
        <v>0</v>
      </c>
      <c r="J93" s="19"/>
      <c r="K93" s="19"/>
      <c r="P93" s="19"/>
      <c r="Q93" s="19"/>
      <c r="R93" s="19"/>
      <c r="X93" s="19"/>
      <c r="Y93" s="19"/>
    </row>
    <row r="94" spans="1:25" x14ac:dyDescent="0.25">
      <c r="A94" s="68"/>
      <c r="B94" s="85"/>
      <c r="C94" s="49"/>
      <c r="D94" s="86"/>
      <c r="E94" s="50"/>
      <c r="F94" s="87"/>
      <c r="G94" s="73"/>
      <c r="H94" s="74"/>
      <c r="I94" s="68"/>
      <c r="J94" s="85"/>
      <c r="K94" s="49"/>
      <c r="L94" s="86"/>
      <c r="M94" s="86"/>
      <c r="N94" s="86"/>
      <c r="O94" s="86"/>
      <c r="P94" s="87"/>
      <c r="R94" s="63"/>
      <c r="X94" s="42"/>
      <c r="Y94" s="19"/>
    </row>
    <row r="95" spans="1:25" x14ac:dyDescent="0.25">
      <c r="A95" s="99"/>
      <c r="B95" s="100"/>
      <c r="C95" s="59"/>
      <c r="D95" s="101"/>
      <c r="E95" s="60"/>
      <c r="F95" s="60"/>
      <c r="G95" s="60"/>
      <c r="I95" s="77"/>
      <c r="J95" s="166"/>
      <c r="K95" s="49"/>
      <c r="L95" s="86"/>
      <c r="M95" s="86"/>
      <c r="N95" s="86"/>
      <c r="O95" s="86"/>
      <c r="P95" s="87"/>
      <c r="X95" s="60"/>
      <c r="Y95" s="19"/>
    </row>
    <row r="96" spans="1:25" x14ac:dyDescent="0.25">
      <c r="A96" s="19"/>
      <c r="B96" s="104"/>
      <c r="C96" s="61"/>
      <c r="D96" s="80"/>
      <c r="E96" s="80"/>
      <c r="F96" s="19"/>
      <c r="G96" s="19"/>
      <c r="I96" s="99"/>
      <c r="J96" s="100"/>
      <c r="K96" s="59"/>
      <c r="L96" s="101"/>
      <c r="M96" s="101"/>
      <c r="N96" s="101"/>
      <c r="O96" s="101"/>
      <c r="P96" s="60"/>
      <c r="X96" s="19"/>
      <c r="Y96" s="19"/>
    </row>
    <row r="97" spans="1:25" x14ac:dyDescent="0.25">
      <c r="A97" s="73"/>
      <c r="B97" s="105"/>
      <c r="C97" s="61"/>
      <c r="D97" s="80"/>
      <c r="E97" s="80"/>
      <c r="F97" s="19"/>
      <c r="G97" s="19"/>
      <c r="I97" s="19"/>
      <c r="J97" s="104"/>
      <c r="K97" s="61"/>
      <c r="L97" s="80"/>
      <c r="M97" s="80"/>
      <c r="N97" s="80"/>
      <c r="O97" s="80"/>
      <c r="P97" s="19"/>
      <c r="X97" s="19"/>
      <c r="Y97" s="19"/>
    </row>
    <row r="98" spans="1:25" x14ac:dyDescent="0.25">
      <c r="A98" s="73"/>
      <c r="B98" s="105"/>
      <c r="C98" s="61"/>
      <c r="D98" s="80"/>
      <c r="E98" s="80"/>
      <c r="F98" s="19"/>
      <c r="G98" s="19"/>
      <c r="I98" s="73"/>
      <c r="J98" s="105"/>
      <c r="K98" s="61"/>
      <c r="L98" s="80"/>
      <c r="M98" s="80"/>
      <c r="N98" s="80"/>
      <c r="O98" s="80"/>
      <c r="P98" s="19"/>
      <c r="X98" s="19"/>
      <c r="Y98" s="19"/>
    </row>
    <row r="99" spans="1:25" x14ac:dyDescent="0.25">
      <c r="A99" s="19"/>
      <c r="B99" s="104"/>
      <c r="C99" s="59"/>
      <c r="D99" s="29"/>
      <c r="E99" s="29"/>
      <c r="F99" s="106"/>
      <c r="G99" s="19"/>
      <c r="I99" s="73"/>
      <c r="J99" s="105"/>
      <c r="K99" s="61"/>
      <c r="L99" s="80"/>
      <c r="M99" s="80"/>
      <c r="N99" s="80"/>
      <c r="O99" s="80"/>
      <c r="P99" s="19"/>
      <c r="X99" s="19"/>
      <c r="Y99" s="19"/>
    </row>
    <row r="100" spans="1:25" x14ac:dyDescent="0.25">
      <c r="A100" s="19"/>
      <c r="B100" s="29"/>
      <c r="C100" s="61"/>
      <c r="D100" s="80"/>
      <c r="E100" s="80"/>
      <c r="F100" s="106"/>
      <c r="G100" s="19"/>
      <c r="I100" s="19"/>
      <c r="J100" s="104"/>
      <c r="K100" s="59"/>
      <c r="L100" s="29"/>
      <c r="M100" s="29"/>
      <c r="N100" s="29"/>
      <c r="O100" s="29"/>
      <c r="P100" s="106"/>
      <c r="X100" s="106"/>
      <c r="Y100" s="19"/>
    </row>
    <row r="101" spans="1:25" x14ac:dyDescent="0.25">
      <c r="A101" s="60"/>
      <c r="B101" s="107"/>
      <c r="C101" s="61"/>
      <c r="D101" s="61"/>
      <c r="E101" s="61"/>
      <c r="F101" s="80"/>
      <c r="G101" s="60"/>
      <c r="I101" s="19"/>
      <c r="J101" s="29"/>
      <c r="K101" s="61"/>
      <c r="L101" s="80"/>
      <c r="M101" s="80"/>
      <c r="N101" s="80"/>
      <c r="O101" s="80"/>
      <c r="P101" s="106"/>
      <c r="X101" s="19"/>
      <c r="Y101" s="19"/>
    </row>
    <row r="102" spans="1:25" x14ac:dyDescent="0.25">
      <c r="A102" s="60"/>
      <c r="B102" s="109"/>
      <c r="C102" s="167"/>
      <c r="D102" s="167"/>
      <c r="E102" s="167"/>
      <c r="F102" s="87"/>
      <c r="G102" s="60"/>
      <c r="I102" s="60"/>
      <c r="J102" s="107"/>
      <c r="K102" s="61"/>
      <c r="L102" s="61"/>
      <c r="M102" s="61"/>
      <c r="N102" s="61"/>
      <c r="O102" s="61"/>
      <c r="P102" s="80"/>
      <c r="Q102" s="19"/>
      <c r="R102" s="19"/>
      <c r="X102" s="19"/>
      <c r="Y102" s="19"/>
    </row>
    <row r="103" spans="1:25" x14ac:dyDescent="0.25">
      <c r="A103" s="60"/>
      <c r="B103" s="168"/>
      <c r="C103" s="162"/>
      <c r="D103" s="169"/>
      <c r="E103" s="170"/>
      <c r="F103" s="170"/>
      <c r="G103" s="60"/>
      <c r="I103" s="60"/>
      <c r="J103" s="109"/>
      <c r="K103" s="167"/>
      <c r="L103" s="171"/>
      <c r="M103" s="171"/>
      <c r="N103" s="171"/>
      <c r="O103" s="171"/>
      <c r="P103" s="87"/>
      <c r="Q103" s="19"/>
      <c r="R103" s="19"/>
      <c r="X103" s="19"/>
      <c r="Y103" s="19"/>
    </row>
    <row r="104" spans="1:25" x14ac:dyDescent="0.25">
      <c r="A104" s="60"/>
      <c r="B104" s="107"/>
      <c r="C104" s="61"/>
      <c r="D104" s="114"/>
      <c r="E104" s="80"/>
      <c r="F104" s="116"/>
      <c r="G104" s="60"/>
      <c r="H104" s="19"/>
      <c r="I104" s="60"/>
      <c r="J104" s="109"/>
      <c r="K104" s="162"/>
      <c r="L104" s="172"/>
      <c r="M104" s="172"/>
      <c r="N104" s="172"/>
      <c r="O104" s="172"/>
      <c r="P104" s="87"/>
      <c r="Q104" s="19"/>
      <c r="R104" s="19"/>
      <c r="X104" s="19"/>
      <c r="Y104" s="19"/>
    </row>
    <row r="105" spans="1:25" x14ac:dyDescent="0.25">
      <c r="A105" s="60"/>
      <c r="B105" s="107"/>
      <c r="C105" s="61"/>
      <c r="D105" s="80"/>
      <c r="E105" s="80"/>
      <c r="F105" s="116"/>
      <c r="G105" s="60"/>
      <c r="H105" s="19"/>
      <c r="J105" s="173"/>
      <c r="K105" s="174"/>
      <c r="L105" s="175"/>
      <c r="M105" s="175"/>
      <c r="N105" s="175"/>
      <c r="O105" s="175"/>
      <c r="P105" s="162"/>
      <c r="Q105" s="176"/>
      <c r="R105" s="19"/>
      <c r="X105" s="19"/>
      <c r="Y105" s="19"/>
    </row>
    <row r="106" spans="1:25" x14ac:dyDescent="0.25">
      <c r="A106" s="60"/>
      <c r="B106" s="60"/>
      <c r="C106" s="59"/>
      <c r="D106" s="59"/>
      <c r="E106" s="59"/>
      <c r="F106" s="59"/>
      <c r="G106" s="60"/>
      <c r="H106" s="19"/>
      <c r="J106" s="19"/>
      <c r="K106" s="19"/>
      <c r="P106" s="19"/>
      <c r="Q106" s="19"/>
      <c r="R106" s="19"/>
      <c r="X106" s="19"/>
      <c r="Y106" s="19"/>
    </row>
    <row r="107" spans="1:25" x14ac:dyDescent="0.25">
      <c r="A107" s="60"/>
      <c r="B107" s="60"/>
      <c r="C107" s="59"/>
      <c r="D107" s="59"/>
      <c r="E107" s="59"/>
      <c r="F107" s="59"/>
      <c r="G107" s="60"/>
      <c r="H107" s="19"/>
      <c r="J107" s="19"/>
      <c r="K107" s="19"/>
      <c r="P107" s="19"/>
      <c r="Q107" s="19"/>
      <c r="R107" s="19"/>
      <c r="X107" s="19"/>
      <c r="Y107" s="19"/>
    </row>
    <row r="108" spans="1:25" x14ac:dyDescent="0.25">
      <c r="A108" s="60"/>
      <c r="B108" s="60"/>
      <c r="C108" s="59"/>
      <c r="D108" s="59"/>
      <c r="E108" s="59"/>
      <c r="F108" s="59"/>
      <c r="G108" s="60"/>
      <c r="H108" s="19"/>
      <c r="J108" s="19"/>
      <c r="K108" s="19"/>
      <c r="P108" s="19"/>
      <c r="Q108" s="19"/>
      <c r="R108" s="19"/>
      <c r="X108" s="19"/>
      <c r="Y108" s="19"/>
    </row>
    <row r="109" spans="1:25" x14ac:dyDescent="0.25">
      <c r="A109" s="60"/>
      <c r="B109" s="60"/>
      <c r="C109" s="59"/>
      <c r="D109" s="59"/>
      <c r="E109" s="59"/>
      <c r="F109" s="59"/>
      <c r="G109" s="60"/>
      <c r="H109" s="19"/>
      <c r="J109" s="19"/>
      <c r="K109" s="19"/>
      <c r="P109" s="19"/>
      <c r="Q109" s="19"/>
      <c r="R109" s="19"/>
      <c r="X109" s="19"/>
      <c r="Y109" s="19"/>
    </row>
    <row r="110" spans="1:25" x14ac:dyDescent="0.25">
      <c r="A110" s="60"/>
      <c r="B110" s="60"/>
      <c r="C110" s="59"/>
      <c r="D110" s="59"/>
      <c r="E110" s="59"/>
      <c r="F110" s="59"/>
      <c r="G110" s="60"/>
      <c r="H110" s="19"/>
      <c r="J110" s="19"/>
      <c r="K110" s="19"/>
      <c r="L110" s="19"/>
      <c r="M110" s="19"/>
      <c r="N110" s="19"/>
      <c r="O110" s="19"/>
      <c r="P110" s="19"/>
      <c r="Q110" s="19"/>
      <c r="R110" s="19"/>
      <c r="X110" s="19"/>
      <c r="Y110" s="19"/>
    </row>
    <row r="111" spans="1:25" x14ac:dyDescent="0.25">
      <c r="A111" s="60"/>
      <c r="B111" s="60"/>
      <c r="C111" s="59"/>
      <c r="D111" s="59"/>
      <c r="E111" s="59"/>
      <c r="F111" s="59"/>
      <c r="G111" s="60"/>
      <c r="H111" s="19"/>
      <c r="J111" s="19"/>
      <c r="K111" s="19"/>
      <c r="L111" s="19"/>
      <c r="M111" s="19"/>
      <c r="N111" s="19"/>
      <c r="O111" s="19"/>
      <c r="P111" s="19"/>
      <c r="Q111" s="19"/>
      <c r="R111" s="19"/>
      <c r="X111" s="19"/>
      <c r="Y111" s="19"/>
    </row>
    <row r="112" spans="1:25" x14ac:dyDescent="0.25">
      <c r="A112" s="19"/>
      <c r="B112" s="19"/>
      <c r="C112" s="156"/>
      <c r="D112" s="51"/>
      <c r="E112" s="19"/>
      <c r="F112" s="59"/>
      <c r="G112" s="60"/>
      <c r="H112" s="19"/>
      <c r="J112" s="19"/>
      <c r="K112" s="19"/>
      <c r="L112" s="19"/>
      <c r="M112" s="19"/>
      <c r="N112" s="19"/>
      <c r="O112" s="19"/>
      <c r="P112" s="19"/>
      <c r="Q112" s="19"/>
      <c r="R112" s="19"/>
      <c r="X112" s="19"/>
      <c r="Y112" s="19"/>
    </row>
    <row r="113" spans="1:25" x14ac:dyDescent="0.25">
      <c r="A113" s="99"/>
      <c r="B113" s="19"/>
      <c r="F113" s="60"/>
      <c r="G113" s="107"/>
      <c r="H113" s="19"/>
      <c r="J113" s="19"/>
      <c r="K113" s="19"/>
      <c r="L113" s="19"/>
      <c r="M113" s="19"/>
      <c r="N113" s="19"/>
      <c r="O113" s="19"/>
      <c r="P113" s="19"/>
      <c r="Q113" s="19"/>
      <c r="R113" s="19"/>
      <c r="X113" s="19"/>
      <c r="Y113" s="19"/>
    </row>
    <row r="114" spans="1:25" x14ac:dyDescent="0.25">
      <c r="A114" s="158"/>
      <c r="B114" s="161"/>
      <c r="C114" s="177"/>
      <c r="D114" s="107"/>
      <c r="E114" s="107"/>
      <c r="F114" s="19"/>
      <c r="G114" s="160"/>
      <c r="H114" s="19"/>
      <c r="J114" s="19"/>
      <c r="K114" s="19"/>
      <c r="L114" s="19"/>
      <c r="M114" s="19"/>
      <c r="N114" s="19"/>
      <c r="O114" s="19"/>
      <c r="P114" s="19"/>
      <c r="Q114" s="19"/>
      <c r="R114" s="19"/>
      <c r="X114" s="19"/>
      <c r="Y114" s="19"/>
    </row>
    <row r="115" spans="1:25" x14ac:dyDescent="0.25">
      <c r="A115" s="178"/>
      <c r="B115" s="161"/>
      <c r="C115" s="61"/>
      <c r="D115" s="107"/>
      <c r="E115" s="107"/>
      <c r="F115" s="80"/>
      <c r="G115" s="160"/>
      <c r="L115" s="19"/>
      <c r="M115" s="19"/>
      <c r="N115" s="19"/>
      <c r="O115" s="19"/>
      <c r="P115" s="19"/>
      <c r="Q115" s="19"/>
      <c r="R115" s="19"/>
      <c r="X115" s="19"/>
      <c r="Y115" s="19"/>
    </row>
    <row r="116" spans="1:25" x14ac:dyDescent="0.25">
      <c r="A116" s="19"/>
      <c r="B116" s="179"/>
      <c r="C116" s="61"/>
      <c r="D116" s="80"/>
      <c r="E116" s="80"/>
      <c r="F116" s="60"/>
      <c r="G116" s="105"/>
    </row>
    <row r="117" spans="1:25" x14ac:dyDescent="0.25">
      <c r="A117" s="178"/>
      <c r="B117" s="161"/>
      <c r="C117" s="61"/>
      <c r="D117" s="114"/>
      <c r="E117" s="114"/>
      <c r="F117" s="80"/>
      <c r="G117" s="105"/>
    </row>
    <row r="118" spans="1:25" x14ac:dyDescent="0.25">
      <c r="A118" s="19"/>
      <c r="B118" s="161"/>
      <c r="C118" s="61"/>
      <c r="D118" s="114"/>
      <c r="E118" s="114"/>
      <c r="F118" s="80"/>
      <c r="G118" s="105"/>
      <c r="H118" s="180"/>
    </row>
    <row r="119" spans="1:25" x14ac:dyDescent="0.25">
      <c r="A119" s="19"/>
      <c r="B119" s="161"/>
      <c r="C119" s="61"/>
      <c r="D119" s="114"/>
      <c r="E119" s="114"/>
      <c r="F119" s="80"/>
      <c r="G119" s="105"/>
      <c r="H119" s="19"/>
      <c r="I119" s="19"/>
    </row>
    <row r="120" spans="1:25" x14ac:dyDescent="0.25">
      <c r="A120" s="19"/>
      <c r="B120" s="107"/>
      <c r="C120" s="160"/>
      <c r="D120" s="20"/>
      <c r="E120" s="20"/>
      <c r="F120" s="60"/>
      <c r="G120" s="105"/>
      <c r="H120" s="19"/>
      <c r="I120" s="19"/>
    </row>
    <row r="121" spans="1:25" x14ac:dyDescent="0.25">
      <c r="A121" s="178"/>
      <c r="B121" s="161"/>
      <c r="C121" s="61"/>
      <c r="D121" s="114"/>
      <c r="E121" s="114"/>
      <c r="F121" s="80"/>
      <c r="G121" s="105"/>
      <c r="H121" s="19"/>
      <c r="I121" s="19"/>
    </row>
    <row r="122" spans="1:25" x14ac:dyDescent="0.25">
      <c r="A122" s="178"/>
      <c r="B122" s="161"/>
      <c r="D122" s="20"/>
      <c r="E122" s="114"/>
      <c r="F122" s="80"/>
      <c r="G122" s="105"/>
      <c r="H122" s="19"/>
      <c r="I122" s="19"/>
    </row>
    <row r="123" spans="1:25" x14ac:dyDescent="0.25">
      <c r="A123" s="178"/>
      <c r="B123" s="161"/>
      <c r="C123" s="61"/>
      <c r="D123" s="114"/>
      <c r="E123" s="114"/>
      <c r="F123" s="80"/>
      <c r="G123" s="105"/>
      <c r="H123" s="19"/>
      <c r="I123" s="19"/>
    </row>
    <row r="124" spans="1:25" x14ac:dyDescent="0.25">
      <c r="A124" s="178"/>
      <c r="B124" s="42"/>
      <c r="C124" s="50"/>
      <c r="D124" s="50"/>
      <c r="E124" s="19"/>
      <c r="F124" s="80"/>
      <c r="G124" s="105"/>
      <c r="H124" s="19"/>
      <c r="I124" s="19"/>
    </row>
    <row r="125" spans="1:25" x14ac:dyDescent="0.25">
      <c r="A125" s="178"/>
      <c r="B125" s="19"/>
      <c r="C125" s="156"/>
      <c r="D125" s="156"/>
      <c r="E125" s="19"/>
      <c r="F125" s="80"/>
      <c r="G125" s="105"/>
      <c r="H125" s="19"/>
      <c r="I125" s="19"/>
      <c r="J125" s="19"/>
      <c r="K125" s="19"/>
    </row>
    <row r="126" spans="1:25" x14ac:dyDescent="0.25">
      <c r="B126" s="19"/>
      <c r="C126" s="156"/>
      <c r="D126" s="156"/>
      <c r="E126" s="19"/>
      <c r="G126" s="19"/>
      <c r="H126" s="19"/>
      <c r="I126" s="19"/>
      <c r="J126" s="19"/>
      <c r="K126" s="19"/>
    </row>
    <row r="127" spans="1:25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25" x14ac:dyDescent="0.25">
      <c r="B128" s="19"/>
      <c r="C128" s="19"/>
      <c r="D128" s="19"/>
      <c r="E128" s="19"/>
      <c r="G128" s="19"/>
      <c r="H128" s="19"/>
      <c r="I128" s="19"/>
      <c r="J128" s="19"/>
      <c r="K128" s="19"/>
    </row>
    <row r="129" spans="2:11" x14ac:dyDescent="0.25">
      <c r="B129" s="19"/>
      <c r="C129" s="19"/>
      <c r="D129" s="19"/>
      <c r="E129" s="19"/>
      <c r="G129" s="19"/>
      <c r="H129" s="19"/>
      <c r="I129" s="19"/>
      <c r="J129" s="19"/>
      <c r="K129" s="19"/>
    </row>
    <row r="130" spans="2:11" x14ac:dyDescent="0.25">
      <c r="B130" s="19"/>
      <c r="C130" s="19"/>
      <c r="D130" s="19"/>
      <c r="E130" s="19"/>
      <c r="G130" s="19"/>
      <c r="H130" s="19"/>
      <c r="I130" s="19"/>
      <c r="J130" s="19"/>
      <c r="K130" s="19"/>
    </row>
    <row r="131" spans="2:11" x14ac:dyDescent="0.25">
      <c r="B131" s="19"/>
      <c r="C131" s="19"/>
      <c r="D131" s="19"/>
      <c r="E131" s="19"/>
    </row>
    <row r="132" spans="2:11" x14ac:dyDescent="0.25">
      <c r="B132" s="19"/>
      <c r="C132" s="19"/>
      <c r="D132" s="19"/>
      <c r="E132" s="19"/>
    </row>
  </sheetData>
  <mergeCells count="7">
    <mergeCell ref="C52:D52"/>
    <mergeCell ref="E52:G52"/>
    <mergeCell ref="A6:E6"/>
    <mergeCell ref="A7:E7"/>
    <mergeCell ref="A8:E8"/>
    <mergeCell ref="A9:E9"/>
    <mergeCell ref="A10:E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37"/>
  <sheetViews>
    <sheetView showZeros="0" tabSelected="1" zoomScaleNormal="100" workbookViewId="0">
      <selection activeCell="B11" sqref="B11:B12"/>
    </sheetView>
  </sheetViews>
  <sheetFormatPr defaultRowHeight="15" x14ac:dyDescent="0.2"/>
  <cols>
    <col min="1" max="1" width="5.21875" bestFit="1" customWidth="1"/>
    <col min="2" max="2" width="38.77734375" customWidth="1"/>
    <col min="3" max="3" width="17" bestFit="1" customWidth="1"/>
    <col min="4" max="6" width="14.21875" customWidth="1"/>
    <col min="7" max="7" width="16.77734375" customWidth="1"/>
    <col min="259" max="259" width="5.21875" bestFit="1" customWidth="1"/>
    <col min="260" max="260" width="38.77734375" customWidth="1"/>
    <col min="261" max="261" width="17" bestFit="1" customWidth="1"/>
    <col min="262" max="262" width="14.21875" customWidth="1"/>
    <col min="263" max="263" width="16.77734375" customWidth="1"/>
    <col min="515" max="515" width="5.21875" bestFit="1" customWidth="1"/>
    <col min="516" max="516" width="38.77734375" customWidth="1"/>
    <col min="517" max="517" width="17" bestFit="1" customWidth="1"/>
    <col min="518" max="518" width="14.21875" customWidth="1"/>
    <col min="519" max="519" width="16.77734375" customWidth="1"/>
    <col min="771" max="771" width="5.21875" bestFit="1" customWidth="1"/>
    <col min="772" max="772" width="38.77734375" customWidth="1"/>
    <col min="773" max="773" width="17" bestFit="1" customWidth="1"/>
    <col min="774" max="774" width="14.21875" customWidth="1"/>
    <col min="775" max="775" width="16.77734375" customWidth="1"/>
    <col min="1027" max="1027" width="5.21875" bestFit="1" customWidth="1"/>
    <col min="1028" max="1028" width="38.77734375" customWidth="1"/>
    <col min="1029" max="1029" width="17" bestFit="1" customWidth="1"/>
    <col min="1030" max="1030" width="14.21875" customWidth="1"/>
    <col min="1031" max="1031" width="16.77734375" customWidth="1"/>
    <col min="1283" max="1283" width="5.21875" bestFit="1" customWidth="1"/>
    <col min="1284" max="1284" width="38.77734375" customWidth="1"/>
    <col min="1285" max="1285" width="17" bestFit="1" customWidth="1"/>
    <col min="1286" max="1286" width="14.21875" customWidth="1"/>
    <col min="1287" max="1287" width="16.77734375" customWidth="1"/>
    <col min="1539" max="1539" width="5.21875" bestFit="1" customWidth="1"/>
    <col min="1540" max="1540" width="38.77734375" customWidth="1"/>
    <col min="1541" max="1541" width="17" bestFit="1" customWidth="1"/>
    <col min="1542" max="1542" width="14.21875" customWidth="1"/>
    <col min="1543" max="1543" width="16.77734375" customWidth="1"/>
    <col min="1795" max="1795" width="5.21875" bestFit="1" customWidth="1"/>
    <col min="1796" max="1796" width="38.77734375" customWidth="1"/>
    <col min="1797" max="1797" width="17" bestFit="1" customWidth="1"/>
    <col min="1798" max="1798" width="14.21875" customWidth="1"/>
    <col min="1799" max="1799" width="16.77734375" customWidth="1"/>
    <col min="2051" max="2051" width="5.21875" bestFit="1" customWidth="1"/>
    <col min="2052" max="2052" width="38.77734375" customWidth="1"/>
    <col min="2053" max="2053" width="17" bestFit="1" customWidth="1"/>
    <col min="2054" max="2054" width="14.21875" customWidth="1"/>
    <col min="2055" max="2055" width="16.77734375" customWidth="1"/>
    <col min="2307" max="2307" width="5.21875" bestFit="1" customWidth="1"/>
    <col min="2308" max="2308" width="38.77734375" customWidth="1"/>
    <col min="2309" max="2309" width="17" bestFit="1" customWidth="1"/>
    <col min="2310" max="2310" width="14.21875" customWidth="1"/>
    <col min="2311" max="2311" width="16.77734375" customWidth="1"/>
    <col min="2563" max="2563" width="5.21875" bestFit="1" customWidth="1"/>
    <col min="2564" max="2564" width="38.77734375" customWidth="1"/>
    <col min="2565" max="2565" width="17" bestFit="1" customWidth="1"/>
    <col min="2566" max="2566" width="14.21875" customWidth="1"/>
    <col min="2567" max="2567" width="16.77734375" customWidth="1"/>
    <col min="2819" max="2819" width="5.21875" bestFit="1" customWidth="1"/>
    <col min="2820" max="2820" width="38.77734375" customWidth="1"/>
    <col min="2821" max="2821" width="17" bestFit="1" customWidth="1"/>
    <col min="2822" max="2822" width="14.21875" customWidth="1"/>
    <col min="2823" max="2823" width="16.77734375" customWidth="1"/>
    <col min="3075" max="3075" width="5.21875" bestFit="1" customWidth="1"/>
    <col min="3076" max="3076" width="38.77734375" customWidth="1"/>
    <col min="3077" max="3077" width="17" bestFit="1" customWidth="1"/>
    <col min="3078" max="3078" width="14.21875" customWidth="1"/>
    <col min="3079" max="3079" width="16.77734375" customWidth="1"/>
    <col min="3331" max="3331" width="5.21875" bestFit="1" customWidth="1"/>
    <col min="3332" max="3332" width="38.77734375" customWidth="1"/>
    <col min="3333" max="3333" width="17" bestFit="1" customWidth="1"/>
    <col min="3334" max="3334" width="14.21875" customWidth="1"/>
    <col min="3335" max="3335" width="16.77734375" customWidth="1"/>
    <col min="3587" max="3587" width="5.21875" bestFit="1" customWidth="1"/>
    <col min="3588" max="3588" width="38.77734375" customWidth="1"/>
    <col min="3589" max="3589" width="17" bestFit="1" customWidth="1"/>
    <col min="3590" max="3590" width="14.21875" customWidth="1"/>
    <col min="3591" max="3591" width="16.77734375" customWidth="1"/>
    <col min="3843" max="3843" width="5.21875" bestFit="1" customWidth="1"/>
    <col min="3844" max="3844" width="38.77734375" customWidth="1"/>
    <col min="3845" max="3845" width="17" bestFit="1" customWidth="1"/>
    <col min="3846" max="3846" width="14.21875" customWidth="1"/>
    <col min="3847" max="3847" width="16.77734375" customWidth="1"/>
    <col min="4099" max="4099" width="5.21875" bestFit="1" customWidth="1"/>
    <col min="4100" max="4100" width="38.77734375" customWidth="1"/>
    <col min="4101" max="4101" width="17" bestFit="1" customWidth="1"/>
    <col min="4102" max="4102" width="14.21875" customWidth="1"/>
    <col min="4103" max="4103" width="16.77734375" customWidth="1"/>
    <col min="4355" max="4355" width="5.21875" bestFit="1" customWidth="1"/>
    <col min="4356" max="4356" width="38.77734375" customWidth="1"/>
    <col min="4357" max="4357" width="17" bestFit="1" customWidth="1"/>
    <col min="4358" max="4358" width="14.21875" customWidth="1"/>
    <col min="4359" max="4359" width="16.77734375" customWidth="1"/>
    <col min="4611" max="4611" width="5.21875" bestFit="1" customWidth="1"/>
    <col min="4612" max="4612" width="38.77734375" customWidth="1"/>
    <col min="4613" max="4613" width="17" bestFit="1" customWidth="1"/>
    <col min="4614" max="4614" width="14.21875" customWidth="1"/>
    <col min="4615" max="4615" width="16.77734375" customWidth="1"/>
    <col min="4867" max="4867" width="5.21875" bestFit="1" customWidth="1"/>
    <col min="4868" max="4868" width="38.77734375" customWidth="1"/>
    <col min="4869" max="4869" width="17" bestFit="1" customWidth="1"/>
    <col min="4870" max="4870" width="14.21875" customWidth="1"/>
    <col min="4871" max="4871" width="16.77734375" customWidth="1"/>
    <col min="5123" max="5123" width="5.21875" bestFit="1" customWidth="1"/>
    <col min="5124" max="5124" width="38.77734375" customWidth="1"/>
    <col min="5125" max="5125" width="17" bestFit="1" customWidth="1"/>
    <col min="5126" max="5126" width="14.21875" customWidth="1"/>
    <col min="5127" max="5127" width="16.77734375" customWidth="1"/>
    <col min="5379" max="5379" width="5.21875" bestFit="1" customWidth="1"/>
    <col min="5380" max="5380" width="38.77734375" customWidth="1"/>
    <col min="5381" max="5381" width="17" bestFit="1" customWidth="1"/>
    <col min="5382" max="5382" width="14.21875" customWidth="1"/>
    <col min="5383" max="5383" width="16.77734375" customWidth="1"/>
    <col min="5635" max="5635" width="5.21875" bestFit="1" customWidth="1"/>
    <col min="5636" max="5636" width="38.77734375" customWidth="1"/>
    <col min="5637" max="5637" width="17" bestFit="1" customWidth="1"/>
    <col min="5638" max="5638" width="14.21875" customWidth="1"/>
    <col min="5639" max="5639" width="16.77734375" customWidth="1"/>
    <col min="5891" max="5891" width="5.21875" bestFit="1" customWidth="1"/>
    <col min="5892" max="5892" width="38.77734375" customWidth="1"/>
    <col min="5893" max="5893" width="17" bestFit="1" customWidth="1"/>
    <col min="5894" max="5894" width="14.21875" customWidth="1"/>
    <col min="5895" max="5895" width="16.77734375" customWidth="1"/>
    <col min="6147" max="6147" width="5.21875" bestFit="1" customWidth="1"/>
    <col min="6148" max="6148" width="38.77734375" customWidth="1"/>
    <col min="6149" max="6149" width="17" bestFit="1" customWidth="1"/>
    <col min="6150" max="6150" width="14.21875" customWidth="1"/>
    <col min="6151" max="6151" width="16.77734375" customWidth="1"/>
    <col min="6403" max="6403" width="5.21875" bestFit="1" customWidth="1"/>
    <col min="6404" max="6404" width="38.77734375" customWidth="1"/>
    <col min="6405" max="6405" width="17" bestFit="1" customWidth="1"/>
    <col min="6406" max="6406" width="14.21875" customWidth="1"/>
    <col min="6407" max="6407" width="16.77734375" customWidth="1"/>
    <col min="6659" max="6659" width="5.21875" bestFit="1" customWidth="1"/>
    <col min="6660" max="6660" width="38.77734375" customWidth="1"/>
    <col min="6661" max="6661" width="17" bestFit="1" customWidth="1"/>
    <col min="6662" max="6662" width="14.21875" customWidth="1"/>
    <col min="6663" max="6663" width="16.77734375" customWidth="1"/>
    <col min="6915" max="6915" width="5.21875" bestFit="1" customWidth="1"/>
    <col min="6916" max="6916" width="38.77734375" customWidth="1"/>
    <col min="6917" max="6917" width="17" bestFit="1" customWidth="1"/>
    <col min="6918" max="6918" width="14.21875" customWidth="1"/>
    <col min="6919" max="6919" width="16.77734375" customWidth="1"/>
    <col min="7171" max="7171" width="5.21875" bestFit="1" customWidth="1"/>
    <col min="7172" max="7172" width="38.77734375" customWidth="1"/>
    <col min="7173" max="7173" width="17" bestFit="1" customWidth="1"/>
    <col min="7174" max="7174" width="14.21875" customWidth="1"/>
    <col min="7175" max="7175" width="16.77734375" customWidth="1"/>
    <col min="7427" max="7427" width="5.21875" bestFit="1" customWidth="1"/>
    <col min="7428" max="7428" width="38.77734375" customWidth="1"/>
    <col min="7429" max="7429" width="17" bestFit="1" customWidth="1"/>
    <col min="7430" max="7430" width="14.21875" customWidth="1"/>
    <col min="7431" max="7431" width="16.77734375" customWidth="1"/>
    <col min="7683" max="7683" width="5.21875" bestFit="1" customWidth="1"/>
    <col min="7684" max="7684" width="38.77734375" customWidth="1"/>
    <col min="7685" max="7685" width="17" bestFit="1" customWidth="1"/>
    <col min="7686" max="7686" width="14.21875" customWidth="1"/>
    <col min="7687" max="7687" width="16.77734375" customWidth="1"/>
    <col min="7939" max="7939" width="5.21875" bestFit="1" customWidth="1"/>
    <col min="7940" max="7940" width="38.77734375" customWidth="1"/>
    <col min="7941" max="7941" width="17" bestFit="1" customWidth="1"/>
    <col min="7942" max="7942" width="14.21875" customWidth="1"/>
    <col min="7943" max="7943" width="16.77734375" customWidth="1"/>
    <col min="8195" max="8195" width="5.21875" bestFit="1" customWidth="1"/>
    <col min="8196" max="8196" width="38.77734375" customWidth="1"/>
    <col min="8197" max="8197" width="17" bestFit="1" customWidth="1"/>
    <col min="8198" max="8198" width="14.21875" customWidth="1"/>
    <col min="8199" max="8199" width="16.77734375" customWidth="1"/>
    <col min="8451" max="8451" width="5.21875" bestFit="1" customWidth="1"/>
    <col min="8452" max="8452" width="38.77734375" customWidth="1"/>
    <col min="8453" max="8453" width="17" bestFit="1" customWidth="1"/>
    <col min="8454" max="8454" width="14.21875" customWidth="1"/>
    <col min="8455" max="8455" width="16.77734375" customWidth="1"/>
    <col min="8707" max="8707" width="5.21875" bestFit="1" customWidth="1"/>
    <col min="8708" max="8708" width="38.77734375" customWidth="1"/>
    <col min="8709" max="8709" width="17" bestFit="1" customWidth="1"/>
    <col min="8710" max="8710" width="14.21875" customWidth="1"/>
    <col min="8711" max="8711" width="16.77734375" customWidth="1"/>
    <col min="8963" max="8963" width="5.21875" bestFit="1" customWidth="1"/>
    <col min="8964" max="8964" width="38.77734375" customWidth="1"/>
    <col min="8965" max="8965" width="17" bestFit="1" customWidth="1"/>
    <col min="8966" max="8966" width="14.21875" customWidth="1"/>
    <col min="8967" max="8967" width="16.77734375" customWidth="1"/>
    <col min="9219" max="9219" width="5.21875" bestFit="1" customWidth="1"/>
    <col min="9220" max="9220" width="38.77734375" customWidth="1"/>
    <col min="9221" max="9221" width="17" bestFit="1" customWidth="1"/>
    <col min="9222" max="9222" width="14.21875" customWidth="1"/>
    <col min="9223" max="9223" width="16.77734375" customWidth="1"/>
    <col min="9475" max="9475" width="5.21875" bestFit="1" customWidth="1"/>
    <col min="9476" max="9476" width="38.77734375" customWidth="1"/>
    <col min="9477" max="9477" width="17" bestFit="1" customWidth="1"/>
    <col min="9478" max="9478" width="14.21875" customWidth="1"/>
    <col min="9479" max="9479" width="16.77734375" customWidth="1"/>
    <col min="9731" max="9731" width="5.21875" bestFit="1" customWidth="1"/>
    <col min="9732" max="9732" width="38.77734375" customWidth="1"/>
    <col min="9733" max="9733" width="17" bestFit="1" customWidth="1"/>
    <col min="9734" max="9734" width="14.21875" customWidth="1"/>
    <col min="9735" max="9735" width="16.77734375" customWidth="1"/>
    <col min="9987" max="9987" width="5.21875" bestFit="1" customWidth="1"/>
    <col min="9988" max="9988" width="38.77734375" customWidth="1"/>
    <col min="9989" max="9989" width="17" bestFit="1" customWidth="1"/>
    <col min="9990" max="9990" width="14.21875" customWidth="1"/>
    <col min="9991" max="9991" width="16.77734375" customWidth="1"/>
    <col min="10243" max="10243" width="5.21875" bestFit="1" customWidth="1"/>
    <col min="10244" max="10244" width="38.77734375" customWidth="1"/>
    <col min="10245" max="10245" width="17" bestFit="1" customWidth="1"/>
    <col min="10246" max="10246" width="14.21875" customWidth="1"/>
    <col min="10247" max="10247" width="16.77734375" customWidth="1"/>
    <col min="10499" max="10499" width="5.21875" bestFit="1" customWidth="1"/>
    <col min="10500" max="10500" width="38.77734375" customWidth="1"/>
    <col min="10501" max="10501" width="17" bestFit="1" customWidth="1"/>
    <col min="10502" max="10502" width="14.21875" customWidth="1"/>
    <col min="10503" max="10503" width="16.77734375" customWidth="1"/>
    <col min="10755" max="10755" width="5.21875" bestFit="1" customWidth="1"/>
    <col min="10756" max="10756" width="38.77734375" customWidth="1"/>
    <col min="10757" max="10757" width="17" bestFit="1" customWidth="1"/>
    <col min="10758" max="10758" width="14.21875" customWidth="1"/>
    <col min="10759" max="10759" width="16.77734375" customWidth="1"/>
    <col min="11011" max="11011" width="5.21875" bestFit="1" customWidth="1"/>
    <col min="11012" max="11012" width="38.77734375" customWidth="1"/>
    <col min="11013" max="11013" width="17" bestFit="1" customWidth="1"/>
    <col min="11014" max="11014" width="14.21875" customWidth="1"/>
    <col min="11015" max="11015" width="16.77734375" customWidth="1"/>
    <col min="11267" max="11267" width="5.21875" bestFit="1" customWidth="1"/>
    <col min="11268" max="11268" width="38.77734375" customWidth="1"/>
    <col min="11269" max="11269" width="17" bestFit="1" customWidth="1"/>
    <col min="11270" max="11270" width="14.21875" customWidth="1"/>
    <col min="11271" max="11271" width="16.77734375" customWidth="1"/>
    <col min="11523" max="11523" width="5.21875" bestFit="1" customWidth="1"/>
    <col min="11524" max="11524" width="38.77734375" customWidth="1"/>
    <col min="11525" max="11525" width="17" bestFit="1" customWidth="1"/>
    <col min="11526" max="11526" width="14.21875" customWidth="1"/>
    <col min="11527" max="11527" width="16.77734375" customWidth="1"/>
    <col min="11779" max="11779" width="5.21875" bestFit="1" customWidth="1"/>
    <col min="11780" max="11780" width="38.77734375" customWidth="1"/>
    <col min="11781" max="11781" width="17" bestFit="1" customWidth="1"/>
    <col min="11782" max="11782" width="14.21875" customWidth="1"/>
    <col min="11783" max="11783" width="16.77734375" customWidth="1"/>
    <col min="12035" max="12035" width="5.21875" bestFit="1" customWidth="1"/>
    <col min="12036" max="12036" width="38.77734375" customWidth="1"/>
    <col min="12037" max="12037" width="17" bestFit="1" customWidth="1"/>
    <col min="12038" max="12038" width="14.21875" customWidth="1"/>
    <col min="12039" max="12039" width="16.77734375" customWidth="1"/>
    <col min="12291" max="12291" width="5.21875" bestFit="1" customWidth="1"/>
    <col min="12292" max="12292" width="38.77734375" customWidth="1"/>
    <col min="12293" max="12293" width="17" bestFit="1" customWidth="1"/>
    <col min="12294" max="12294" width="14.21875" customWidth="1"/>
    <col min="12295" max="12295" width="16.77734375" customWidth="1"/>
    <col min="12547" max="12547" width="5.21875" bestFit="1" customWidth="1"/>
    <col min="12548" max="12548" width="38.77734375" customWidth="1"/>
    <col min="12549" max="12549" width="17" bestFit="1" customWidth="1"/>
    <col min="12550" max="12550" width="14.21875" customWidth="1"/>
    <col min="12551" max="12551" width="16.77734375" customWidth="1"/>
    <col min="12803" max="12803" width="5.21875" bestFit="1" customWidth="1"/>
    <col min="12804" max="12804" width="38.77734375" customWidth="1"/>
    <col min="12805" max="12805" width="17" bestFit="1" customWidth="1"/>
    <col min="12806" max="12806" width="14.21875" customWidth="1"/>
    <col min="12807" max="12807" width="16.77734375" customWidth="1"/>
    <col min="13059" max="13059" width="5.21875" bestFit="1" customWidth="1"/>
    <col min="13060" max="13060" width="38.77734375" customWidth="1"/>
    <col min="13061" max="13061" width="17" bestFit="1" customWidth="1"/>
    <col min="13062" max="13062" width="14.21875" customWidth="1"/>
    <col min="13063" max="13063" width="16.77734375" customWidth="1"/>
    <col min="13315" max="13315" width="5.21875" bestFit="1" customWidth="1"/>
    <col min="13316" max="13316" width="38.77734375" customWidth="1"/>
    <col min="13317" max="13317" width="17" bestFit="1" customWidth="1"/>
    <col min="13318" max="13318" width="14.21875" customWidth="1"/>
    <col min="13319" max="13319" width="16.77734375" customWidth="1"/>
    <col min="13571" max="13571" width="5.21875" bestFit="1" customWidth="1"/>
    <col min="13572" max="13572" width="38.77734375" customWidth="1"/>
    <col min="13573" max="13573" width="17" bestFit="1" customWidth="1"/>
    <col min="13574" max="13574" width="14.21875" customWidth="1"/>
    <col min="13575" max="13575" width="16.77734375" customWidth="1"/>
    <col min="13827" max="13827" width="5.21875" bestFit="1" customWidth="1"/>
    <col min="13828" max="13828" width="38.77734375" customWidth="1"/>
    <col min="13829" max="13829" width="17" bestFit="1" customWidth="1"/>
    <col min="13830" max="13830" width="14.21875" customWidth="1"/>
    <col min="13831" max="13831" width="16.77734375" customWidth="1"/>
    <col min="14083" max="14083" width="5.21875" bestFit="1" customWidth="1"/>
    <col min="14084" max="14084" width="38.77734375" customWidth="1"/>
    <col min="14085" max="14085" width="17" bestFit="1" customWidth="1"/>
    <col min="14086" max="14086" width="14.21875" customWidth="1"/>
    <col min="14087" max="14087" width="16.77734375" customWidth="1"/>
    <col min="14339" max="14339" width="5.21875" bestFit="1" customWidth="1"/>
    <col min="14340" max="14340" width="38.77734375" customWidth="1"/>
    <col min="14341" max="14341" width="17" bestFit="1" customWidth="1"/>
    <col min="14342" max="14342" width="14.21875" customWidth="1"/>
    <col min="14343" max="14343" width="16.77734375" customWidth="1"/>
    <col min="14595" max="14595" width="5.21875" bestFit="1" customWidth="1"/>
    <col min="14596" max="14596" width="38.77734375" customWidth="1"/>
    <col min="14597" max="14597" width="17" bestFit="1" customWidth="1"/>
    <col min="14598" max="14598" width="14.21875" customWidth="1"/>
    <col min="14599" max="14599" width="16.77734375" customWidth="1"/>
    <col min="14851" max="14851" width="5.21875" bestFit="1" customWidth="1"/>
    <col min="14852" max="14852" width="38.77734375" customWidth="1"/>
    <col min="14853" max="14853" width="17" bestFit="1" customWidth="1"/>
    <col min="14854" max="14854" width="14.21875" customWidth="1"/>
    <col min="14855" max="14855" width="16.77734375" customWidth="1"/>
    <col min="15107" max="15107" width="5.21875" bestFit="1" customWidth="1"/>
    <col min="15108" max="15108" width="38.77734375" customWidth="1"/>
    <col min="15109" max="15109" width="17" bestFit="1" customWidth="1"/>
    <col min="15110" max="15110" width="14.21875" customWidth="1"/>
    <col min="15111" max="15111" width="16.77734375" customWidth="1"/>
    <col min="15363" max="15363" width="5.21875" bestFit="1" customWidth="1"/>
    <col min="15364" max="15364" width="38.77734375" customWidth="1"/>
    <col min="15365" max="15365" width="17" bestFit="1" customWidth="1"/>
    <col min="15366" max="15366" width="14.21875" customWidth="1"/>
    <col min="15367" max="15367" width="16.77734375" customWidth="1"/>
    <col min="15619" max="15619" width="5.21875" bestFit="1" customWidth="1"/>
    <col min="15620" max="15620" width="38.77734375" customWidth="1"/>
    <col min="15621" max="15621" width="17" bestFit="1" customWidth="1"/>
    <col min="15622" max="15622" width="14.21875" customWidth="1"/>
    <col min="15623" max="15623" width="16.77734375" customWidth="1"/>
    <col min="15875" max="15875" width="5.21875" bestFit="1" customWidth="1"/>
    <col min="15876" max="15876" width="38.77734375" customWidth="1"/>
    <col min="15877" max="15877" width="17" bestFit="1" customWidth="1"/>
    <col min="15878" max="15878" width="14.21875" customWidth="1"/>
    <col min="15879" max="15879" width="16.77734375" customWidth="1"/>
    <col min="16131" max="16131" width="5.21875" bestFit="1" customWidth="1"/>
    <col min="16132" max="16132" width="38.77734375" customWidth="1"/>
    <col min="16133" max="16133" width="17" bestFit="1" customWidth="1"/>
    <col min="16134" max="16134" width="14.21875" customWidth="1"/>
    <col min="16135" max="16135" width="16.77734375" customWidth="1"/>
  </cols>
  <sheetData>
    <row r="1" spans="1:7" ht="15.75" x14ac:dyDescent="0.25">
      <c r="B1" s="315"/>
      <c r="C1" s="315"/>
      <c r="G1" s="316" t="s">
        <v>9</v>
      </c>
    </row>
    <row r="2" spans="1:7" ht="15.75" x14ac:dyDescent="0.25">
      <c r="G2" s="317" t="s">
        <v>226</v>
      </c>
    </row>
    <row r="3" spans="1:7" x14ac:dyDescent="0.2">
      <c r="G3" s="318" t="s">
        <v>246</v>
      </c>
    </row>
    <row r="4" spans="1:7" x14ac:dyDescent="0.2">
      <c r="G4" s="318" t="s">
        <v>247</v>
      </c>
    </row>
    <row r="5" spans="1:7" ht="15.75" x14ac:dyDescent="0.25">
      <c r="A5" s="379" t="s">
        <v>10</v>
      </c>
      <c r="B5" s="379"/>
      <c r="C5" s="379"/>
      <c r="D5" s="379"/>
      <c r="E5" s="379"/>
      <c r="F5" s="379"/>
      <c r="G5" s="379"/>
    </row>
    <row r="6" spans="1:7" ht="15.75" x14ac:dyDescent="0.25">
      <c r="A6" s="379" t="s">
        <v>77</v>
      </c>
      <c r="B6" s="379"/>
      <c r="C6" s="379"/>
      <c r="D6" s="379"/>
      <c r="E6" s="379"/>
      <c r="F6" s="379"/>
      <c r="G6" s="379"/>
    </row>
    <row r="7" spans="1:7" ht="15.75" x14ac:dyDescent="0.2">
      <c r="A7" s="380" t="s">
        <v>242</v>
      </c>
      <c r="B7" s="380"/>
      <c r="C7" s="380"/>
      <c r="D7" s="380"/>
      <c r="E7" s="380"/>
      <c r="F7" s="380"/>
      <c r="G7" s="380"/>
    </row>
    <row r="8" spans="1:7" ht="15.75" x14ac:dyDescent="0.25">
      <c r="A8" s="379" t="s">
        <v>243</v>
      </c>
      <c r="B8" s="379"/>
      <c r="C8" s="379"/>
      <c r="D8" s="379"/>
      <c r="E8" s="379"/>
      <c r="F8" s="379"/>
      <c r="G8" s="379"/>
    </row>
    <row r="9" spans="1:7" ht="15.75" x14ac:dyDescent="0.25">
      <c r="A9" s="379" t="s">
        <v>227</v>
      </c>
      <c r="B9" s="379"/>
      <c r="C9" s="379"/>
      <c r="D9" s="379"/>
      <c r="E9" s="379"/>
      <c r="F9" s="379"/>
      <c r="G9" s="379"/>
    </row>
    <row r="10" spans="1:7" ht="16.5" thickBot="1" x14ac:dyDescent="0.25">
      <c r="G10" s="302" t="s">
        <v>228</v>
      </c>
    </row>
    <row r="11" spans="1:7" ht="100.5" thickBot="1" x14ac:dyDescent="0.25">
      <c r="A11" s="381" t="s">
        <v>8</v>
      </c>
      <c r="B11" s="383" t="s">
        <v>12</v>
      </c>
      <c r="C11" s="337" t="s">
        <v>229</v>
      </c>
      <c r="D11" s="338" t="s">
        <v>245</v>
      </c>
      <c r="E11" s="339" t="s">
        <v>237</v>
      </c>
      <c r="F11" s="339" t="s">
        <v>241</v>
      </c>
      <c r="G11" s="340" t="s">
        <v>238</v>
      </c>
    </row>
    <row r="12" spans="1:7" ht="15.75" thickBot="1" x14ac:dyDescent="0.25">
      <c r="A12" s="382"/>
      <c r="B12" s="384"/>
      <c r="C12" s="341" t="s">
        <v>1</v>
      </c>
      <c r="D12" s="342" t="s">
        <v>1</v>
      </c>
      <c r="E12" s="342" t="s">
        <v>1</v>
      </c>
      <c r="F12" s="342" t="s">
        <v>1</v>
      </c>
      <c r="G12" s="342" t="s">
        <v>1</v>
      </c>
    </row>
    <row r="13" spans="1:7" ht="15.75" thickBot="1" x14ac:dyDescent="0.25">
      <c r="A13" s="319">
        <v>1</v>
      </c>
      <c r="B13" s="320" t="s">
        <v>60</v>
      </c>
      <c r="C13" s="321">
        <v>0.38357801312789991</v>
      </c>
      <c r="D13" s="322">
        <v>0.477059609</v>
      </c>
      <c r="E13" s="335"/>
      <c r="F13" s="335"/>
      <c r="G13" s="323"/>
    </row>
    <row r="14" spans="1:7" ht="30.75" thickBot="1" x14ac:dyDescent="0.25">
      <c r="A14" s="319">
        <v>2</v>
      </c>
      <c r="B14" s="324" t="s">
        <v>13</v>
      </c>
      <c r="C14" s="321">
        <v>6.9598082534498689</v>
      </c>
      <c r="D14" s="322">
        <v>3.8095148710000002</v>
      </c>
      <c r="E14" s="335"/>
      <c r="F14" s="335"/>
      <c r="G14" s="323"/>
    </row>
    <row r="15" spans="1:7" ht="30.75" thickBot="1" x14ac:dyDescent="0.25">
      <c r="A15" s="319">
        <v>3</v>
      </c>
      <c r="B15" s="324" t="s">
        <v>61</v>
      </c>
      <c r="C15" s="321">
        <v>0</v>
      </c>
      <c r="D15" s="322"/>
      <c r="E15" s="335"/>
      <c r="F15" s="335"/>
      <c r="G15" s="323"/>
    </row>
    <row r="16" spans="1:7" ht="15.75" thickBot="1" x14ac:dyDescent="0.25">
      <c r="A16" s="319">
        <v>4</v>
      </c>
      <c r="B16" s="325" t="s">
        <v>14</v>
      </c>
      <c r="C16" s="321">
        <v>0</v>
      </c>
      <c r="D16" s="326"/>
      <c r="E16" s="336"/>
      <c r="F16" s="336"/>
      <c r="G16" s="323"/>
    </row>
    <row r="17" spans="1:7" ht="30.75" thickBot="1" x14ac:dyDescent="0.25">
      <c r="A17" s="319">
        <v>5</v>
      </c>
      <c r="B17" s="324" t="s">
        <v>43</v>
      </c>
      <c r="C17" s="321">
        <v>0</v>
      </c>
      <c r="D17" s="322"/>
      <c r="E17" s="335"/>
      <c r="F17" s="335"/>
      <c r="G17" s="323"/>
    </row>
    <row r="18" spans="1:7" ht="30.75" thickBot="1" x14ac:dyDescent="0.25">
      <c r="A18" s="319">
        <v>6</v>
      </c>
      <c r="B18" s="324" t="s">
        <v>62</v>
      </c>
      <c r="C18" s="321">
        <v>1.9977866613043484E-2</v>
      </c>
      <c r="D18" s="322">
        <v>5.8999999999999999E-3</v>
      </c>
      <c r="E18" s="335"/>
      <c r="F18" s="335"/>
      <c r="G18" s="323"/>
    </row>
    <row r="19" spans="1:7" ht="45.75" thickBot="1" x14ac:dyDescent="0.25">
      <c r="A19" s="319">
        <v>7</v>
      </c>
      <c r="B19" s="324" t="s">
        <v>63</v>
      </c>
      <c r="C19" s="321">
        <v>0.82824097099410221</v>
      </c>
      <c r="D19" s="322">
        <v>0.477059609</v>
      </c>
      <c r="E19" s="335"/>
      <c r="F19" s="335"/>
      <c r="G19" s="323"/>
    </row>
    <row r="20" spans="1:7" ht="30.75" thickBot="1" x14ac:dyDescent="0.25">
      <c r="A20" s="319">
        <v>8</v>
      </c>
      <c r="B20" s="324" t="s">
        <v>64</v>
      </c>
      <c r="C20" s="321">
        <v>0</v>
      </c>
      <c r="D20" s="322"/>
      <c r="E20" s="335"/>
      <c r="F20" s="335"/>
      <c r="G20" s="323"/>
    </row>
    <row r="21" spans="1:7" ht="45.75" thickBot="1" x14ac:dyDescent="0.25">
      <c r="A21" s="319">
        <v>9</v>
      </c>
      <c r="B21" s="327" t="s">
        <v>248</v>
      </c>
      <c r="C21" s="321">
        <v>0</v>
      </c>
      <c r="D21" s="326"/>
      <c r="E21" s="336"/>
      <c r="F21" s="336"/>
      <c r="G21" s="323"/>
    </row>
    <row r="22" spans="1:7" ht="45.75" thickBot="1" x14ac:dyDescent="0.25">
      <c r="A22" s="319">
        <v>10</v>
      </c>
      <c r="B22" s="327" t="s">
        <v>66</v>
      </c>
      <c r="C22" s="321">
        <v>0</v>
      </c>
      <c r="D22" s="326"/>
      <c r="E22" s="336"/>
      <c r="F22" s="336"/>
      <c r="G22" s="323"/>
    </row>
    <row r="23" spans="1:7" ht="60.75" thickBot="1" x14ac:dyDescent="0.25">
      <c r="A23" s="319">
        <v>11</v>
      </c>
      <c r="B23" s="327" t="s">
        <v>67</v>
      </c>
      <c r="C23" s="321">
        <v>0</v>
      </c>
      <c r="D23" s="326"/>
      <c r="E23" s="336"/>
      <c r="F23" s="336"/>
      <c r="G23" s="323"/>
    </row>
    <row r="24" spans="1:7" ht="30.75" thickBot="1" x14ac:dyDescent="0.25">
      <c r="A24" s="328">
        <v>12</v>
      </c>
      <c r="B24" s="327" t="s">
        <v>68</v>
      </c>
      <c r="C24" s="321" t="s">
        <v>230</v>
      </c>
      <c r="D24" s="322"/>
      <c r="E24" s="335"/>
      <c r="F24" s="335"/>
      <c r="G24" s="323"/>
    </row>
    <row r="25" spans="1:7" ht="15.75" thickBot="1" x14ac:dyDescent="0.25">
      <c r="A25" s="319">
        <v>13</v>
      </c>
      <c r="B25" s="327" t="s">
        <v>69</v>
      </c>
      <c r="C25" s="321">
        <v>0</v>
      </c>
      <c r="D25" s="326"/>
      <c r="E25" s="336"/>
      <c r="F25" s="336"/>
      <c r="G25" s="323"/>
    </row>
    <row r="26" spans="1:7" ht="16.5" thickBot="1" x14ac:dyDescent="0.25">
      <c r="A26" s="319">
        <v>14</v>
      </c>
      <c r="B26" s="329" t="s">
        <v>249</v>
      </c>
      <c r="C26" s="321">
        <v>8.1916051041849141</v>
      </c>
      <c r="D26" s="322">
        <v>4.7695340890000004</v>
      </c>
      <c r="E26" s="335"/>
      <c r="F26" s="335"/>
      <c r="G26" s="323"/>
    </row>
    <row r="27" spans="1:7" ht="15.75" thickBot="1" x14ac:dyDescent="0.25">
      <c r="A27" s="319">
        <v>15</v>
      </c>
      <c r="B27" s="327" t="s">
        <v>71</v>
      </c>
      <c r="C27" s="321">
        <v>1.2450794091211328</v>
      </c>
      <c r="D27" s="322">
        <v>0.72665604699999997</v>
      </c>
      <c r="E27" s="335"/>
      <c r="F27" s="335"/>
      <c r="G27" s="323"/>
    </row>
    <row r="28" spans="1:7" ht="16.5" thickBot="1" x14ac:dyDescent="0.25">
      <c r="A28" s="319">
        <v>16</v>
      </c>
      <c r="B28" s="329" t="s">
        <v>231</v>
      </c>
      <c r="C28" s="321">
        <v>6.9465256999999996</v>
      </c>
      <c r="D28" s="322">
        <v>4.0428780420000008</v>
      </c>
      <c r="E28" s="322">
        <v>4.056771092</v>
      </c>
      <c r="F28" s="322">
        <v>4.8625680500000001</v>
      </c>
      <c r="G28" s="321">
        <v>5.1960012740000003</v>
      </c>
    </row>
    <row r="29" spans="1:7" ht="15.75" thickBot="1" x14ac:dyDescent="0.25">
      <c r="A29" s="319">
        <v>17</v>
      </c>
      <c r="B29" s="327" t="s">
        <v>232</v>
      </c>
      <c r="C29" s="330"/>
      <c r="D29" s="331">
        <v>-0.41799998782124981</v>
      </c>
      <c r="E29" s="331">
        <v>-0.41599998802278959</v>
      </c>
      <c r="F29" s="331">
        <v>-0.29999999136258859</v>
      </c>
      <c r="G29" s="331">
        <v>-0.25199999274457441</v>
      </c>
    </row>
    <row r="30" spans="1:7" ht="16.5" thickBot="1" x14ac:dyDescent="0.3">
      <c r="A30" s="319">
        <v>18</v>
      </c>
      <c r="B30" s="332" t="s">
        <v>233</v>
      </c>
      <c r="C30" s="333"/>
      <c r="D30" s="334" t="s">
        <v>234</v>
      </c>
      <c r="E30" s="334" t="s">
        <v>235</v>
      </c>
      <c r="F30" s="334" t="s">
        <v>239</v>
      </c>
      <c r="G30" s="334" t="s">
        <v>240</v>
      </c>
    </row>
    <row r="33" spans="2:7" ht="15.75" x14ac:dyDescent="0.25">
      <c r="B33" s="379" t="s">
        <v>236</v>
      </c>
      <c r="C33" s="379"/>
      <c r="D33" s="379"/>
      <c r="E33" s="379"/>
      <c r="F33" s="379"/>
      <c r="G33" s="379"/>
    </row>
    <row r="37" spans="2:7" x14ac:dyDescent="0.2">
      <c r="C37" t="s">
        <v>244</v>
      </c>
      <c r="D37">
        <v>7266560.4735999992</v>
      </c>
    </row>
  </sheetData>
  <mergeCells count="8">
    <mergeCell ref="B33:G33"/>
    <mergeCell ref="A5:G5"/>
    <mergeCell ref="A6:G6"/>
    <mergeCell ref="A7:G7"/>
    <mergeCell ref="A8:G8"/>
    <mergeCell ref="A9:G9"/>
    <mergeCell ref="A11:A12"/>
    <mergeCell ref="B11:B12"/>
  </mergeCells>
  <pageMargins left="0.7" right="0.7" top="0.75" bottom="0.75" header="0.3" footer="0.3"/>
  <pageSetup scale="63"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BOQ_removed by TFL</vt:lpstr>
      <vt:lpstr>BOQ_CC_R2</vt:lpstr>
      <vt:lpstr>PKGCOST_ESQUARE</vt:lpstr>
      <vt:lpstr>PBE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Manoj Mishra</cp:lastModifiedBy>
  <cp:lastPrinted>2023-10-07T07:20:58Z</cp:lastPrinted>
  <dcterms:created xsi:type="dcterms:W3CDTF">2001-02-20T07:04:51Z</dcterms:created>
  <dcterms:modified xsi:type="dcterms:W3CDTF">2026-02-07T12:41:43Z</dcterms:modified>
</cp:coreProperties>
</file>