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124226"/>
  <mc:AlternateContent xmlns:mc="http://schemas.openxmlformats.org/markup-compatibility/2006">
    <mc:Choice Requires="x15">
      <x15ac:absPath xmlns:x15ac="http://schemas.microsoft.com/office/spreadsheetml/2010/11/ac" url="E:\D DRIVE\ASSIGNMENTS FILE\0 Major Projects\0 AI Data\Actual data for PBER AI\PBE for AI Work 09.02.26\"/>
    </mc:Choice>
  </mc:AlternateContent>
  <xr:revisionPtr revIDLastSave="0" documentId="13_ncr:1_{3273F456-167E-414E-A013-6AA788CBBB5A}" xr6:coauthVersionLast="47" xr6:coauthVersionMax="47" xr10:uidLastSave="{00000000-0000-0000-0000-000000000000}"/>
  <bookViews>
    <workbookView xWindow="-120" yWindow="-120" windowWidth="29040" windowHeight="15720" tabRatio="775" firstSheet="12" activeTab="12" xr2:uid="{00000000-000D-0000-FFFF-FFFF00000000}"/>
  </bookViews>
  <sheets>
    <sheet name="GM" sheetId="18" state="hidden" r:id="rId1"/>
    <sheet name="cash flow" sheetId="6" state="hidden" r:id="rId2"/>
    <sheet name="FA" sheetId="8" state="hidden" r:id="rId3"/>
    <sheet name="Gross Margin" sheetId="29" state="hidden" r:id="rId4"/>
    <sheet name="CashFlow" sheetId="30" state="hidden" r:id="rId5"/>
    <sheet name="Fin. Summary" sheetId="31" state="hidden" r:id="rId6"/>
    <sheet name="MoM" sheetId="12" state="hidden" r:id="rId7"/>
    <sheet name="Pkg Cost" sheetId="15" state="hidden" r:id="rId8"/>
    <sheet name="Pie Chart" sheetId="26" state="hidden" r:id="rId9"/>
    <sheet name="CTE Rate" sheetId="28" state="hidden" r:id="rId10"/>
    <sheet name="Scope change from R1" sheetId="32" state="hidden" r:id="rId11"/>
    <sheet name="Civil scope change from R1" sheetId="33" state="hidden" r:id="rId12"/>
    <sheet name="PBER (R1)" sheetId="47" r:id="rId13"/>
  </sheets>
  <externalReferences>
    <externalReference r:id="rId14"/>
  </externalReferences>
  <definedNames>
    <definedName name="_xlnm.Print_Area" localSheetId="4">CashFlow!$N$1:$AK$60</definedName>
    <definedName name="_xlnm.Print_Area" localSheetId="11">'Civil scope change from R1'!$A$1:$G$34</definedName>
    <definedName name="_xlnm.Print_Area" localSheetId="9">'CTE Rate'!$B$8:$C$37</definedName>
    <definedName name="_xlnm.Print_Area" localSheetId="2">FA!$B$7:$E$22</definedName>
    <definedName name="_xlnm.Print_Area" localSheetId="5">'Fin. Summary'!$B$5:$E$31</definedName>
    <definedName name="_xlnm.Print_Area" localSheetId="3">'Gross Margin'!$A$7:$K$32</definedName>
    <definedName name="_xlnm.Print_Area" localSheetId="6">MoM!$A$1:$Q$79</definedName>
    <definedName name="_xlnm.Print_Area" localSheetId="12">'PBER (R1)'!$A$1:$G$33</definedName>
    <definedName name="_xlnm.Print_Area" localSheetId="10">'Scope change from R1'!$A$2:$F$30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26" l="1"/>
  <c r="C20" i="26" l="1"/>
  <c r="C19" i="26" l="1"/>
  <c r="C25" i="26" l="1"/>
  <c r="C28" i="26"/>
  <c r="C27" i="26"/>
  <c r="C7" i="26" l="1"/>
  <c r="C3" i="26" l="1"/>
  <c r="C24" i="26" l="1"/>
  <c r="R10" i="30" l="1"/>
  <c r="J13" i="12" l="1"/>
  <c r="O15" i="12"/>
  <c r="J15" i="12" l="1"/>
  <c r="I14" i="12"/>
  <c r="J14" i="12" s="1"/>
  <c r="I15" i="12"/>
  <c r="I13" i="12"/>
  <c r="E24" i="32" l="1"/>
  <c r="F24" i="32" s="1"/>
  <c r="E25" i="32"/>
  <c r="F25" i="32" s="1"/>
  <c r="B26" i="32"/>
  <c r="B25" i="32"/>
  <c r="B24" i="32"/>
  <c r="F23" i="32" l="1"/>
  <c r="F22" i="32"/>
  <c r="E19" i="32"/>
  <c r="F19" i="32" s="1"/>
  <c r="G32" i="33"/>
  <c r="G31" i="33"/>
  <c r="E10" i="32"/>
  <c r="E21" i="32"/>
  <c r="D21" i="32"/>
  <c r="B21" i="32"/>
  <c r="E20" i="32"/>
  <c r="F20" i="32" s="1"/>
  <c r="B20" i="32"/>
  <c r="F33" i="32"/>
  <c r="F21" i="32" l="1"/>
  <c r="E18" i="32" l="1"/>
  <c r="F18" i="32" s="1"/>
  <c r="E17" i="32"/>
  <c r="F17" i="32" s="1"/>
  <c r="G4" i="33" l="1"/>
  <c r="G6" i="33"/>
  <c r="G8" i="33"/>
  <c r="G10" i="33"/>
  <c r="G11" i="33"/>
  <c r="G12" i="33"/>
  <c r="G13" i="33"/>
  <c r="G14" i="33"/>
  <c r="G15" i="33"/>
  <c r="G16" i="33"/>
  <c r="G17" i="33"/>
  <c r="G18" i="33"/>
  <c r="G19" i="33"/>
  <c r="G20" i="33"/>
  <c r="G21" i="33"/>
  <c r="G22" i="33"/>
  <c r="G23" i="33"/>
  <c r="G24" i="33"/>
  <c r="G25" i="33"/>
  <c r="G26" i="33"/>
  <c r="G27" i="33"/>
  <c r="G28" i="33"/>
  <c r="G29" i="33"/>
  <c r="G30" i="33"/>
  <c r="G3" i="33"/>
  <c r="G9" i="33"/>
  <c r="G7" i="33"/>
  <c r="E5" i="33"/>
  <c r="G5" i="33" s="1"/>
  <c r="E16" i="32"/>
  <c r="F16" i="32" s="1"/>
  <c r="B16" i="32"/>
  <c r="F10" i="32"/>
  <c r="E11" i="32"/>
  <c r="D11" i="32"/>
  <c r="B11" i="32"/>
  <c r="E9" i="32"/>
  <c r="F9" i="32" s="1"/>
  <c r="G33" i="33" l="1"/>
  <c r="F28" i="32" s="1"/>
  <c r="F11" i="32"/>
  <c r="AC12" i="30" l="1"/>
  <c r="D10" i="31"/>
  <c r="B8" i="31"/>
  <c r="N6" i="30"/>
  <c r="Q10" i="30"/>
  <c r="M15" i="30"/>
  <c r="F14" i="30"/>
  <c r="AK3684" i="30"/>
  <c r="AK3683" i="30"/>
  <c r="AK3682" i="30"/>
  <c r="AK3681" i="30"/>
  <c r="AK3680" i="30"/>
  <c r="AK3679" i="30"/>
  <c r="AK3678" i="30"/>
  <c r="AK3677" i="30"/>
  <c r="AK3676" i="30"/>
  <c r="AK3675" i="30"/>
  <c r="AK3674" i="30"/>
  <c r="AK3673" i="30"/>
  <c r="AK3672" i="30"/>
  <c r="AK3671" i="30"/>
  <c r="AK3670" i="30"/>
  <c r="AK3669" i="30"/>
  <c r="AK3668" i="30"/>
  <c r="AK3667" i="30"/>
  <c r="AK3666" i="30"/>
  <c r="AK3665" i="30"/>
  <c r="AK3664" i="30"/>
  <c r="AK3663" i="30"/>
  <c r="AK3662" i="30"/>
  <c r="AK3661" i="30"/>
  <c r="AK3660" i="30"/>
  <c r="AK3659" i="30"/>
  <c r="AK3658" i="30"/>
  <c r="AK3657" i="30"/>
  <c r="AK3656" i="30"/>
  <c r="AK3655" i="30"/>
  <c r="AK3654" i="30"/>
  <c r="AK3653" i="30"/>
  <c r="AK3652" i="30"/>
  <c r="AK3651" i="30"/>
  <c r="AK3650" i="30"/>
  <c r="AK3649" i="30"/>
  <c r="AK3648" i="30"/>
  <c r="AK3647" i="30"/>
  <c r="AK3646" i="30"/>
  <c r="AK3645" i="30"/>
  <c r="AK3644" i="30"/>
  <c r="AK3643" i="30"/>
  <c r="AK3642" i="30"/>
  <c r="AK3641" i="30"/>
  <c r="AK3640" i="30"/>
  <c r="AK3639" i="30"/>
  <c r="AK3638" i="30"/>
  <c r="AK3637" i="30"/>
  <c r="AK3636" i="30"/>
  <c r="AK3635" i="30"/>
  <c r="AK3634" i="30"/>
  <c r="AK3633" i="30"/>
  <c r="AK3632" i="30"/>
  <c r="AK3631" i="30"/>
  <c r="AK3630" i="30"/>
  <c r="AK3629" i="30"/>
  <c r="AK3628" i="30"/>
  <c r="AK3627" i="30"/>
  <c r="AK3626" i="30"/>
  <c r="AK3625" i="30"/>
  <c r="AK3624" i="30"/>
  <c r="AK3623" i="30"/>
  <c r="AK3622" i="30"/>
  <c r="AK3621" i="30"/>
  <c r="AK3620" i="30"/>
  <c r="AK3619" i="30"/>
  <c r="AK3618" i="30"/>
  <c r="AK3617" i="30"/>
  <c r="AK3616" i="30"/>
  <c r="AK3615" i="30"/>
  <c r="AK3614" i="30"/>
  <c r="AK3613" i="30"/>
  <c r="AK3612" i="30"/>
  <c r="AK3611" i="30"/>
  <c r="AK3610" i="30"/>
  <c r="AK3609" i="30"/>
  <c r="AK3608" i="30"/>
  <c r="AK3607" i="30"/>
  <c r="AK3606" i="30"/>
  <c r="AK3605" i="30"/>
  <c r="AK3604" i="30"/>
  <c r="AK3603" i="30"/>
  <c r="AK3602" i="30"/>
  <c r="AK3601" i="30"/>
  <c r="AK3600" i="30"/>
  <c r="AK3599" i="30"/>
  <c r="AK3598" i="30"/>
  <c r="AK3597" i="30"/>
  <c r="AK3596" i="30"/>
  <c r="AK3595" i="30"/>
  <c r="AK3594" i="30"/>
  <c r="AK3593" i="30"/>
  <c r="AK3592" i="30"/>
  <c r="AK3591" i="30"/>
  <c r="AK3590" i="30"/>
  <c r="AK3589" i="30"/>
  <c r="AK3588" i="30"/>
  <c r="AK3587" i="30"/>
  <c r="AK3586" i="30"/>
  <c r="AK3585" i="30"/>
  <c r="AK3584" i="30"/>
  <c r="AK3583" i="30"/>
  <c r="AK3582" i="30"/>
  <c r="AK3581" i="30"/>
  <c r="AK3580" i="30"/>
  <c r="AK3579" i="30"/>
  <c r="AK3578" i="30"/>
  <c r="AK3577" i="30"/>
  <c r="AK3576" i="30"/>
  <c r="AK3575" i="30"/>
  <c r="AK3574" i="30"/>
  <c r="AK3573" i="30"/>
  <c r="AK3572" i="30"/>
  <c r="AK3571" i="30"/>
  <c r="AK3570" i="30"/>
  <c r="AK3569" i="30"/>
  <c r="AK3568" i="30"/>
  <c r="AK3567" i="30"/>
  <c r="AK3566" i="30"/>
  <c r="AK3565" i="30"/>
  <c r="AK3564" i="30"/>
  <c r="AK3563" i="30"/>
  <c r="AK3562" i="30"/>
  <c r="AK3561" i="30"/>
  <c r="AK3560" i="30"/>
  <c r="AK3559" i="30"/>
  <c r="AK3558" i="30"/>
  <c r="AK3557" i="30"/>
  <c r="AK3556" i="30"/>
  <c r="AK3555" i="30"/>
  <c r="AK3554" i="30"/>
  <c r="AK3553" i="30"/>
  <c r="AK3552" i="30"/>
  <c r="AK3551" i="30"/>
  <c r="AK3550" i="30"/>
  <c r="AK3549" i="30"/>
  <c r="AK3548" i="30"/>
  <c r="AK3547" i="30"/>
  <c r="AK3546" i="30"/>
  <c r="AK3545" i="30"/>
  <c r="AK3544" i="30"/>
  <c r="AK3543" i="30"/>
  <c r="AK3542" i="30"/>
  <c r="AK3541" i="30"/>
  <c r="AK3540" i="30"/>
  <c r="AK3539" i="30"/>
  <c r="AK3538" i="30"/>
  <c r="AK3537" i="30"/>
  <c r="AK3536" i="30"/>
  <c r="AK3535" i="30"/>
  <c r="AK3534" i="30"/>
  <c r="AK3533" i="30"/>
  <c r="AK3532" i="30"/>
  <c r="AK3531" i="30"/>
  <c r="AK3530" i="30"/>
  <c r="AK3529" i="30"/>
  <c r="AK3528" i="30"/>
  <c r="AK3527" i="30"/>
  <c r="AK3526" i="30"/>
  <c r="AK3525" i="30"/>
  <c r="AK3524" i="30"/>
  <c r="AK3523" i="30"/>
  <c r="AK3522" i="30"/>
  <c r="AK3521" i="30"/>
  <c r="AK3520" i="30"/>
  <c r="AK3519" i="30"/>
  <c r="AK3518" i="30"/>
  <c r="AK3517" i="30"/>
  <c r="AK3516" i="30"/>
  <c r="AK3515" i="30"/>
  <c r="AK3514" i="30"/>
  <c r="AK3513" i="30"/>
  <c r="AK3512" i="30"/>
  <c r="AK3511" i="30"/>
  <c r="AK3510" i="30"/>
  <c r="AK3509" i="30"/>
  <c r="AK3508" i="30"/>
  <c r="AK3507" i="30"/>
  <c r="AK3506" i="30"/>
  <c r="AK3505" i="30"/>
  <c r="AK3504" i="30"/>
  <c r="AK3503" i="30"/>
  <c r="AK3502" i="30"/>
  <c r="AK3501" i="30"/>
  <c r="AK3500" i="30"/>
  <c r="AK3499" i="30"/>
  <c r="AK3498" i="30"/>
  <c r="AK3497" i="30"/>
  <c r="AK3496" i="30"/>
  <c r="AK3495" i="30"/>
  <c r="AK3494" i="30"/>
  <c r="AK3493" i="30"/>
  <c r="AK3492" i="30"/>
  <c r="AK3491" i="30"/>
  <c r="AK3490" i="30"/>
  <c r="AK3489" i="30"/>
  <c r="AK3488" i="30"/>
  <c r="AK3487" i="30"/>
  <c r="AK3486" i="30"/>
  <c r="AK3485" i="30"/>
  <c r="AK3484" i="30"/>
  <c r="AK3483" i="30"/>
  <c r="AK3482" i="30"/>
  <c r="AK3481" i="30"/>
  <c r="AK3480" i="30"/>
  <c r="AK3479" i="30"/>
  <c r="AK3478" i="30"/>
  <c r="AK3477" i="30"/>
  <c r="AK3476" i="30"/>
  <c r="AK3475" i="30"/>
  <c r="AK3474" i="30"/>
  <c r="AK3473" i="30"/>
  <c r="AK3472" i="30"/>
  <c r="AK3471" i="30"/>
  <c r="AK3470" i="30"/>
  <c r="AK3469" i="30"/>
  <c r="AK3468" i="30"/>
  <c r="AK3467" i="30"/>
  <c r="AK3466" i="30"/>
  <c r="AK3465" i="30"/>
  <c r="AK3464" i="30"/>
  <c r="AK3463" i="30"/>
  <c r="AK3462" i="30"/>
  <c r="AK3461" i="30"/>
  <c r="AK3460" i="30"/>
  <c r="AK3459" i="30"/>
  <c r="AK3458" i="30"/>
  <c r="AK3457" i="30"/>
  <c r="AK3456" i="30"/>
  <c r="AK3455" i="30"/>
  <c r="AK3454" i="30"/>
  <c r="AK3453" i="30"/>
  <c r="AK3452" i="30"/>
  <c r="AK3451" i="30"/>
  <c r="AK3450" i="30"/>
  <c r="AK3449" i="30"/>
  <c r="AK3448" i="30"/>
  <c r="AK3447" i="30"/>
  <c r="AK3446" i="30"/>
  <c r="AK3445" i="30"/>
  <c r="AK3444" i="30"/>
  <c r="AK3443" i="30"/>
  <c r="AK3442" i="30"/>
  <c r="AK3441" i="30"/>
  <c r="AK3440" i="30"/>
  <c r="AK3439" i="30"/>
  <c r="AK3438" i="30"/>
  <c r="AK3437" i="30"/>
  <c r="AK3436" i="30"/>
  <c r="AK3435" i="30"/>
  <c r="AK3434" i="30"/>
  <c r="AK3433" i="30"/>
  <c r="AK3432" i="30"/>
  <c r="AK3431" i="30"/>
  <c r="AK3430" i="30"/>
  <c r="AK3429" i="30"/>
  <c r="AK3428" i="30"/>
  <c r="AK3427" i="30"/>
  <c r="AK3426" i="30"/>
  <c r="AK3425" i="30"/>
  <c r="AK3424" i="30"/>
  <c r="AK3423" i="30"/>
  <c r="AK3422" i="30"/>
  <c r="AK3421" i="30"/>
  <c r="AK3420" i="30"/>
  <c r="AK3419" i="30"/>
  <c r="AK3418" i="30"/>
  <c r="AK3417" i="30"/>
  <c r="AK3416" i="30"/>
  <c r="AK3415" i="30"/>
  <c r="AK3414" i="30"/>
  <c r="AK3413" i="30"/>
  <c r="AK3412" i="30"/>
  <c r="AK3411" i="30"/>
  <c r="AK3410" i="30"/>
  <c r="AK3409" i="30"/>
  <c r="AK3408" i="30"/>
  <c r="AK3407" i="30"/>
  <c r="AK3406" i="30"/>
  <c r="AK3405" i="30"/>
  <c r="AK3404" i="30"/>
  <c r="AK3403" i="30"/>
  <c r="AK3402" i="30"/>
  <c r="AK3401" i="30"/>
  <c r="AK3400" i="30"/>
  <c r="AK3399" i="30"/>
  <c r="AK3398" i="30"/>
  <c r="AK3397" i="30"/>
  <c r="AK3396" i="30"/>
  <c r="AK3395" i="30"/>
  <c r="AK3394" i="30"/>
  <c r="AK3393" i="30"/>
  <c r="AK3392" i="30"/>
  <c r="AK3391" i="30"/>
  <c r="AK3390" i="30"/>
  <c r="AK3389" i="30"/>
  <c r="AK3388" i="30"/>
  <c r="AK3387" i="30"/>
  <c r="AK3386" i="30"/>
  <c r="AK3385" i="30"/>
  <c r="AK3384" i="30"/>
  <c r="AK3383" i="30"/>
  <c r="AK3382" i="30"/>
  <c r="AK3381" i="30"/>
  <c r="AK3380" i="30"/>
  <c r="AK3379" i="30"/>
  <c r="AK3378" i="30"/>
  <c r="AK3377" i="30"/>
  <c r="AK3376" i="30"/>
  <c r="AK3375" i="30"/>
  <c r="AK3374" i="30"/>
  <c r="AK3373" i="30"/>
  <c r="AK3372" i="30"/>
  <c r="AK3371" i="30"/>
  <c r="AK3370" i="30"/>
  <c r="AK3369" i="30"/>
  <c r="AK3368" i="30"/>
  <c r="AK3367" i="30"/>
  <c r="AK3366" i="30"/>
  <c r="AK3365" i="30"/>
  <c r="AK3364" i="30"/>
  <c r="AK3363" i="30"/>
  <c r="AK3362" i="30"/>
  <c r="AK3361" i="30"/>
  <c r="AK3360" i="30"/>
  <c r="AK3359" i="30"/>
  <c r="AK3358" i="30"/>
  <c r="AK3357" i="30"/>
  <c r="AK3356" i="30"/>
  <c r="AK3355" i="30"/>
  <c r="AK3354" i="30"/>
  <c r="AK3353" i="30"/>
  <c r="AK3352" i="30"/>
  <c r="AK3351" i="30"/>
  <c r="AK3350" i="30"/>
  <c r="AK3349" i="30"/>
  <c r="AK3348" i="30"/>
  <c r="AK3347" i="30"/>
  <c r="AK3346" i="30"/>
  <c r="AK3345" i="30"/>
  <c r="AK3344" i="30"/>
  <c r="AK3343" i="30"/>
  <c r="AK3342" i="30"/>
  <c r="AK3341" i="30"/>
  <c r="AK3340" i="30"/>
  <c r="AK3339" i="30"/>
  <c r="AK3338" i="30"/>
  <c r="AK3337" i="30"/>
  <c r="AK3336" i="30"/>
  <c r="AK3335" i="30"/>
  <c r="AK3334" i="30"/>
  <c r="AK3333" i="30"/>
  <c r="AK3332" i="30"/>
  <c r="AK3331" i="30"/>
  <c r="AK3330" i="30"/>
  <c r="AK3329" i="30"/>
  <c r="AK3328" i="30"/>
  <c r="AK3327" i="30"/>
  <c r="AK3326" i="30"/>
  <c r="AK3325" i="30"/>
  <c r="AK3324" i="30"/>
  <c r="AK3323" i="30"/>
  <c r="AK3322" i="30"/>
  <c r="AK3321" i="30"/>
  <c r="AK3320" i="30"/>
  <c r="AK3319" i="30"/>
  <c r="AK3318" i="30"/>
  <c r="AK3317" i="30"/>
  <c r="AK3316" i="30"/>
  <c r="AK3315" i="30"/>
  <c r="AK3314" i="30"/>
  <c r="AK3313" i="30"/>
  <c r="AK3312" i="30"/>
  <c r="AK3311" i="30"/>
  <c r="AK3310" i="30"/>
  <c r="AK3309" i="30"/>
  <c r="AK3308" i="30"/>
  <c r="AK3307" i="30"/>
  <c r="AK3306" i="30"/>
  <c r="AK3305" i="30"/>
  <c r="AK3304" i="30"/>
  <c r="AK3303" i="30"/>
  <c r="AK3302" i="30"/>
  <c r="AK3301" i="30"/>
  <c r="AK3300" i="30"/>
  <c r="AK3299" i="30"/>
  <c r="AK3298" i="30"/>
  <c r="AK3297" i="30"/>
  <c r="AK3296" i="30"/>
  <c r="AK3295" i="30"/>
  <c r="AK3294" i="30"/>
  <c r="AK3293" i="30"/>
  <c r="AK3292" i="30"/>
  <c r="AK3291" i="30"/>
  <c r="AK3290" i="30"/>
  <c r="AK3289" i="30"/>
  <c r="AK3288" i="30"/>
  <c r="AK3287" i="30"/>
  <c r="AK3286" i="30"/>
  <c r="AK3285" i="30"/>
  <c r="AK3284" i="30"/>
  <c r="AK3283" i="30"/>
  <c r="AK3282" i="30"/>
  <c r="AK3281" i="30"/>
  <c r="AK3280" i="30"/>
  <c r="AK3279" i="30"/>
  <c r="AK3278" i="30"/>
  <c r="AK3277" i="30"/>
  <c r="AK3276" i="30"/>
  <c r="AK3275" i="30"/>
  <c r="AK3274" i="30"/>
  <c r="AK3273" i="30"/>
  <c r="AK3272" i="30"/>
  <c r="AK3271" i="30"/>
  <c r="AK3270" i="30"/>
  <c r="AK3269" i="30"/>
  <c r="AK3268" i="30"/>
  <c r="AK3267" i="30"/>
  <c r="AK3266" i="30"/>
  <c r="AK3265" i="30"/>
  <c r="AK3264" i="30"/>
  <c r="AK3263" i="30"/>
  <c r="AK3262" i="30"/>
  <c r="AK3261" i="30"/>
  <c r="AK3260" i="30"/>
  <c r="AK3259" i="30"/>
  <c r="AK3258" i="30"/>
  <c r="AK3257" i="30"/>
  <c r="AK3256" i="30"/>
  <c r="AK3255" i="30"/>
  <c r="AK3254" i="30"/>
  <c r="AK3253" i="30"/>
  <c r="AK3252" i="30"/>
  <c r="AK3251" i="30"/>
  <c r="AK3250" i="30"/>
  <c r="AK3249" i="30"/>
  <c r="AK3248" i="30"/>
  <c r="AK3247" i="30"/>
  <c r="AK3246" i="30"/>
  <c r="AK3245" i="30"/>
  <c r="AK3244" i="30"/>
  <c r="AK3243" i="30"/>
  <c r="AK3242" i="30"/>
  <c r="AK3241" i="30"/>
  <c r="AK3240" i="30"/>
  <c r="AK3239" i="30"/>
  <c r="AK3238" i="30"/>
  <c r="AK3237" i="30"/>
  <c r="AK3236" i="30"/>
  <c r="AK3235" i="30"/>
  <c r="AK3234" i="30"/>
  <c r="AK3233" i="30"/>
  <c r="AK3232" i="30"/>
  <c r="AK3231" i="30"/>
  <c r="AK3230" i="30"/>
  <c r="AK3229" i="30"/>
  <c r="AK3228" i="30"/>
  <c r="AK3227" i="30"/>
  <c r="AK3226" i="30"/>
  <c r="AK3225" i="30"/>
  <c r="AK3224" i="30"/>
  <c r="AK3223" i="30"/>
  <c r="AK3222" i="30"/>
  <c r="AK3221" i="30"/>
  <c r="AK3220" i="30"/>
  <c r="AK3219" i="30"/>
  <c r="AK3218" i="30"/>
  <c r="AK3217" i="30"/>
  <c r="AK3216" i="30"/>
  <c r="AK3215" i="30"/>
  <c r="AK3214" i="30"/>
  <c r="AK3213" i="30"/>
  <c r="AK3212" i="30"/>
  <c r="AK3211" i="30"/>
  <c r="AK3210" i="30"/>
  <c r="AK3209" i="30"/>
  <c r="AK3208" i="30"/>
  <c r="AK3207" i="30"/>
  <c r="AK3206" i="30"/>
  <c r="AK3205" i="30"/>
  <c r="AK3204" i="30"/>
  <c r="AK3203" i="30"/>
  <c r="AK3202" i="30"/>
  <c r="AK3201" i="30"/>
  <c r="AK3200" i="30"/>
  <c r="AK3199" i="30"/>
  <c r="AK3198" i="30"/>
  <c r="AK3197" i="30"/>
  <c r="AK3196" i="30"/>
  <c r="AK3195" i="30"/>
  <c r="AK3194" i="30"/>
  <c r="AK3193" i="30"/>
  <c r="AK3192" i="30"/>
  <c r="AK3191" i="30"/>
  <c r="AK3190" i="30"/>
  <c r="AK3189" i="30"/>
  <c r="AK3188" i="30"/>
  <c r="AK3187" i="30"/>
  <c r="AK3186" i="30"/>
  <c r="AK3185" i="30"/>
  <c r="AK3184" i="30"/>
  <c r="AK3183" i="30"/>
  <c r="AK3182" i="30"/>
  <c r="AK3181" i="30"/>
  <c r="AK3180" i="30"/>
  <c r="AK3179" i="30"/>
  <c r="AK3178" i="30"/>
  <c r="AK3177" i="30"/>
  <c r="AK3176" i="30"/>
  <c r="AK3175" i="30"/>
  <c r="AK3174" i="30"/>
  <c r="AK3173" i="30"/>
  <c r="AK3172" i="30"/>
  <c r="AK3171" i="30"/>
  <c r="AK3170" i="30"/>
  <c r="AK3169" i="30"/>
  <c r="AK3168" i="30"/>
  <c r="AK3167" i="30"/>
  <c r="AK3166" i="30"/>
  <c r="AK3165" i="30"/>
  <c r="AK3164" i="30"/>
  <c r="AK3163" i="30"/>
  <c r="AK3162" i="30"/>
  <c r="AK3161" i="30"/>
  <c r="AK3160" i="30"/>
  <c r="AK3159" i="30"/>
  <c r="AK3158" i="30"/>
  <c r="AK3157" i="30"/>
  <c r="AK3156" i="30"/>
  <c r="AK3155" i="30"/>
  <c r="AK3154" i="30"/>
  <c r="AK3153" i="30"/>
  <c r="AK3152" i="30"/>
  <c r="AK3151" i="30"/>
  <c r="AK3150" i="30"/>
  <c r="AK3149" i="30"/>
  <c r="AK3148" i="30"/>
  <c r="AK3147" i="30"/>
  <c r="AK3146" i="30"/>
  <c r="AK3145" i="30"/>
  <c r="AK3144" i="30"/>
  <c r="AK3143" i="30"/>
  <c r="AK3142" i="30"/>
  <c r="AK3141" i="30"/>
  <c r="AK3140" i="30"/>
  <c r="AK3139" i="30"/>
  <c r="AK3138" i="30"/>
  <c r="AK3137" i="30"/>
  <c r="AK3136" i="30"/>
  <c r="AK3135" i="30"/>
  <c r="AK3134" i="30"/>
  <c r="AK3133" i="30"/>
  <c r="AK3132" i="30"/>
  <c r="AK3131" i="30"/>
  <c r="AK3130" i="30"/>
  <c r="AK3129" i="30"/>
  <c r="AK3128" i="30"/>
  <c r="AK3127" i="30"/>
  <c r="AK3126" i="30"/>
  <c r="AK3125" i="30"/>
  <c r="AK3124" i="30"/>
  <c r="AK3123" i="30"/>
  <c r="AK3122" i="30"/>
  <c r="AK3121" i="30"/>
  <c r="AK3120" i="30"/>
  <c r="AK3119" i="30"/>
  <c r="AK3118" i="30"/>
  <c r="AK3117" i="30"/>
  <c r="AK3116" i="30"/>
  <c r="AK3115" i="30"/>
  <c r="AK3114" i="30"/>
  <c r="AK3113" i="30"/>
  <c r="AK3112" i="30"/>
  <c r="AK3111" i="30"/>
  <c r="AK3110" i="30"/>
  <c r="AK3109" i="30"/>
  <c r="AK3108" i="30"/>
  <c r="AK3107" i="30"/>
  <c r="AK3106" i="30"/>
  <c r="AK3105" i="30"/>
  <c r="AK3104" i="30"/>
  <c r="AK3103" i="30"/>
  <c r="AK3102" i="30"/>
  <c r="AK3101" i="30"/>
  <c r="AK3100" i="30"/>
  <c r="AK3099" i="30"/>
  <c r="AK3098" i="30"/>
  <c r="AK3097" i="30"/>
  <c r="AK3096" i="30"/>
  <c r="AK3095" i="30"/>
  <c r="AK3094" i="30"/>
  <c r="AK3093" i="30"/>
  <c r="AK3092" i="30"/>
  <c r="AK3091" i="30"/>
  <c r="AK3090" i="30"/>
  <c r="AK3089" i="30"/>
  <c r="AK3088" i="30"/>
  <c r="AK3087" i="30"/>
  <c r="AK3086" i="30"/>
  <c r="AK3085" i="30"/>
  <c r="AK3084" i="30"/>
  <c r="AK3083" i="30"/>
  <c r="AK3082" i="30"/>
  <c r="AK3081" i="30"/>
  <c r="AK3080" i="30"/>
  <c r="AK3079" i="30"/>
  <c r="AK3078" i="30"/>
  <c r="AK3077" i="30"/>
  <c r="AK3076" i="30"/>
  <c r="AK3075" i="30"/>
  <c r="AK3074" i="30"/>
  <c r="AK3073" i="30"/>
  <c r="AK3072" i="30"/>
  <c r="AK3071" i="30"/>
  <c r="AK3070" i="30"/>
  <c r="AK3069" i="30"/>
  <c r="AK3068" i="30"/>
  <c r="AK3067" i="30"/>
  <c r="AK3066" i="30"/>
  <c r="AK3065" i="30"/>
  <c r="AK3064" i="30"/>
  <c r="AK3063" i="30"/>
  <c r="AK3062" i="30"/>
  <c r="AK3061" i="30"/>
  <c r="AK3060" i="30"/>
  <c r="AK3059" i="30"/>
  <c r="AK3058" i="30"/>
  <c r="AK3057" i="30"/>
  <c r="AK3056" i="30"/>
  <c r="AK3055" i="30"/>
  <c r="AK3054" i="30"/>
  <c r="AK3053" i="30"/>
  <c r="AK3052" i="30"/>
  <c r="AK3051" i="30"/>
  <c r="AK3050" i="30"/>
  <c r="AK3049" i="30"/>
  <c r="AK3048" i="30"/>
  <c r="AK3047" i="30"/>
  <c r="AK3046" i="30"/>
  <c r="AK3045" i="30"/>
  <c r="AK3044" i="30"/>
  <c r="AK3043" i="30"/>
  <c r="AK3042" i="30"/>
  <c r="AK3041" i="30"/>
  <c r="AK3040" i="30"/>
  <c r="AK3039" i="30"/>
  <c r="AK3038" i="30"/>
  <c r="AK3037" i="30"/>
  <c r="AK3036" i="30"/>
  <c r="AK3035" i="30"/>
  <c r="AK3034" i="30"/>
  <c r="AK3033" i="30"/>
  <c r="AK3032" i="30"/>
  <c r="AK3031" i="30"/>
  <c r="AK3030" i="30"/>
  <c r="AK3029" i="30"/>
  <c r="AK3028" i="30"/>
  <c r="AK3027" i="30"/>
  <c r="AK3026" i="30"/>
  <c r="AK3025" i="30"/>
  <c r="AK3024" i="30"/>
  <c r="AK3023" i="30"/>
  <c r="AK3022" i="30"/>
  <c r="AK3021" i="30"/>
  <c r="AK3020" i="30"/>
  <c r="AK3019" i="30"/>
  <c r="AK3018" i="30"/>
  <c r="AK3017" i="30"/>
  <c r="AK3016" i="30"/>
  <c r="AK3015" i="30"/>
  <c r="AK3014" i="30"/>
  <c r="AK3013" i="30"/>
  <c r="AK3012" i="30"/>
  <c r="AK3011" i="30"/>
  <c r="AK3010" i="30"/>
  <c r="AK3009" i="30"/>
  <c r="AK3008" i="30"/>
  <c r="AK3007" i="30"/>
  <c r="AK3006" i="30"/>
  <c r="AK3005" i="30"/>
  <c r="AK3004" i="30"/>
  <c r="AK3003" i="30"/>
  <c r="AK3002" i="30"/>
  <c r="AK3001" i="30"/>
  <c r="AK3000" i="30"/>
  <c r="AK2999" i="30"/>
  <c r="AK2998" i="30"/>
  <c r="AK2997" i="30"/>
  <c r="AK2996" i="30"/>
  <c r="AK2995" i="30"/>
  <c r="AK2994" i="30"/>
  <c r="AK2993" i="30"/>
  <c r="AK2992" i="30"/>
  <c r="AK2991" i="30"/>
  <c r="AK2990" i="30"/>
  <c r="AK2989" i="30"/>
  <c r="AK2988" i="30"/>
  <c r="AK2987" i="30"/>
  <c r="AK2986" i="30"/>
  <c r="AK2985" i="30"/>
  <c r="AK2984" i="30"/>
  <c r="AK2983" i="30"/>
  <c r="AK2982" i="30"/>
  <c r="AK2981" i="30"/>
  <c r="AK2980" i="30"/>
  <c r="AK2979" i="30"/>
  <c r="AK2978" i="30"/>
  <c r="AK2977" i="30"/>
  <c r="AK2976" i="30"/>
  <c r="AK2975" i="30"/>
  <c r="AK2974" i="30"/>
  <c r="AK2973" i="30"/>
  <c r="AK2972" i="30"/>
  <c r="AK2971" i="30"/>
  <c r="AK2970" i="30"/>
  <c r="AK2969" i="30"/>
  <c r="AK2968" i="30"/>
  <c r="AK2967" i="30"/>
  <c r="AK2966" i="30"/>
  <c r="AK2965" i="30"/>
  <c r="AK2964" i="30"/>
  <c r="AK2963" i="30"/>
  <c r="AK2962" i="30"/>
  <c r="AK2961" i="30"/>
  <c r="AK2960" i="30"/>
  <c r="AK2959" i="30"/>
  <c r="AK2958" i="30"/>
  <c r="AK2957" i="30"/>
  <c r="AK2956" i="30"/>
  <c r="AK2955" i="30"/>
  <c r="AK2954" i="30"/>
  <c r="AK2953" i="30"/>
  <c r="AK2952" i="30"/>
  <c r="AK2951" i="30"/>
  <c r="AK2950" i="30"/>
  <c r="AK2949" i="30"/>
  <c r="AK2948" i="30"/>
  <c r="AK2947" i="30"/>
  <c r="AK2946" i="30"/>
  <c r="AK2945" i="30"/>
  <c r="AK2944" i="30"/>
  <c r="AK2943" i="30"/>
  <c r="AK2942" i="30"/>
  <c r="AK2941" i="30"/>
  <c r="AK2940" i="30"/>
  <c r="AK2939" i="30"/>
  <c r="AK2938" i="30"/>
  <c r="AK2937" i="30"/>
  <c r="AK2936" i="30"/>
  <c r="AK2935" i="30"/>
  <c r="AK2934" i="30"/>
  <c r="AK2933" i="30"/>
  <c r="AK2932" i="30"/>
  <c r="AK2931" i="30"/>
  <c r="AK2930" i="30"/>
  <c r="AK2929" i="30"/>
  <c r="AK2928" i="30"/>
  <c r="AK2927" i="30"/>
  <c r="AK2926" i="30"/>
  <c r="AK2925" i="30"/>
  <c r="AK2924" i="30"/>
  <c r="AK2923" i="30"/>
  <c r="AK2922" i="30"/>
  <c r="AK2921" i="30"/>
  <c r="AK2920" i="30"/>
  <c r="AK2919" i="30"/>
  <c r="AK2918" i="30"/>
  <c r="AK2917" i="30"/>
  <c r="AK2916" i="30"/>
  <c r="AK2915" i="30"/>
  <c r="AK2914" i="30"/>
  <c r="AK2913" i="30"/>
  <c r="AK2912" i="30"/>
  <c r="AK2911" i="30"/>
  <c r="AK2910" i="30"/>
  <c r="AK2909" i="30"/>
  <c r="AK2908" i="30"/>
  <c r="AK2907" i="30"/>
  <c r="AK2906" i="30"/>
  <c r="AK2905" i="30"/>
  <c r="AK2904" i="30"/>
  <c r="AK2903" i="30"/>
  <c r="AK2902" i="30"/>
  <c r="AK2901" i="30"/>
  <c r="AK2900" i="30"/>
  <c r="AK2899" i="30"/>
  <c r="AK2898" i="30"/>
  <c r="AK2897" i="30"/>
  <c r="AK2896" i="30"/>
  <c r="AK2895" i="30"/>
  <c r="AK2894" i="30"/>
  <c r="AK2893" i="30"/>
  <c r="AK2892" i="30"/>
  <c r="AK2891" i="30"/>
  <c r="AK2890" i="30"/>
  <c r="AK2889" i="30"/>
  <c r="AK2888" i="30"/>
  <c r="AK2887" i="30"/>
  <c r="AK2886" i="30"/>
  <c r="AK2885" i="30"/>
  <c r="AK2884" i="30"/>
  <c r="AK2883" i="30"/>
  <c r="AK2882" i="30"/>
  <c r="AK2881" i="30"/>
  <c r="AK2880" i="30"/>
  <c r="AK2879" i="30"/>
  <c r="AK2878" i="30"/>
  <c r="AK2877" i="30"/>
  <c r="AK2876" i="30"/>
  <c r="AK2875" i="30"/>
  <c r="AK2874" i="30"/>
  <c r="AK2873" i="30"/>
  <c r="AK2872" i="30"/>
  <c r="AK2871" i="30"/>
  <c r="AK2870" i="30"/>
  <c r="AK2869" i="30"/>
  <c r="AK2868" i="30"/>
  <c r="AK2867" i="30"/>
  <c r="AK2866" i="30"/>
  <c r="AK2865" i="30"/>
  <c r="AK2864" i="30"/>
  <c r="AK2863" i="30"/>
  <c r="AK2862" i="30"/>
  <c r="AK2861" i="30"/>
  <c r="AK2860" i="30"/>
  <c r="AK2859" i="30"/>
  <c r="AK2858" i="30"/>
  <c r="AK2857" i="30"/>
  <c r="AK2856" i="30"/>
  <c r="AK2855" i="30"/>
  <c r="AK2854" i="30"/>
  <c r="AK2853" i="30"/>
  <c r="AK2852" i="30"/>
  <c r="AK2851" i="30"/>
  <c r="AK2850" i="30"/>
  <c r="AK2849" i="30"/>
  <c r="AK2848" i="30"/>
  <c r="AK2847" i="30"/>
  <c r="AK2846" i="30"/>
  <c r="AK2845" i="30"/>
  <c r="AK2844" i="30"/>
  <c r="AK2843" i="30"/>
  <c r="AK2842" i="30"/>
  <c r="AK2841" i="30"/>
  <c r="AK2840" i="30"/>
  <c r="AK2839" i="30"/>
  <c r="AK2838" i="30"/>
  <c r="AK2837" i="30"/>
  <c r="AK2836" i="30"/>
  <c r="AK2835" i="30"/>
  <c r="AK2834" i="30"/>
  <c r="AK2833" i="30"/>
  <c r="AK2832" i="30"/>
  <c r="AK2831" i="30"/>
  <c r="AK2830" i="30"/>
  <c r="AK2829" i="30"/>
  <c r="AK2828" i="30"/>
  <c r="AK2827" i="30"/>
  <c r="AK2826" i="30"/>
  <c r="AK2825" i="30"/>
  <c r="AK2824" i="30"/>
  <c r="AK2823" i="30"/>
  <c r="AK2822" i="30"/>
  <c r="AK2821" i="30"/>
  <c r="AK2820" i="30"/>
  <c r="AK2819" i="30"/>
  <c r="AK2818" i="30"/>
  <c r="AK2817" i="30"/>
  <c r="AK2816" i="30"/>
  <c r="AK2815" i="30"/>
  <c r="AK2814" i="30"/>
  <c r="AK2813" i="30"/>
  <c r="AK2812" i="30"/>
  <c r="AK2811" i="30"/>
  <c r="AK2810" i="30"/>
  <c r="AK2809" i="30"/>
  <c r="AK2808" i="30"/>
  <c r="AK2807" i="30"/>
  <c r="AK2806" i="30"/>
  <c r="AK2805" i="30"/>
  <c r="AK2804" i="30"/>
  <c r="AK2803" i="30"/>
  <c r="AK2802" i="30"/>
  <c r="AK2801" i="30"/>
  <c r="AK2800" i="30"/>
  <c r="AK2799" i="30"/>
  <c r="AK2798" i="30"/>
  <c r="AK2797" i="30"/>
  <c r="AK2796" i="30"/>
  <c r="AK2795" i="30"/>
  <c r="AK2794" i="30"/>
  <c r="AK2793" i="30"/>
  <c r="AK2792" i="30"/>
  <c r="AK2791" i="30"/>
  <c r="AK2790" i="30"/>
  <c r="AK2789" i="30"/>
  <c r="AK2788" i="30"/>
  <c r="AK2787" i="30"/>
  <c r="AK2786" i="30"/>
  <c r="AK2785" i="30"/>
  <c r="AK2784" i="30"/>
  <c r="AK2783" i="30"/>
  <c r="AK2782" i="30"/>
  <c r="AK2781" i="30"/>
  <c r="AK2780" i="30"/>
  <c r="AK2779" i="30"/>
  <c r="AK2778" i="30"/>
  <c r="AK2777" i="30"/>
  <c r="AK2776" i="30"/>
  <c r="AK2775" i="30"/>
  <c r="AK2774" i="30"/>
  <c r="AK2773" i="30"/>
  <c r="AK2772" i="30"/>
  <c r="AK2771" i="30"/>
  <c r="AK2770" i="30"/>
  <c r="AK2769" i="30"/>
  <c r="AK2768" i="30"/>
  <c r="AK2767" i="30"/>
  <c r="AK2766" i="30"/>
  <c r="AK2765" i="30"/>
  <c r="AK2764" i="30"/>
  <c r="AK2763" i="30"/>
  <c r="AK2762" i="30"/>
  <c r="AK2761" i="30"/>
  <c r="AK2760" i="30"/>
  <c r="AK2759" i="30"/>
  <c r="AK2758" i="30"/>
  <c r="AK2757" i="30"/>
  <c r="AK2756" i="30"/>
  <c r="AK2755" i="30"/>
  <c r="AK2754" i="30"/>
  <c r="AK2753" i="30"/>
  <c r="AK2752" i="30"/>
  <c r="AK2751" i="30"/>
  <c r="AK2750" i="30"/>
  <c r="AK2749" i="30"/>
  <c r="AK2748" i="30"/>
  <c r="AK2747" i="30"/>
  <c r="AK2746" i="30"/>
  <c r="AK2745" i="30"/>
  <c r="AK2744" i="30"/>
  <c r="AK2743" i="30"/>
  <c r="AK2742" i="30"/>
  <c r="AK2741" i="30"/>
  <c r="AK2740" i="30"/>
  <c r="AK2739" i="30"/>
  <c r="AK2738" i="30"/>
  <c r="AK2737" i="30"/>
  <c r="AK2736" i="30"/>
  <c r="AK2735" i="30"/>
  <c r="AK2734" i="30"/>
  <c r="AK2733" i="30"/>
  <c r="AK2732" i="30"/>
  <c r="AK2731" i="30"/>
  <c r="AK2730" i="30"/>
  <c r="AK2729" i="30"/>
  <c r="AK2728" i="30"/>
  <c r="AK2727" i="30"/>
  <c r="AK2726" i="30"/>
  <c r="AK2725" i="30"/>
  <c r="AK2724" i="30"/>
  <c r="AK2723" i="30"/>
  <c r="AK2722" i="30"/>
  <c r="AK2721" i="30"/>
  <c r="AK2720" i="30"/>
  <c r="AK2719" i="30"/>
  <c r="AK2718" i="30"/>
  <c r="AK2717" i="30"/>
  <c r="AK2716" i="30"/>
  <c r="AK2715" i="30"/>
  <c r="AK2714" i="30"/>
  <c r="AK2713" i="30"/>
  <c r="AK2712" i="30"/>
  <c r="AK2711" i="30"/>
  <c r="AK2710" i="30"/>
  <c r="AK2709" i="30"/>
  <c r="AK2708" i="30"/>
  <c r="AK2707" i="30"/>
  <c r="AK2706" i="30"/>
  <c r="AK2705" i="30"/>
  <c r="AK2704" i="30"/>
  <c r="AK2703" i="30"/>
  <c r="AK2702" i="30"/>
  <c r="AK2701" i="30"/>
  <c r="AK2700" i="30"/>
  <c r="AK2699" i="30"/>
  <c r="AK2698" i="30"/>
  <c r="AK2697" i="30"/>
  <c r="AK2696" i="30"/>
  <c r="AK2695" i="30"/>
  <c r="AK2694" i="30"/>
  <c r="AK2693" i="30"/>
  <c r="AK2692" i="30"/>
  <c r="AK2691" i="30"/>
  <c r="AK2690" i="30"/>
  <c r="AK2689" i="30"/>
  <c r="AK2688" i="30"/>
  <c r="AK2687" i="30"/>
  <c r="AK2686" i="30"/>
  <c r="AK2685" i="30"/>
  <c r="AK2684" i="30"/>
  <c r="AK2683" i="30"/>
  <c r="AK2682" i="30"/>
  <c r="AK2681" i="30"/>
  <c r="AK2680" i="30"/>
  <c r="AK2679" i="30"/>
  <c r="AK2678" i="30"/>
  <c r="AK2677" i="30"/>
  <c r="AK2676" i="30"/>
  <c r="AK2675" i="30"/>
  <c r="AK2674" i="30"/>
  <c r="AK2673" i="30"/>
  <c r="AK2672" i="30"/>
  <c r="AK2671" i="30"/>
  <c r="AK2670" i="30"/>
  <c r="AK2669" i="30"/>
  <c r="AK2668" i="30"/>
  <c r="AK2667" i="30"/>
  <c r="AK2666" i="30"/>
  <c r="AK2665" i="30"/>
  <c r="AK2664" i="30"/>
  <c r="AK2663" i="30"/>
  <c r="AK2662" i="30"/>
  <c r="AK2661" i="30"/>
  <c r="AK2660" i="30"/>
  <c r="AK2659" i="30"/>
  <c r="AK2658" i="30"/>
  <c r="AK2657" i="30"/>
  <c r="AK2656" i="30"/>
  <c r="AK2655" i="30"/>
  <c r="AK2654" i="30"/>
  <c r="AK2653" i="30"/>
  <c r="AK2652" i="30"/>
  <c r="AK2651" i="30"/>
  <c r="AK2650" i="30"/>
  <c r="AK2649" i="30"/>
  <c r="AK2648" i="30"/>
  <c r="AK2647" i="30"/>
  <c r="AK2646" i="30"/>
  <c r="AK2645" i="30"/>
  <c r="AK2644" i="30"/>
  <c r="AK2643" i="30"/>
  <c r="AK2642" i="30"/>
  <c r="AK2641" i="30"/>
  <c r="AK2640" i="30"/>
  <c r="AK2639" i="30"/>
  <c r="AK2638" i="30"/>
  <c r="AK2637" i="30"/>
  <c r="AK2636" i="30"/>
  <c r="AK2635" i="30"/>
  <c r="AK2634" i="30"/>
  <c r="AK2633" i="30"/>
  <c r="AK2632" i="30"/>
  <c r="AK2631" i="30"/>
  <c r="AK2630" i="30"/>
  <c r="AK2629" i="30"/>
  <c r="AK2628" i="30"/>
  <c r="AK2627" i="30"/>
  <c r="AK2626" i="30"/>
  <c r="AK2625" i="30"/>
  <c r="AK2624" i="30"/>
  <c r="AK2623" i="30"/>
  <c r="AK2622" i="30"/>
  <c r="AK2621" i="30"/>
  <c r="AK2620" i="30"/>
  <c r="AK2619" i="30"/>
  <c r="AK2618" i="30"/>
  <c r="AK2617" i="30"/>
  <c r="AK2616" i="30"/>
  <c r="AK2615" i="30"/>
  <c r="AK2614" i="30"/>
  <c r="AK2613" i="30"/>
  <c r="AK2612" i="30"/>
  <c r="AK2611" i="30"/>
  <c r="AK2610" i="30"/>
  <c r="AK2609" i="30"/>
  <c r="AK2608" i="30"/>
  <c r="AK2607" i="30"/>
  <c r="AK2606" i="30"/>
  <c r="AK2605" i="30"/>
  <c r="AK2604" i="30"/>
  <c r="AK2603" i="30"/>
  <c r="AK2602" i="30"/>
  <c r="AK2601" i="30"/>
  <c r="AK2600" i="30"/>
  <c r="AK2599" i="30"/>
  <c r="AK2598" i="30"/>
  <c r="AK2597" i="30"/>
  <c r="AK2596" i="30"/>
  <c r="AK2595" i="30"/>
  <c r="AK2594" i="30"/>
  <c r="AK2593" i="30"/>
  <c r="AK2592" i="30"/>
  <c r="AK2591" i="30"/>
  <c r="AK2590" i="30"/>
  <c r="AK2589" i="30"/>
  <c r="AK2588" i="30"/>
  <c r="AK2587" i="30"/>
  <c r="AK2586" i="30"/>
  <c r="AK2585" i="30"/>
  <c r="AK2584" i="30"/>
  <c r="AK2583" i="30"/>
  <c r="AK2582" i="30"/>
  <c r="AK2581" i="30"/>
  <c r="AK2580" i="30"/>
  <c r="AK2579" i="30"/>
  <c r="AK2578" i="30"/>
  <c r="AK2577" i="30"/>
  <c r="AK2576" i="30"/>
  <c r="AK2575" i="30"/>
  <c r="AK2574" i="30"/>
  <c r="AK2573" i="30"/>
  <c r="AK2572" i="30"/>
  <c r="AK2571" i="30"/>
  <c r="AK2570" i="30"/>
  <c r="AK2569" i="30"/>
  <c r="AK2568" i="30"/>
  <c r="AK2567" i="30"/>
  <c r="AK2566" i="30"/>
  <c r="AK2565" i="30"/>
  <c r="AK2564" i="30"/>
  <c r="AK2563" i="30"/>
  <c r="AK2562" i="30"/>
  <c r="AK2561" i="30"/>
  <c r="AK2560" i="30"/>
  <c r="AK2559" i="30"/>
  <c r="AK2558" i="30"/>
  <c r="AK2557" i="30"/>
  <c r="AK2556" i="30"/>
  <c r="AK2555" i="30"/>
  <c r="AK2554" i="30"/>
  <c r="AK2553" i="30"/>
  <c r="AK2552" i="30"/>
  <c r="AK2551" i="30"/>
  <c r="AK2550" i="30"/>
  <c r="AK2549" i="30"/>
  <c r="AK2548" i="30"/>
  <c r="AK2547" i="30"/>
  <c r="AK2546" i="30"/>
  <c r="AK2545" i="30"/>
  <c r="AK2544" i="30"/>
  <c r="AK2543" i="30"/>
  <c r="AK2542" i="30"/>
  <c r="AK2541" i="30"/>
  <c r="AK2540" i="30"/>
  <c r="AK2539" i="30"/>
  <c r="AK2538" i="30"/>
  <c r="AK2537" i="30"/>
  <c r="AK2536" i="30"/>
  <c r="AK2535" i="30"/>
  <c r="AK2534" i="30"/>
  <c r="AK2533" i="30"/>
  <c r="AK2532" i="30"/>
  <c r="AK2531" i="30"/>
  <c r="AK2530" i="30"/>
  <c r="AK2529" i="30"/>
  <c r="AK2528" i="30"/>
  <c r="AK2527" i="30"/>
  <c r="AK2526" i="30"/>
  <c r="AK2525" i="30"/>
  <c r="AK2524" i="30"/>
  <c r="AK2523" i="30"/>
  <c r="AK2522" i="30"/>
  <c r="AK2521" i="30"/>
  <c r="AK2520" i="30"/>
  <c r="AK2519" i="30"/>
  <c r="AK2518" i="30"/>
  <c r="AK2517" i="30"/>
  <c r="AK2516" i="30"/>
  <c r="AK2515" i="30"/>
  <c r="AK2514" i="30"/>
  <c r="AK2513" i="30"/>
  <c r="AK2512" i="30"/>
  <c r="AK2511" i="30"/>
  <c r="AK2510" i="30"/>
  <c r="AK2509" i="30"/>
  <c r="AK2508" i="30"/>
  <c r="AK2507" i="30"/>
  <c r="AK2506" i="30"/>
  <c r="AK2505" i="30"/>
  <c r="AK2504" i="30"/>
  <c r="AK2503" i="30"/>
  <c r="AK2502" i="30"/>
  <c r="AK2501" i="30"/>
  <c r="AK2500" i="30"/>
  <c r="AK2499" i="30"/>
  <c r="AK2498" i="30"/>
  <c r="AK2497" i="30"/>
  <c r="AK2496" i="30"/>
  <c r="AK2495" i="30"/>
  <c r="AK2494" i="30"/>
  <c r="AK2493" i="30"/>
  <c r="AK2492" i="30"/>
  <c r="AK2491" i="30"/>
  <c r="AK2490" i="30"/>
  <c r="AK2489" i="30"/>
  <c r="AK2488" i="30"/>
  <c r="AK2487" i="30"/>
  <c r="AK2486" i="30"/>
  <c r="AK2485" i="30"/>
  <c r="AK2484" i="30"/>
  <c r="AK2483" i="30"/>
  <c r="AK2482" i="30"/>
  <c r="AK2481" i="30"/>
  <c r="AK2480" i="30"/>
  <c r="AK2479" i="30"/>
  <c r="AK2478" i="30"/>
  <c r="AK2477" i="30"/>
  <c r="AK2476" i="30"/>
  <c r="AK2475" i="30"/>
  <c r="AK2474" i="30"/>
  <c r="AK2473" i="30"/>
  <c r="AK2472" i="30"/>
  <c r="AK2471" i="30"/>
  <c r="AK2470" i="30"/>
  <c r="AK2469" i="30"/>
  <c r="AK2468" i="30"/>
  <c r="AK2467" i="30"/>
  <c r="AK2466" i="30"/>
  <c r="AK2465" i="30"/>
  <c r="AK2464" i="30"/>
  <c r="AK2463" i="30"/>
  <c r="AK2462" i="30"/>
  <c r="AK2461" i="30"/>
  <c r="AK2460" i="30"/>
  <c r="AK2459" i="30"/>
  <c r="AK2458" i="30"/>
  <c r="AK2457" i="30"/>
  <c r="AK2456" i="30"/>
  <c r="AK2455" i="30"/>
  <c r="AK2454" i="30"/>
  <c r="AK2453" i="30"/>
  <c r="AK2452" i="30"/>
  <c r="AK2451" i="30"/>
  <c r="AK2450" i="30"/>
  <c r="AK2449" i="30"/>
  <c r="AK2448" i="30"/>
  <c r="AK2447" i="30"/>
  <c r="AK2446" i="30"/>
  <c r="AK2445" i="30"/>
  <c r="AK2444" i="30"/>
  <c r="AK2443" i="30"/>
  <c r="AK2442" i="30"/>
  <c r="AK2441" i="30"/>
  <c r="AK2440" i="30"/>
  <c r="AK2439" i="30"/>
  <c r="AK2438" i="30"/>
  <c r="AK2437" i="30"/>
  <c r="AK2436" i="30"/>
  <c r="AK2435" i="30"/>
  <c r="AK2434" i="30"/>
  <c r="AK2433" i="30"/>
  <c r="AK2432" i="30"/>
  <c r="AK2431" i="30"/>
  <c r="AK2430" i="30"/>
  <c r="AK2429" i="30"/>
  <c r="AK2428" i="30"/>
  <c r="AK2427" i="30"/>
  <c r="AK2426" i="30"/>
  <c r="AK2425" i="30"/>
  <c r="AK2424" i="30"/>
  <c r="AK2423" i="30"/>
  <c r="AK2422" i="30"/>
  <c r="AK2421" i="30"/>
  <c r="AK2420" i="30"/>
  <c r="AK2419" i="30"/>
  <c r="AK2418" i="30"/>
  <c r="AK2417" i="30"/>
  <c r="AK2416" i="30"/>
  <c r="AK2415" i="30"/>
  <c r="AK2414" i="30"/>
  <c r="AK2413" i="30"/>
  <c r="AK2412" i="30"/>
  <c r="AK2411" i="30"/>
  <c r="AK2410" i="30"/>
  <c r="AK2409" i="30"/>
  <c r="AK2408" i="30"/>
  <c r="AK2407" i="30"/>
  <c r="AK2406" i="30"/>
  <c r="AK2405" i="30"/>
  <c r="AK2404" i="30"/>
  <c r="AK2403" i="30"/>
  <c r="AK2402" i="30"/>
  <c r="AK2401" i="30"/>
  <c r="AK2400" i="30"/>
  <c r="AK2399" i="30"/>
  <c r="AK2398" i="30"/>
  <c r="AK2397" i="30"/>
  <c r="AK2396" i="30"/>
  <c r="AK2395" i="30"/>
  <c r="AK2394" i="30"/>
  <c r="AK2393" i="30"/>
  <c r="AK2392" i="30"/>
  <c r="AK2391" i="30"/>
  <c r="AK2390" i="30"/>
  <c r="AK2389" i="30"/>
  <c r="AK2388" i="30"/>
  <c r="AK2387" i="30"/>
  <c r="AK2386" i="30"/>
  <c r="AK2385" i="30"/>
  <c r="AK2384" i="30"/>
  <c r="AK2383" i="30"/>
  <c r="AK2382" i="30"/>
  <c r="AK2381" i="30"/>
  <c r="AK2380" i="30"/>
  <c r="AK2379" i="30"/>
  <c r="AK2378" i="30"/>
  <c r="AK2377" i="30"/>
  <c r="AK2376" i="30"/>
  <c r="AK2375" i="30"/>
  <c r="AK2374" i="30"/>
  <c r="AK2373" i="30"/>
  <c r="AK2372" i="30"/>
  <c r="AK2371" i="30"/>
  <c r="AK2370" i="30"/>
  <c r="AK2369" i="30"/>
  <c r="AK2368" i="30"/>
  <c r="AK2367" i="30"/>
  <c r="AK2366" i="30"/>
  <c r="AK2365" i="30"/>
  <c r="AK2364" i="30"/>
  <c r="AK2363" i="30"/>
  <c r="AK2362" i="30"/>
  <c r="AK2361" i="30"/>
  <c r="AK2360" i="30"/>
  <c r="AK2359" i="30"/>
  <c r="AK2358" i="30"/>
  <c r="AK2357" i="30"/>
  <c r="AK2356" i="30"/>
  <c r="AK2355" i="30"/>
  <c r="AK2354" i="30"/>
  <c r="AK2353" i="30"/>
  <c r="AK2352" i="30"/>
  <c r="AK2351" i="30"/>
  <c r="AK2350" i="30"/>
  <c r="AK2349" i="30"/>
  <c r="AK2348" i="30"/>
  <c r="AK2347" i="30"/>
  <c r="AK2346" i="30"/>
  <c r="AK2345" i="30"/>
  <c r="AK2344" i="30"/>
  <c r="AK2343" i="30"/>
  <c r="AK2342" i="30"/>
  <c r="AK2341" i="30"/>
  <c r="AK2340" i="30"/>
  <c r="AK2339" i="30"/>
  <c r="AK2338" i="30"/>
  <c r="AK2337" i="30"/>
  <c r="AK2336" i="30"/>
  <c r="AK2335" i="30"/>
  <c r="AK2334" i="30"/>
  <c r="AK2333" i="30"/>
  <c r="AK2332" i="30"/>
  <c r="AK2331" i="30"/>
  <c r="AK2330" i="30"/>
  <c r="AK2329" i="30"/>
  <c r="AK2328" i="30"/>
  <c r="AK2327" i="30"/>
  <c r="AK2326" i="30"/>
  <c r="AK2325" i="30"/>
  <c r="AK2324" i="30"/>
  <c r="AK2323" i="30"/>
  <c r="AK2322" i="30"/>
  <c r="AK2321" i="30"/>
  <c r="AK2320" i="30"/>
  <c r="AK2319" i="30"/>
  <c r="AK2318" i="30"/>
  <c r="AK2317" i="30"/>
  <c r="AK2316" i="30"/>
  <c r="AK2315" i="30"/>
  <c r="AK2314" i="30"/>
  <c r="AK2313" i="30"/>
  <c r="AK2312" i="30"/>
  <c r="AK2311" i="30"/>
  <c r="AK2310" i="30"/>
  <c r="AK2309" i="30"/>
  <c r="AK2308" i="30"/>
  <c r="AK2307" i="30"/>
  <c r="AK2306" i="30"/>
  <c r="AK2305" i="30"/>
  <c r="AK2304" i="30"/>
  <c r="AK2303" i="30"/>
  <c r="AK2302" i="30"/>
  <c r="AK2301" i="30"/>
  <c r="AK2300" i="30"/>
  <c r="AK2299" i="30"/>
  <c r="AK2298" i="30"/>
  <c r="AK2297" i="30"/>
  <c r="AK2296" i="30"/>
  <c r="AK2295" i="30"/>
  <c r="AK2294" i="30"/>
  <c r="AK2293" i="30"/>
  <c r="AK2292" i="30"/>
  <c r="AK2291" i="30"/>
  <c r="AK2290" i="30"/>
  <c r="AK2289" i="30"/>
  <c r="AK2288" i="30"/>
  <c r="AK2287" i="30"/>
  <c r="AK2286" i="30"/>
  <c r="AK2285" i="30"/>
  <c r="AK2284" i="30"/>
  <c r="AK2283" i="30"/>
  <c r="AK2282" i="30"/>
  <c r="AK2281" i="30"/>
  <c r="AK2280" i="30"/>
  <c r="AK2279" i="30"/>
  <c r="AK2278" i="30"/>
  <c r="AK2277" i="30"/>
  <c r="AK2276" i="30"/>
  <c r="AK2275" i="30"/>
  <c r="AK2274" i="30"/>
  <c r="AK2273" i="30"/>
  <c r="AK2272" i="30"/>
  <c r="AK2271" i="30"/>
  <c r="AK2270" i="30"/>
  <c r="AK2269" i="30"/>
  <c r="AK2268" i="30"/>
  <c r="AK2267" i="30"/>
  <c r="AK2266" i="30"/>
  <c r="AK2265" i="30"/>
  <c r="AK2264" i="30"/>
  <c r="AK2263" i="30"/>
  <c r="AK2262" i="30"/>
  <c r="AK2261" i="30"/>
  <c r="AK2260" i="30"/>
  <c r="AK2259" i="30"/>
  <c r="AK2258" i="30"/>
  <c r="AK2257" i="30"/>
  <c r="AK2256" i="30"/>
  <c r="AK2255" i="30"/>
  <c r="AK2254" i="30"/>
  <c r="AK2253" i="30"/>
  <c r="AK2252" i="30"/>
  <c r="AK2251" i="30"/>
  <c r="AK2250" i="30"/>
  <c r="AK2249" i="30"/>
  <c r="AK2248" i="30"/>
  <c r="AK2247" i="30"/>
  <c r="AK2246" i="30"/>
  <c r="AK2245" i="30"/>
  <c r="AK2244" i="30"/>
  <c r="AK2243" i="30"/>
  <c r="AK2242" i="30"/>
  <c r="AK2241" i="30"/>
  <c r="AK2240" i="30"/>
  <c r="AK2239" i="30"/>
  <c r="AK2238" i="30"/>
  <c r="AK2237" i="30"/>
  <c r="AK2236" i="30"/>
  <c r="AK2235" i="30"/>
  <c r="AK2234" i="30"/>
  <c r="AK2233" i="30"/>
  <c r="AK2232" i="30"/>
  <c r="AK2231" i="30"/>
  <c r="AK2230" i="30"/>
  <c r="AK2229" i="30"/>
  <c r="AK2228" i="30"/>
  <c r="AK2227" i="30"/>
  <c r="AK2226" i="30"/>
  <c r="AK2225" i="30"/>
  <c r="AK2224" i="30"/>
  <c r="AK2223" i="30"/>
  <c r="AK2222" i="30"/>
  <c r="AK2221" i="30"/>
  <c r="AK2220" i="30"/>
  <c r="AK2219" i="30"/>
  <c r="AK2218" i="30"/>
  <c r="AK2217" i="30"/>
  <c r="AK2216" i="30"/>
  <c r="AK2215" i="30"/>
  <c r="AK2214" i="30"/>
  <c r="AK2213" i="30"/>
  <c r="AK2212" i="30"/>
  <c r="AK2211" i="30"/>
  <c r="AK2210" i="30"/>
  <c r="AK2209" i="30"/>
  <c r="AK2208" i="30"/>
  <c r="AK2207" i="30"/>
  <c r="AK2206" i="30"/>
  <c r="AK2205" i="30"/>
  <c r="AK2204" i="30"/>
  <c r="AK2203" i="30"/>
  <c r="AK2202" i="30"/>
  <c r="AK2201" i="30"/>
  <c r="AK2200" i="30"/>
  <c r="AK2199" i="30"/>
  <c r="AK2198" i="30"/>
  <c r="AK2197" i="30"/>
  <c r="AK2196" i="30"/>
  <c r="AK2195" i="30"/>
  <c r="AK2194" i="30"/>
  <c r="AK2193" i="30"/>
  <c r="AK2192" i="30"/>
  <c r="AK2191" i="30"/>
  <c r="AK2190" i="30"/>
  <c r="AK2189" i="30"/>
  <c r="AK2188" i="30"/>
  <c r="AK2187" i="30"/>
  <c r="AK2186" i="30"/>
  <c r="AK2185" i="30"/>
  <c r="AK2184" i="30"/>
  <c r="AK2183" i="30"/>
  <c r="AK2182" i="30"/>
  <c r="AK2181" i="30"/>
  <c r="AK2180" i="30"/>
  <c r="AK2179" i="30"/>
  <c r="AK2178" i="30"/>
  <c r="AK2177" i="30"/>
  <c r="AK2176" i="30"/>
  <c r="AK2175" i="30"/>
  <c r="AK2174" i="30"/>
  <c r="AK2173" i="30"/>
  <c r="AK2172" i="30"/>
  <c r="AK2171" i="30"/>
  <c r="AK2170" i="30"/>
  <c r="AK2169" i="30"/>
  <c r="AK2168" i="30"/>
  <c r="AK2167" i="30"/>
  <c r="AK2166" i="30"/>
  <c r="AK2165" i="30"/>
  <c r="AK2164" i="30"/>
  <c r="AK2163" i="30"/>
  <c r="AK2162" i="30"/>
  <c r="AK2161" i="30"/>
  <c r="AK2160" i="30"/>
  <c r="AK2159" i="30"/>
  <c r="AK2158" i="30"/>
  <c r="AK2157" i="30"/>
  <c r="AK2156" i="30"/>
  <c r="AK2155" i="30"/>
  <c r="AK2154" i="30"/>
  <c r="AK2153" i="30"/>
  <c r="AK2152" i="30"/>
  <c r="AK2151" i="30"/>
  <c r="AK2150" i="30"/>
  <c r="AK2149" i="30"/>
  <c r="AK2148" i="30"/>
  <c r="AK2147" i="30"/>
  <c r="AK2146" i="30"/>
  <c r="AK2145" i="30"/>
  <c r="AK2144" i="30"/>
  <c r="AK2143" i="30"/>
  <c r="AK2142" i="30"/>
  <c r="AK2141" i="30"/>
  <c r="AK2140" i="30"/>
  <c r="AK2139" i="30"/>
  <c r="AK2138" i="30"/>
  <c r="AK2137" i="30"/>
  <c r="AK2136" i="30"/>
  <c r="AK2135" i="30"/>
  <c r="AK2134" i="30"/>
  <c r="AK2133" i="30"/>
  <c r="AK2132" i="30"/>
  <c r="AK2131" i="30"/>
  <c r="AK2130" i="30"/>
  <c r="AK2129" i="30"/>
  <c r="AK2128" i="30"/>
  <c r="AK2127" i="30"/>
  <c r="AK2126" i="30"/>
  <c r="AK2125" i="30"/>
  <c r="AK2124" i="30"/>
  <c r="AK2123" i="30"/>
  <c r="AK2122" i="30"/>
  <c r="AK2121" i="30"/>
  <c r="AK2120" i="30"/>
  <c r="AK2119" i="30"/>
  <c r="AK2118" i="30"/>
  <c r="AK2117" i="30"/>
  <c r="AK2116" i="30"/>
  <c r="AK2115" i="30"/>
  <c r="AK2114" i="30"/>
  <c r="AK2113" i="30"/>
  <c r="AK2112" i="30"/>
  <c r="AK2111" i="30"/>
  <c r="AK2110" i="30"/>
  <c r="AK2109" i="30"/>
  <c r="AK2108" i="30"/>
  <c r="AK2107" i="30"/>
  <c r="AK2106" i="30"/>
  <c r="AK2105" i="30"/>
  <c r="AK2104" i="30"/>
  <c r="AK2103" i="30"/>
  <c r="AK2102" i="30"/>
  <c r="AK2101" i="30"/>
  <c r="AK2100" i="30"/>
  <c r="AK2099" i="30"/>
  <c r="AK2098" i="30"/>
  <c r="AK2097" i="30"/>
  <c r="AK2096" i="30"/>
  <c r="AK2095" i="30"/>
  <c r="AK2094" i="30"/>
  <c r="AK2093" i="30"/>
  <c r="AK2092" i="30"/>
  <c r="AK2091" i="30"/>
  <c r="AK2090" i="30"/>
  <c r="AK2089" i="30"/>
  <c r="AK2088" i="30"/>
  <c r="AK2087" i="30"/>
  <c r="AK2086" i="30"/>
  <c r="AK2085" i="30"/>
  <c r="AK2084" i="30"/>
  <c r="AK2083" i="30"/>
  <c r="AK2082" i="30"/>
  <c r="AK2081" i="30"/>
  <c r="AK2080" i="30"/>
  <c r="AK2079" i="30"/>
  <c r="AK2078" i="30"/>
  <c r="AK2077" i="30"/>
  <c r="AK2076" i="30"/>
  <c r="AK2075" i="30"/>
  <c r="AK2074" i="30"/>
  <c r="AK2073" i="30"/>
  <c r="AK2072" i="30"/>
  <c r="AK2071" i="30"/>
  <c r="AK2070" i="30"/>
  <c r="AK2069" i="30"/>
  <c r="AK2068" i="30"/>
  <c r="AK2067" i="30"/>
  <c r="AK2066" i="30"/>
  <c r="AK2065" i="30"/>
  <c r="AK2064" i="30"/>
  <c r="AK2063" i="30"/>
  <c r="AK2062" i="30"/>
  <c r="AK2061" i="30"/>
  <c r="AK2060" i="30"/>
  <c r="AK2059" i="30"/>
  <c r="AK2058" i="30"/>
  <c r="AK2057" i="30"/>
  <c r="AK2056" i="30"/>
  <c r="AK2055" i="30"/>
  <c r="AK2054" i="30"/>
  <c r="AK2053" i="30"/>
  <c r="AK2052" i="30"/>
  <c r="AK2051" i="30"/>
  <c r="AK2050" i="30"/>
  <c r="AK2049" i="30"/>
  <c r="AK2048" i="30"/>
  <c r="AK2047" i="30"/>
  <c r="AK2046" i="30"/>
  <c r="AK2045" i="30"/>
  <c r="AK2044" i="30"/>
  <c r="AK2043" i="30"/>
  <c r="AK2042" i="30"/>
  <c r="AK2041" i="30"/>
  <c r="AK2040" i="30"/>
  <c r="AK2039" i="30"/>
  <c r="AK2038" i="30"/>
  <c r="AK2037" i="30"/>
  <c r="AK2036" i="30"/>
  <c r="AK2035" i="30"/>
  <c r="AK2034" i="30"/>
  <c r="AK2033" i="30"/>
  <c r="AK2032" i="30"/>
  <c r="AK2031" i="30"/>
  <c r="AK2030" i="30"/>
  <c r="AK2029" i="30"/>
  <c r="AK2028" i="30"/>
  <c r="AK2027" i="30"/>
  <c r="AK2026" i="30"/>
  <c r="AK2025" i="30"/>
  <c r="AK2024" i="30"/>
  <c r="AK2023" i="30"/>
  <c r="AK2022" i="30"/>
  <c r="AK2021" i="30"/>
  <c r="AK2020" i="30"/>
  <c r="AK2019" i="30"/>
  <c r="AK2018" i="30"/>
  <c r="AK2017" i="30"/>
  <c r="AK2016" i="30"/>
  <c r="AK2015" i="30"/>
  <c r="AK2014" i="30"/>
  <c r="AK2013" i="30"/>
  <c r="AK2012" i="30"/>
  <c r="AK2011" i="30"/>
  <c r="AK2010" i="30"/>
  <c r="AK2009" i="30"/>
  <c r="AK2008" i="30"/>
  <c r="AK2007" i="30"/>
  <c r="AK2006" i="30"/>
  <c r="AK2005" i="30"/>
  <c r="AK2004" i="30"/>
  <c r="AK2003" i="30"/>
  <c r="AK2002" i="30"/>
  <c r="AK2001" i="30"/>
  <c r="AK2000" i="30"/>
  <c r="AK1999" i="30"/>
  <c r="AK1998" i="30"/>
  <c r="AK1997" i="30"/>
  <c r="AK1996" i="30"/>
  <c r="AK1995" i="30"/>
  <c r="AK1994" i="30"/>
  <c r="AK1993" i="30"/>
  <c r="AK1992" i="30"/>
  <c r="AK1991" i="30"/>
  <c r="AK1990" i="30"/>
  <c r="AK1989" i="30"/>
  <c r="AK1988" i="30"/>
  <c r="AK1987" i="30"/>
  <c r="AK1986" i="30"/>
  <c r="AK1985" i="30"/>
  <c r="AK1984" i="30"/>
  <c r="AK1983" i="30"/>
  <c r="AK1982" i="30"/>
  <c r="AK1981" i="30"/>
  <c r="AK1980" i="30"/>
  <c r="AK1979" i="30"/>
  <c r="AK1978" i="30"/>
  <c r="AK1977" i="30"/>
  <c r="AK1976" i="30"/>
  <c r="AK1975" i="30"/>
  <c r="AK1974" i="30"/>
  <c r="AK1973" i="30"/>
  <c r="AK1972" i="30"/>
  <c r="AK1971" i="30"/>
  <c r="AK1970" i="30"/>
  <c r="AK1969" i="30"/>
  <c r="AK1968" i="30"/>
  <c r="AK1967" i="30"/>
  <c r="AK1966" i="30"/>
  <c r="AK1965" i="30"/>
  <c r="AK1964" i="30"/>
  <c r="AK1963" i="30"/>
  <c r="AK1962" i="30"/>
  <c r="AK1961" i="30"/>
  <c r="AK1960" i="30"/>
  <c r="AK1959" i="30"/>
  <c r="AK1958" i="30"/>
  <c r="AK1957" i="30"/>
  <c r="AK1956" i="30"/>
  <c r="AK1955" i="30"/>
  <c r="AK1954" i="30"/>
  <c r="AK1953" i="30"/>
  <c r="AK1952" i="30"/>
  <c r="AK1951" i="30"/>
  <c r="AK1950" i="30"/>
  <c r="AK1949" i="30"/>
  <c r="AK1948" i="30"/>
  <c r="AK1947" i="30"/>
  <c r="AK1946" i="30"/>
  <c r="AK1945" i="30"/>
  <c r="AK1944" i="30"/>
  <c r="AK1943" i="30"/>
  <c r="AK1942" i="30"/>
  <c r="AK1941" i="30"/>
  <c r="AK1940" i="30"/>
  <c r="AK1939" i="30"/>
  <c r="AK1938" i="30"/>
  <c r="AK1937" i="30"/>
  <c r="AK1936" i="30"/>
  <c r="AK1935" i="30"/>
  <c r="AK1934" i="30"/>
  <c r="AK1933" i="30"/>
  <c r="AK1932" i="30"/>
  <c r="AK1931" i="30"/>
  <c r="AK1930" i="30"/>
  <c r="AK1929" i="30"/>
  <c r="AK1928" i="30"/>
  <c r="AK1927" i="30"/>
  <c r="AK1926" i="30"/>
  <c r="AK1925" i="30"/>
  <c r="AK1924" i="30"/>
  <c r="AK1923" i="30"/>
  <c r="AK1922" i="30"/>
  <c r="AK1921" i="30"/>
  <c r="AK1920" i="30"/>
  <c r="AK1919" i="30"/>
  <c r="AK1918" i="30"/>
  <c r="AK1917" i="30"/>
  <c r="AK1916" i="30"/>
  <c r="AK1915" i="30"/>
  <c r="AK1914" i="30"/>
  <c r="AK1913" i="30"/>
  <c r="AK1912" i="30"/>
  <c r="AK1911" i="30"/>
  <c r="AK1910" i="30"/>
  <c r="AK1909" i="30"/>
  <c r="AK1908" i="30"/>
  <c r="AK1907" i="30"/>
  <c r="AK1906" i="30"/>
  <c r="AK1905" i="30"/>
  <c r="AK1904" i="30"/>
  <c r="AK1903" i="30"/>
  <c r="AK1902" i="30"/>
  <c r="AK1901" i="30"/>
  <c r="AK1900" i="30"/>
  <c r="AK1899" i="30"/>
  <c r="AK1898" i="30"/>
  <c r="AK1897" i="30"/>
  <c r="AK1896" i="30"/>
  <c r="AK1895" i="30"/>
  <c r="AK1894" i="30"/>
  <c r="AK1893" i="30"/>
  <c r="AK1892" i="30"/>
  <c r="AK1891" i="30"/>
  <c r="AK1890" i="30"/>
  <c r="AK1889" i="30"/>
  <c r="AK1888" i="30"/>
  <c r="AK1887" i="30"/>
  <c r="AK1886" i="30"/>
  <c r="AK1885" i="30"/>
  <c r="AK1884" i="30"/>
  <c r="AK1883" i="30"/>
  <c r="AK1882" i="30"/>
  <c r="AK1881" i="30"/>
  <c r="AK1880" i="30"/>
  <c r="AK1879" i="30"/>
  <c r="AK1878" i="30"/>
  <c r="AK1877" i="30"/>
  <c r="AK1876" i="30"/>
  <c r="AK1875" i="30"/>
  <c r="AK1874" i="30"/>
  <c r="AK1873" i="30"/>
  <c r="AK1872" i="30"/>
  <c r="AK1871" i="30"/>
  <c r="AK1870" i="30"/>
  <c r="AK1869" i="30"/>
  <c r="AK1868" i="30"/>
  <c r="AK1867" i="30"/>
  <c r="AK1866" i="30"/>
  <c r="AK1865" i="30"/>
  <c r="AK1864" i="30"/>
  <c r="AK1863" i="30"/>
  <c r="AK1862" i="30"/>
  <c r="AK1861" i="30"/>
  <c r="AK1860" i="30"/>
  <c r="AK1859" i="30"/>
  <c r="AK1858" i="30"/>
  <c r="AK1857" i="30"/>
  <c r="AK1856" i="30"/>
  <c r="AK1855" i="30"/>
  <c r="AK1854" i="30"/>
  <c r="AK1853" i="30"/>
  <c r="AK1852" i="30"/>
  <c r="AK1851" i="30"/>
  <c r="AK1850" i="30"/>
  <c r="AK1849" i="30"/>
  <c r="AK1848" i="30"/>
  <c r="AK1847" i="30"/>
  <c r="AK1846" i="30"/>
  <c r="AK1845" i="30"/>
  <c r="AK1844" i="30"/>
  <c r="AK1843" i="30"/>
  <c r="AK1842" i="30"/>
  <c r="AK1841" i="30"/>
  <c r="AK1840" i="30"/>
  <c r="AK1839" i="30"/>
  <c r="AK1838" i="30"/>
  <c r="AK1837" i="30"/>
  <c r="AK1836" i="30"/>
  <c r="AK1835" i="30"/>
  <c r="AK1834" i="30"/>
  <c r="AK1833" i="30"/>
  <c r="AK1832" i="30"/>
  <c r="AK1831" i="30"/>
  <c r="AK1830" i="30"/>
  <c r="AK1829" i="30"/>
  <c r="AK1828" i="30"/>
  <c r="AK1827" i="30"/>
  <c r="AK1826" i="30"/>
  <c r="AK1825" i="30"/>
  <c r="AK1824" i="30"/>
  <c r="AK1823" i="30"/>
  <c r="AK1822" i="30"/>
  <c r="AK1821" i="30"/>
  <c r="AK1820" i="30"/>
  <c r="AK1819" i="30"/>
  <c r="AK1818" i="30"/>
  <c r="AK1817" i="30"/>
  <c r="AK1816" i="30"/>
  <c r="AK1815" i="30"/>
  <c r="AK1814" i="30"/>
  <c r="AK1813" i="30"/>
  <c r="AK1812" i="30"/>
  <c r="AK1811" i="30"/>
  <c r="AK1810" i="30"/>
  <c r="AK1809" i="30"/>
  <c r="AK1808" i="30"/>
  <c r="AK1807" i="30"/>
  <c r="AK1806" i="30"/>
  <c r="AK1805" i="30"/>
  <c r="AK1804" i="30"/>
  <c r="AK1803" i="30"/>
  <c r="AK1802" i="30"/>
  <c r="AK1801" i="30"/>
  <c r="AK1800" i="30"/>
  <c r="AK1799" i="30"/>
  <c r="AK1798" i="30"/>
  <c r="AK1797" i="30"/>
  <c r="AK1796" i="30"/>
  <c r="AK1795" i="30"/>
  <c r="AK1794" i="30"/>
  <c r="AK1793" i="30"/>
  <c r="AK1792" i="30"/>
  <c r="AK1791" i="30"/>
  <c r="AK1790" i="30"/>
  <c r="AK1789" i="30"/>
  <c r="AK1788" i="30"/>
  <c r="AK1787" i="30"/>
  <c r="AK1786" i="30"/>
  <c r="AK1785" i="30"/>
  <c r="AK1784" i="30"/>
  <c r="AK1783" i="30"/>
  <c r="AK1782" i="30"/>
  <c r="AK1781" i="30"/>
  <c r="AK1780" i="30"/>
  <c r="AK1779" i="30"/>
  <c r="AK1778" i="30"/>
  <c r="AK1777" i="30"/>
  <c r="AK1776" i="30"/>
  <c r="AK1775" i="30"/>
  <c r="AK1774" i="30"/>
  <c r="AK1773" i="30"/>
  <c r="AK1772" i="30"/>
  <c r="AK1771" i="30"/>
  <c r="AK1770" i="30"/>
  <c r="AK1769" i="30"/>
  <c r="AK1768" i="30"/>
  <c r="AK1767" i="30"/>
  <c r="AK1766" i="30"/>
  <c r="AK1765" i="30"/>
  <c r="AK1764" i="30"/>
  <c r="AK1763" i="30"/>
  <c r="AK1762" i="30"/>
  <c r="AK1761" i="30"/>
  <c r="AK1760" i="30"/>
  <c r="AK1759" i="30"/>
  <c r="AK1758" i="30"/>
  <c r="AK1757" i="30"/>
  <c r="AK1756" i="30"/>
  <c r="AK1755" i="30"/>
  <c r="AK1754" i="30"/>
  <c r="AK1753" i="30"/>
  <c r="AK1752" i="30"/>
  <c r="AK1751" i="30"/>
  <c r="AK1750" i="30"/>
  <c r="AK1749" i="30"/>
  <c r="AK1748" i="30"/>
  <c r="AK1747" i="30"/>
  <c r="AK1746" i="30"/>
  <c r="AK1745" i="30"/>
  <c r="AK1744" i="30"/>
  <c r="AK1743" i="30"/>
  <c r="AK1742" i="30"/>
  <c r="AK1741" i="30"/>
  <c r="AK1740" i="30"/>
  <c r="AK1739" i="30"/>
  <c r="AK1738" i="30"/>
  <c r="AK1737" i="30"/>
  <c r="AK1736" i="30"/>
  <c r="AK1735" i="30"/>
  <c r="AK1734" i="30"/>
  <c r="AK1733" i="30"/>
  <c r="AK1732" i="30"/>
  <c r="AK1731" i="30"/>
  <c r="AK1730" i="30"/>
  <c r="AK1729" i="30"/>
  <c r="AK1728" i="30"/>
  <c r="AK1727" i="30"/>
  <c r="AK1726" i="30"/>
  <c r="AK1725" i="30"/>
  <c r="AK1724" i="30"/>
  <c r="AK1723" i="30"/>
  <c r="AK1722" i="30"/>
  <c r="AK1721" i="30"/>
  <c r="AK1720" i="30"/>
  <c r="AK1719" i="30"/>
  <c r="AK1718" i="30"/>
  <c r="AK1717" i="30"/>
  <c r="AK1716" i="30"/>
  <c r="AK1715" i="30"/>
  <c r="AK1714" i="30"/>
  <c r="AK1713" i="30"/>
  <c r="AK1712" i="30"/>
  <c r="AK1711" i="30"/>
  <c r="AK1710" i="30"/>
  <c r="AK1709" i="30"/>
  <c r="AK1708" i="30"/>
  <c r="AK1707" i="30"/>
  <c r="AK1706" i="30"/>
  <c r="AK1705" i="30"/>
  <c r="AK1704" i="30"/>
  <c r="AK1703" i="30"/>
  <c r="AK1702" i="30"/>
  <c r="AK1701" i="30"/>
  <c r="AK1700" i="30"/>
  <c r="AK1699" i="30"/>
  <c r="AK1698" i="30"/>
  <c r="AK1697" i="30"/>
  <c r="AK1696" i="30"/>
  <c r="AK1695" i="30"/>
  <c r="AK1694" i="30"/>
  <c r="AK1693" i="30"/>
  <c r="AK1692" i="30"/>
  <c r="AK1691" i="30"/>
  <c r="AK1690" i="30"/>
  <c r="AK1689" i="30"/>
  <c r="AK1688" i="30"/>
  <c r="AK1687" i="30"/>
  <c r="AK1686" i="30"/>
  <c r="AK1685" i="30"/>
  <c r="AK1684" i="30"/>
  <c r="AK1683" i="30"/>
  <c r="AK1682" i="30"/>
  <c r="AK1681" i="30"/>
  <c r="AK1680" i="30"/>
  <c r="AK1679" i="30"/>
  <c r="AK1678" i="30"/>
  <c r="AK1677" i="30"/>
  <c r="AK1676" i="30"/>
  <c r="AK1675" i="30"/>
  <c r="AK1674" i="30"/>
  <c r="AK1673" i="30"/>
  <c r="AK1672" i="30"/>
  <c r="AK1671" i="30"/>
  <c r="AK1670" i="30"/>
  <c r="AK1669" i="30"/>
  <c r="AK1668" i="30"/>
  <c r="AK1667" i="30"/>
  <c r="AK1666" i="30"/>
  <c r="AK1665" i="30"/>
  <c r="AK1664" i="30"/>
  <c r="AK1663" i="30"/>
  <c r="AK1662" i="30"/>
  <c r="AK1661" i="30"/>
  <c r="AK1660" i="30"/>
  <c r="AK1659" i="30"/>
  <c r="AK1658" i="30"/>
  <c r="AK1657" i="30"/>
  <c r="AK1656" i="30"/>
  <c r="AK1655" i="30"/>
  <c r="AK1654" i="30"/>
  <c r="AK1653" i="30"/>
  <c r="AK1652" i="30"/>
  <c r="AK1651" i="30"/>
  <c r="AK1650" i="30"/>
  <c r="AK1649" i="30"/>
  <c r="AK1648" i="30"/>
  <c r="AK1647" i="30"/>
  <c r="AK1646" i="30"/>
  <c r="AK1645" i="30"/>
  <c r="AK1644" i="30"/>
  <c r="AK1643" i="30"/>
  <c r="AK1642" i="30"/>
  <c r="AK1641" i="30"/>
  <c r="AK1640" i="30"/>
  <c r="AK1639" i="30"/>
  <c r="AK1638" i="30"/>
  <c r="AK1637" i="30"/>
  <c r="AK1636" i="30"/>
  <c r="AK1635" i="30"/>
  <c r="AK1634" i="30"/>
  <c r="AK1633" i="30"/>
  <c r="AK1632" i="30"/>
  <c r="AK1631" i="30"/>
  <c r="AK1630" i="30"/>
  <c r="AK1629" i="30"/>
  <c r="AK1628" i="30"/>
  <c r="AK1627" i="30"/>
  <c r="AK1626" i="30"/>
  <c r="AK1625" i="30"/>
  <c r="AK1624" i="30"/>
  <c r="AK1623" i="30"/>
  <c r="AK1622" i="30"/>
  <c r="AK1621" i="30"/>
  <c r="AK1620" i="30"/>
  <c r="AK1619" i="30"/>
  <c r="AK1618" i="30"/>
  <c r="AK1617" i="30"/>
  <c r="AK1616" i="30"/>
  <c r="AK1615" i="30"/>
  <c r="AK1614" i="30"/>
  <c r="AK1613" i="30"/>
  <c r="AK1612" i="30"/>
  <c r="AK1611" i="30"/>
  <c r="AK1610" i="30"/>
  <c r="AK1609" i="30"/>
  <c r="AK1608" i="30"/>
  <c r="AK1607" i="30"/>
  <c r="AK1606" i="30"/>
  <c r="AK1605" i="30"/>
  <c r="AK1604" i="30"/>
  <c r="AK1603" i="30"/>
  <c r="AK1602" i="30"/>
  <c r="AK1601" i="30"/>
  <c r="AK1600" i="30"/>
  <c r="AK1599" i="30"/>
  <c r="AK1598" i="30"/>
  <c r="AK1597" i="30"/>
  <c r="AK1596" i="30"/>
  <c r="AK1595" i="30"/>
  <c r="AK1594" i="30"/>
  <c r="AK1593" i="30"/>
  <c r="AK1592" i="30"/>
  <c r="AK1591" i="30"/>
  <c r="AK1590" i="30"/>
  <c r="AK1589" i="30"/>
  <c r="AK1588" i="30"/>
  <c r="AK1587" i="30"/>
  <c r="AK1586" i="30"/>
  <c r="AK1585" i="30"/>
  <c r="AK1584" i="30"/>
  <c r="AK1583" i="30"/>
  <c r="AK1582" i="30"/>
  <c r="AK1581" i="30"/>
  <c r="AK1580" i="30"/>
  <c r="AK1579" i="30"/>
  <c r="AK1578" i="30"/>
  <c r="AK1577" i="30"/>
  <c r="AK1576" i="30"/>
  <c r="AK1575" i="30"/>
  <c r="AK1574" i="30"/>
  <c r="AK1573" i="30"/>
  <c r="AK1572" i="30"/>
  <c r="AK1571" i="30"/>
  <c r="AK1570" i="30"/>
  <c r="AK1569" i="30"/>
  <c r="AK1568" i="30"/>
  <c r="AK1567" i="30"/>
  <c r="AK1566" i="30"/>
  <c r="AK1565" i="30"/>
  <c r="AK1564" i="30"/>
  <c r="AK1563" i="30"/>
  <c r="AK1562" i="30"/>
  <c r="AK1561" i="30"/>
  <c r="AK1560" i="30"/>
  <c r="AK1559" i="30"/>
  <c r="AK1558" i="30"/>
  <c r="AK1557" i="30"/>
  <c r="AK1556" i="30"/>
  <c r="AK1555" i="30"/>
  <c r="AK1554" i="30"/>
  <c r="AK1553" i="30"/>
  <c r="AK1552" i="30"/>
  <c r="AK1551" i="30"/>
  <c r="AK1550" i="30"/>
  <c r="AK1549" i="30"/>
  <c r="AK1548" i="30"/>
  <c r="AK1547" i="30"/>
  <c r="AK1546" i="30"/>
  <c r="AK1545" i="30"/>
  <c r="AK1544" i="30"/>
  <c r="AK1543" i="30"/>
  <c r="AK1542" i="30"/>
  <c r="AK1541" i="30"/>
  <c r="AK1540" i="30"/>
  <c r="AK1539" i="30"/>
  <c r="AK1538" i="30"/>
  <c r="AK1537" i="30"/>
  <c r="AK1536" i="30"/>
  <c r="AK1535" i="30"/>
  <c r="AK1534" i="30"/>
  <c r="AK1533" i="30"/>
  <c r="AK1532" i="30"/>
  <c r="AK1531" i="30"/>
  <c r="AK1530" i="30"/>
  <c r="AK1529" i="30"/>
  <c r="AK1528" i="30"/>
  <c r="AK1527" i="30"/>
  <c r="AK1526" i="30"/>
  <c r="AK1525" i="30"/>
  <c r="AK1524" i="30"/>
  <c r="AK1523" i="30"/>
  <c r="AK1522" i="30"/>
  <c r="AK1521" i="30"/>
  <c r="AK1520" i="30"/>
  <c r="AK1519" i="30"/>
  <c r="AK1518" i="30"/>
  <c r="AK1517" i="30"/>
  <c r="AK1516" i="30"/>
  <c r="AK1515" i="30"/>
  <c r="AK1514" i="30"/>
  <c r="AK1513" i="30"/>
  <c r="AK1512" i="30"/>
  <c r="AK1511" i="30"/>
  <c r="AK1510" i="30"/>
  <c r="AK1509" i="30"/>
  <c r="AK1508" i="30"/>
  <c r="AK1507" i="30"/>
  <c r="AK1506" i="30"/>
  <c r="AK1505" i="30"/>
  <c r="AK1504" i="30"/>
  <c r="AK1503" i="30"/>
  <c r="AK1502" i="30"/>
  <c r="AK1501" i="30"/>
  <c r="AK1500" i="30"/>
  <c r="AK1499" i="30"/>
  <c r="AK1498" i="30"/>
  <c r="AK1497" i="30"/>
  <c r="AK1496" i="30"/>
  <c r="AK1495" i="30"/>
  <c r="AK1494" i="30"/>
  <c r="AK1493" i="30"/>
  <c r="AK1492" i="30"/>
  <c r="AK1491" i="30"/>
  <c r="AK1490" i="30"/>
  <c r="AK1489" i="30"/>
  <c r="AK1488" i="30"/>
  <c r="AK1487" i="30"/>
  <c r="AK1486" i="30"/>
  <c r="AK1485" i="30"/>
  <c r="AK1484" i="30"/>
  <c r="AK1483" i="30"/>
  <c r="AK1482" i="30"/>
  <c r="AK1481" i="30"/>
  <c r="AK1480" i="30"/>
  <c r="AK1479" i="30"/>
  <c r="AK1478" i="30"/>
  <c r="AK1477" i="30"/>
  <c r="AK1476" i="30"/>
  <c r="AK1475" i="30"/>
  <c r="AK1474" i="30"/>
  <c r="AK1473" i="30"/>
  <c r="AK1472" i="30"/>
  <c r="AK1471" i="30"/>
  <c r="AK1470" i="30"/>
  <c r="AK1469" i="30"/>
  <c r="AK1468" i="30"/>
  <c r="AK1467" i="30"/>
  <c r="AK1466" i="30"/>
  <c r="AK1465" i="30"/>
  <c r="AK1464" i="30"/>
  <c r="AK1463" i="30"/>
  <c r="AK1462" i="30"/>
  <c r="AK1461" i="30"/>
  <c r="AK1460" i="30"/>
  <c r="AK1459" i="30"/>
  <c r="AK1458" i="30"/>
  <c r="AK1457" i="30"/>
  <c r="AK1456" i="30"/>
  <c r="AK1455" i="30"/>
  <c r="AK1454" i="30"/>
  <c r="AK1453" i="30"/>
  <c r="AK1452" i="30"/>
  <c r="AK1451" i="30"/>
  <c r="AK1450" i="30"/>
  <c r="AK1449" i="30"/>
  <c r="AK1448" i="30"/>
  <c r="AK1447" i="30"/>
  <c r="AK1446" i="30"/>
  <c r="AK1445" i="30"/>
  <c r="AK1444" i="30"/>
  <c r="AK1443" i="30"/>
  <c r="AK1442" i="30"/>
  <c r="AK1441" i="30"/>
  <c r="AK1440" i="30"/>
  <c r="AK1439" i="30"/>
  <c r="AK1438" i="30"/>
  <c r="AK1437" i="30"/>
  <c r="AK1436" i="30"/>
  <c r="AK1435" i="30"/>
  <c r="AK1434" i="30"/>
  <c r="AK1433" i="30"/>
  <c r="AK1432" i="30"/>
  <c r="AK1431" i="30"/>
  <c r="AK1430" i="30"/>
  <c r="AK1429" i="30"/>
  <c r="AK1428" i="30"/>
  <c r="AK1427" i="30"/>
  <c r="AK1426" i="30"/>
  <c r="AK1425" i="30"/>
  <c r="AK1424" i="30"/>
  <c r="AK1423" i="30"/>
  <c r="AK1422" i="30"/>
  <c r="AK1421" i="30"/>
  <c r="AK1420" i="30"/>
  <c r="AK1419" i="30"/>
  <c r="AK1418" i="30"/>
  <c r="AK1417" i="30"/>
  <c r="AK1416" i="30"/>
  <c r="AK1415" i="30"/>
  <c r="AK1414" i="30"/>
  <c r="AK1413" i="30"/>
  <c r="AK1412" i="30"/>
  <c r="AK1411" i="30"/>
  <c r="AK1410" i="30"/>
  <c r="AK1409" i="30"/>
  <c r="AK1408" i="30"/>
  <c r="AK1407" i="30"/>
  <c r="AK1406" i="30"/>
  <c r="AK1405" i="30"/>
  <c r="AK1404" i="30"/>
  <c r="AK1403" i="30"/>
  <c r="AK1402" i="30"/>
  <c r="AK1401" i="30"/>
  <c r="AK1400" i="30"/>
  <c r="AK1399" i="30"/>
  <c r="AK1398" i="30"/>
  <c r="AK1397" i="30"/>
  <c r="AK1396" i="30"/>
  <c r="AK1395" i="30"/>
  <c r="AK1394" i="30"/>
  <c r="AK1393" i="30"/>
  <c r="AK1392" i="30"/>
  <c r="AK1391" i="30"/>
  <c r="AK1390" i="30"/>
  <c r="AK1389" i="30"/>
  <c r="AK1388" i="30"/>
  <c r="AK1387" i="30"/>
  <c r="AK1386" i="30"/>
  <c r="AK1385" i="30"/>
  <c r="AK1384" i="30"/>
  <c r="AK1383" i="30"/>
  <c r="AK1382" i="30"/>
  <c r="AK1381" i="30"/>
  <c r="AK1380" i="30"/>
  <c r="AK1379" i="30"/>
  <c r="AK1378" i="30"/>
  <c r="AK1377" i="30"/>
  <c r="AK1376" i="30"/>
  <c r="AK1375" i="30"/>
  <c r="AK1374" i="30"/>
  <c r="AK1373" i="30"/>
  <c r="AK1372" i="30"/>
  <c r="AK1371" i="30"/>
  <c r="AK1370" i="30"/>
  <c r="AK1369" i="30"/>
  <c r="AK1368" i="30"/>
  <c r="AK1367" i="30"/>
  <c r="AK1366" i="30"/>
  <c r="AK1365" i="30"/>
  <c r="AK1364" i="30"/>
  <c r="AK1363" i="30"/>
  <c r="AK1362" i="30"/>
  <c r="AK1361" i="30"/>
  <c r="AK1360" i="30"/>
  <c r="AK1359" i="30"/>
  <c r="AK1358" i="30"/>
  <c r="AK1357" i="30"/>
  <c r="AK1356" i="30"/>
  <c r="AK1355" i="30"/>
  <c r="AK1354" i="30"/>
  <c r="AK1353" i="30"/>
  <c r="AK1352" i="30"/>
  <c r="AK1351" i="30"/>
  <c r="AK1350" i="30"/>
  <c r="AK1349" i="30"/>
  <c r="AK1348" i="30"/>
  <c r="AK1347" i="30"/>
  <c r="AK1346" i="30"/>
  <c r="AK1345" i="30"/>
  <c r="AK1344" i="30"/>
  <c r="AK1343" i="30"/>
  <c r="AK1342" i="30"/>
  <c r="AK1341" i="30"/>
  <c r="AK1340" i="30"/>
  <c r="AK1339" i="30"/>
  <c r="AK1338" i="30"/>
  <c r="AK1337" i="30"/>
  <c r="AK1336" i="30"/>
  <c r="AK1335" i="30"/>
  <c r="AK1334" i="30"/>
  <c r="AK1333" i="30"/>
  <c r="AK1332" i="30"/>
  <c r="AK1331" i="30"/>
  <c r="AK1330" i="30"/>
  <c r="AK1329" i="30"/>
  <c r="AK1328" i="30"/>
  <c r="AK1327" i="30"/>
  <c r="AK1326" i="30"/>
  <c r="AK1325" i="30"/>
  <c r="AK1324" i="30"/>
  <c r="AK1323" i="30"/>
  <c r="AK1322" i="30"/>
  <c r="AK1321" i="30"/>
  <c r="AK1320" i="30"/>
  <c r="AK1319" i="30"/>
  <c r="AK1318" i="30"/>
  <c r="AK1317" i="30"/>
  <c r="AK1316" i="30"/>
  <c r="AK1315" i="30"/>
  <c r="AK1314" i="30"/>
  <c r="AK1313" i="30"/>
  <c r="AK1312" i="30"/>
  <c r="AK1311" i="30"/>
  <c r="AK1310" i="30"/>
  <c r="AK1309" i="30"/>
  <c r="AK1308" i="30"/>
  <c r="AK1307" i="30"/>
  <c r="AK1306" i="30"/>
  <c r="AK1305" i="30"/>
  <c r="AK1304" i="30"/>
  <c r="AK1303" i="30"/>
  <c r="AK1302" i="30"/>
  <c r="AK1301" i="30"/>
  <c r="AK1300" i="30"/>
  <c r="AK1299" i="30"/>
  <c r="AK1298" i="30"/>
  <c r="AK1297" i="30"/>
  <c r="AK1296" i="30"/>
  <c r="AK1295" i="30"/>
  <c r="AK1294" i="30"/>
  <c r="AK1293" i="30"/>
  <c r="AK1292" i="30"/>
  <c r="AK1291" i="30"/>
  <c r="AK1290" i="30"/>
  <c r="AK1289" i="30"/>
  <c r="AK1288" i="30"/>
  <c r="AK1287" i="30"/>
  <c r="AK1286" i="30"/>
  <c r="AK1285" i="30"/>
  <c r="AK1284" i="30"/>
  <c r="AK1283" i="30"/>
  <c r="AK1282" i="30"/>
  <c r="AK1281" i="30"/>
  <c r="AK1280" i="30"/>
  <c r="AK1279" i="30"/>
  <c r="AK1278" i="30"/>
  <c r="AK1277" i="30"/>
  <c r="AK1276" i="30"/>
  <c r="AK1275" i="30"/>
  <c r="AK1274" i="30"/>
  <c r="AK1273" i="30"/>
  <c r="AK1272" i="30"/>
  <c r="AK1271" i="30"/>
  <c r="AK1270" i="30"/>
  <c r="AK1269" i="30"/>
  <c r="AK1268" i="30"/>
  <c r="AK1267" i="30"/>
  <c r="AK1266" i="30"/>
  <c r="AK1265" i="30"/>
  <c r="AK1264" i="30"/>
  <c r="AK1263" i="30"/>
  <c r="AK1262" i="30"/>
  <c r="AK1261" i="30"/>
  <c r="AK1260" i="30"/>
  <c r="AK1259" i="30"/>
  <c r="AK1258" i="30"/>
  <c r="AK1257" i="30"/>
  <c r="AK1256" i="30"/>
  <c r="AK1255" i="30"/>
  <c r="AK1254" i="30"/>
  <c r="AK1253" i="30"/>
  <c r="AK1252" i="30"/>
  <c r="AK1251" i="30"/>
  <c r="AK1250" i="30"/>
  <c r="AK1249" i="30"/>
  <c r="AK1248" i="30"/>
  <c r="AK1247" i="30"/>
  <c r="AK1246" i="30"/>
  <c r="AK1245" i="30"/>
  <c r="AK1244" i="30"/>
  <c r="AK1243" i="30"/>
  <c r="AK1242" i="30"/>
  <c r="AK1241" i="30"/>
  <c r="AK1240" i="30"/>
  <c r="AK1239" i="30"/>
  <c r="AK1238" i="30"/>
  <c r="AK1237" i="30"/>
  <c r="AK1236" i="30"/>
  <c r="AK1235" i="30"/>
  <c r="AK1234" i="30"/>
  <c r="AK1233" i="30"/>
  <c r="AK1232" i="30"/>
  <c r="AK1231" i="30"/>
  <c r="AK1230" i="30"/>
  <c r="AK1229" i="30"/>
  <c r="AK1228" i="30"/>
  <c r="AK1227" i="30"/>
  <c r="AK1226" i="30"/>
  <c r="AK1225" i="30"/>
  <c r="AK1224" i="30"/>
  <c r="AK1223" i="30"/>
  <c r="AK1222" i="30"/>
  <c r="AK1221" i="30"/>
  <c r="AK1220" i="30"/>
  <c r="AK1219" i="30"/>
  <c r="AK1218" i="30"/>
  <c r="AK1217" i="30"/>
  <c r="AK1216" i="30"/>
  <c r="AK1215" i="30"/>
  <c r="AK1214" i="30"/>
  <c r="AK1213" i="30"/>
  <c r="AK1212" i="30"/>
  <c r="AK1211" i="30"/>
  <c r="AK1210" i="30"/>
  <c r="AK1209" i="30"/>
  <c r="AK1208" i="30"/>
  <c r="AK1207" i="30"/>
  <c r="AK1206" i="30"/>
  <c r="AK1205" i="30"/>
  <c r="AK1204" i="30"/>
  <c r="AK1203" i="30"/>
  <c r="AK1202" i="30"/>
  <c r="AK1201" i="30"/>
  <c r="AK1200" i="30"/>
  <c r="AK1199" i="30"/>
  <c r="AK1198" i="30"/>
  <c r="AK1197" i="30"/>
  <c r="AK1196" i="30"/>
  <c r="AK1195" i="30"/>
  <c r="AK1194" i="30"/>
  <c r="AK1193" i="30"/>
  <c r="AK1192" i="30"/>
  <c r="AK1191" i="30"/>
  <c r="AK1190" i="30"/>
  <c r="AK1189" i="30"/>
  <c r="AK1188" i="30"/>
  <c r="AK1187" i="30"/>
  <c r="AK1186" i="30"/>
  <c r="AK1185" i="30"/>
  <c r="AK1184" i="30"/>
  <c r="AK1183" i="30"/>
  <c r="AK1182" i="30"/>
  <c r="AK1181" i="30"/>
  <c r="AK1180" i="30"/>
  <c r="AK1179" i="30"/>
  <c r="AK1178" i="30"/>
  <c r="AK1177" i="30"/>
  <c r="AK1176" i="30"/>
  <c r="AK1175" i="30"/>
  <c r="AK1174" i="30"/>
  <c r="AK1173" i="30"/>
  <c r="AK1172" i="30"/>
  <c r="AK1171" i="30"/>
  <c r="AK1170" i="30"/>
  <c r="AK1169" i="30"/>
  <c r="AK1168" i="30"/>
  <c r="AK1167" i="30"/>
  <c r="AK1166" i="30"/>
  <c r="AK1165" i="30"/>
  <c r="AK1164" i="30"/>
  <c r="AK1163" i="30"/>
  <c r="AK1162" i="30"/>
  <c r="AK1161" i="30"/>
  <c r="AK1160" i="30"/>
  <c r="AK1159" i="30"/>
  <c r="AK1158" i="30"/>
  <c r="AK1157" i="30"/>
  <c r="AK1156" i="30"/>
  <c r="AK1155" i="30"/>
  <c r="AK1154" i="30"/>
  <c r="AK1153" i="30"/>
  <c r="AK1152" i="30"/>
  <c r="AK1151" i="30"/>
  <c r="AK1150" i="30"/>
  <c r="AK1149" i="30"/>
  <c r="AK1148" i="30"/>
  <c r="AK1147" i="30"/>
  <c r="AK1146" i="30"/>
  <c r="AK1145" i="30"/>
  <c r="AK1144" i="30"/>
  <c r="AK1143" i="30"/>
  <c r="AK1142" i="30"/>
  <c r="AK1141" i="30"/>
  <c r="AK1140" i="30"/>
  <c r="AK1139" i="30"/>
  <c r="AK1138" i="30"/>
  <c r="AK1137" i="30"/>
  <c r="AK1136" i="30"/>
  <c r="AK1135" i="30"/>
  <c r="AK1134" i="30"/>
  <c r="AK1133" i="30"/>
  <c r="AK1132" i="30"/>
  <c r="AK1131" i="30"/>
  <c r="AK1130" i="30"/>
  <c r="AK1129" i="30"/>
  <c r="AK1128" i="30"/>
  <c r="AK1127" i="30"/>
  <c r="AK1126" i="30"/>
  <c r="AK1125" i="30"/>
  <c r="AK1124" i="30"/>
  <c r="AK1123" i="30"/>
  <c r="AK1122" i="30"/>
  <c r="AK1121" i="30"/>
  <c r="AK1120" i="30"/>
  <c r="AK1119" i="30"/>
  <c r="AK1118" i="30"/>
  <c r="AK1117" i="30"/>
  <c r="AK1116" i="30"/>
  <c r="AK1115" i="30"/>
  <c r="AK1114" i="30"/>
  <c r="AK1113" i="30"/>
  <c r="AK1112" i="30"/>
  <c r="AK1111" i="30"/>
  <c r="AK1110" i="30"/>
  <c r="AK1109" i="30"/>
  <c r="AK1108" i="30"/>
  <c r="AK1107" i="30"/>
  <c r="AK1106" i="30"/>
  <c r="AK1105" i="30"/>
  <c r="AK1104" i="30"/>
  <c r="AK1103" i="30"/>
  <c r="AK1102" i="30"/>
  <c r="AK1101" i="30"/>
  <c r="AK1100" i="30"/>
  <c r="AK1099" i="30"/>
  <c r="AK1098" i="30"/>
  <c r="AK1097" i="30"/>
  <c r="AK1096" i="30"/>
  <c r="AK1095" i="30"/>
  <c r="AK1094" i="30"/>
  <c r="AK1093" i="30"/>
  <c r="AK1092" i="30"/>
  <c r="AK1091" i="30"/>
  <c r="AK1090" i="30"/>
  <c r="AK1089" i="30"/>
  <c r="AK1088" i="30"/>
  <c r="AK1087" i="30"/>
  <c r="AK1086" i="30"/>
  <c r="AK1085" i="30"/>
  <c r="AK1084" i="30"/>
  <c r="AK1083" i="30"/>
  <c r="AK1082" i="30"/>
  <c r="AK1081" i="30"/>
  <c r="AK1080" i="30"/>
  <c r="AK1079" i="30"/>
  <c r="AK1078" i="30"/>
  <c r="AK1077" i="30"/>
  <c r="AK1076" i="30"/>
  <c r="AK1075" i="30"/>
  <c r="AK1074" i="30"/>
  <c r="AK1073" i="30"/>
  <c r="AK1072" i="30"/>
  <c r="AK1071" i="30"/>
  <c r="AK1070" i="30"/>
  <c r="AK1069" i="30"/>
  <c r="AK1068" i="30"/>
  <c r="AK1067" i="30"/>
  <c r="AK1066" i="30"/>
  <c r="AK1065" i="30"/>
  <c r="AK1064" i="30"/>
  <c r="AK1063" i="30"/>
  <c r="AK1062" i="30"/>
  <c r="AK1061" i="30"/>
  <c r="AK1060" i="30"/>
  <c r="AK1059" i="30"/>
  <c r="AK1058" i="30"/>
  <c r="AK1057" i="30"/>
  <c r="AK1056" i="30"/>
  <c r="AK1055" i="30"/>
  <c r="AK1054" i="30"/>
  <c r="AK1053" i="30"/>
  <c r="AK1052" i="30"/>
  <c r="AK1051" i="30"/>
  <c r="AK1050" i="30"/>
  <c r="AK1049" i="30"/>
  <c r="AK1048" i="30"/>
  <c r="AK1047" i="30"/>
  <c r="AK1046" i="30"/>
  <c r="AK1045" i="30"/>
  <c r="AK1044" i="30"/>
  <c r="AK1043" i="30"/>
  <c r="AK1042" i="30"/>
  <c r="AK1041" i="30"/>
  <c r="AK1040" i="30"/>
  <c r="AK1039" i="30"/>
  <c r="AK1038" i="30"/>
  <c r="AK1037" i="30"/>
  <c r="AK1036" i="30"/>
  <c r="AK1035" i="30"/>
  <c r="AK1034" i="30"/>
  <c r="AK1033" i="30"/>
  <c r="AK1032" i="30"/>
  <c r="AK1031" i="30"/>
  <c r="AK1030" i="30"/>
  <c r="AK1029" i="30"/>
  <c r="AK1028" i="30"/>
  <c r="AK1027" i="30"/>
  <c r="AK1026" i="30"/>
  <c r="AK1025" i="30"/>
  <c r="AK1024" i="30"/>
  <c r="AK1023" i="30"/>
  <c r="AK1022" i="30"/>
  <c r="AK1021" i="30"/>
  <c r="AK1020" i="30"/>
  <c r="AK1019" i="30"/>
  <c r="AK1018" i="30"/>
  <c r="AK1017" i="30"/>
  <c r="AK1016" i="30"/>
  <c r="AK1015" i="30"/>
  <c r="AK1014" i="30"/>
  <c r="AK1013" i="30"/>
  <c r="AK1012" i="30"/>
  <c r="AK1011" i="30"/>
  <c r="AK1010" i="30"/>
  <c r="AK1009" i="30"/>
  <c r="AK1008" i="30"/>
  <c r="AK1007" i="30"/>
  <c r="AK1006" i="30"/>
  <c r="AK1005" i="30"/>
  <c r="AK1004" i="30"/>
  <c r="AK1003" i="30"/>
  <c r="AK1002" i="30"/>
  <c r="AK1001" i="30"/>
  <c r="AK1000" i="30"/>
  <c r="AK999" i="30"/>
  <c r="AK998" i="30"/>
  <c r="AK997" i="30"/>
  <c r="AK996" i="30"/>
  <c r="AK995" i="30"/>
  <c r="AK994" i="30"/>
  <c r="AK993" i="30"/>
  <c r="AK992" i="30"/>
  <c r="AK991" i="30"/>
  <c r="AK990" i="30"/>
  <c r="AK989" i="30"/>
  <c r="AK988" i="30"/>
  <c r="AK987" i="30"/>
  <c r="AK986" i="30"/>
  <c r="AK985" i="30"/>
  <c r="AK984" i="30"/>
  <c r="AK983" i="30"/>
  <c r="AK982" i="30"/>
  <c r="AK981" i="30"/>
  <c r="AK980" i="30"/>
  <c r="AK979" i="30"/>
  <c r="AK978" i="30"/>
  <c r="AK977" i="30"/>
  <c r="AK976" i="30"/>
  <c r="AK975" i="30"/>
  <c r="AK974" i="30"/>
  <c r="AK973" i="30"/>
  <c r="AK972" i="30"/>
  <c r="AK971" i="30"/>
  <c r="AK970" i="30"/>
  <c r="AK969" i="30"/>
  <c r="AK968" i="30"/>
  <c r="AK967" i="30"/>
  <c r="AK966" i="30"/>
  <c r="AK965" i="30"/>
  <c r="AK964" i="30"/>
  <c r="AK963" i="30"/>
  <c r="AK962" i="30"/>
  <c r="AK961" i="30"/>
  <c r="AK960" i="30"/>
  <c r="AK959" i="30"/>
  <c r="AK958" i="30"/>
  <c r="AK957" i="30"/>
  <c r="AK956" i="30"/>
  <c r="AK955" i="30"/>
  <c r="AK954" i="30"/>
  <c r="AK953" i="30"/>
  <c r="AK952" i="30"/>
  <c r="AK951" i="30"/>
  <c r="AK950" i="30"/>
  <c r="AK949" i="30"/>
  <c r="AK948" i="30"/>
  <c r="AK947" i="30"/>
  <c r="AK946" i="30"/>
  <c r="AK945" i="30"/>
  <c r="AK944" i="30"/>
  <c r="AK943" i="30"/>
  <c r="AK942" i="30"/>
  <c r="AK941" i="30"/>
  <c r="AK940" i="30"/>
  <c r="AK939" i="30"/>
  <c r="AK938" i="30"/>
  <c r="AK937" i="30"/>
  <c r="AK936" i="30"/>
  <c r="AK935" i="30"/>
  <c r="AK934" i="30"/>
  <c r="AK933" i="30"/>
  <c r="AK932" i="30"/>
  <c r="AK931" i="30"/>
  <c r="AK930" i="30"/>
  <c r="AK929" i="30"/>
  <c r="AK928" i="30"/>
  <c r="AK927" i="30"/>
  <c r="AK926" i="30"/>
  <c r="AK925" i="30"/>
  <c r="AK924" i="30"/>
  <c r="AK923" i="30"/>
  <c r="AK922" i="30"/>
  <c r="AK921" i="30"/>
  <c r="AK920" i="30"/>
  <c r="O49" i="30"/>
  <c r="O47" i="30"/>
  <c r="AJ43" i="30"/>
  <c r="AI43" i="30"/>
  <c r="AH43" i="30"/>
  <c r="AG43" i="30"/>
  <c r="AF43" i="30"/>
  <c r="AE43" i="30"/>
  <c r="AD43" i="30"/>
  <c r="AC43" i="30"/>
  <c r="AB43" i="30"/>
  <c r="AA43" i="30"/>
  <c r="Z43" i="30"/>
  <c r="Y43" i="30"/>
  <c r="X43" i="30"/>
  <c r="W43" i="30"/>
  <c r="V43" i="30"/>
  <c r="U43" i="30"/>
  <c r="T43" i="30"/>
  <c r="S43" i="30"/>
  <c r="AK41" i="30"/>
  <c r="AJ41" i="30"/>
  <c r="AI41" i="30"/>
  <c r="AH41" i="30"/>
  <c r="AG41" i="30"/>
  <c r="AF41" i="30"/>
  <c r="AE41" i="30"/>
  <c r="AD41" i="30"/>
  <c r="AC41" i="30"/>
  <c r="AB41" i="30"/>
  <c r="AA41" i="30"/>
  <c r="Z41" i="30"/>
  <c r="Y41" i="30"/>
  <c r="X41" i="30"/>
  <c r="W41" i="30"/>
  <c r="V41" i="30"/>
  <c r="U41" i="30"/>
  <c r="T41" i="30"/>
  <c r="S41" i="30"/>
  <c r="R41" i="30"/>
  <c r="Q41" i="30"/>
  <c r="P41" i="30"/>
  <c r="O41" i="30"/>
  <c r="W38" i="30"/>
  <c r="AI38" i="30" s="1"/>
  <c r="O33" i="30"/>
  <c r="O32" i="30"/>
  <c r="AL28" i="30"/>
  <c r="P23" i="30"/>
  <c r="AJ22" i="30"/>
  <c r="AI22" i="30"/>
  <c r="AH22" i="30"/>
  <c r="AG22" i="30"/>
  <c r="AF22" i="30"/>
  <c r="AE22" i="30"/>
  <c r="AD22" i="30"/>
  <c r="AC22" i="30"/>
  <c r="AB22" i="30"/>
  <c r="AA22" i="30"/>
  <c r="Z22" i="30"/>
  <c r="Y22" i="30"/>
  <c r="X22" i="30"/>
  <c r="W22" i="30"/>
  <c r="V22" i="30"/>
  <c r="U22" i="30"/>
  <c r="T22" i="30"/>
  <c r="S22" i="30"/>
  <c r="R22" i="30"/>
  <c r="Q22" i="30"/>
  <c r="P22" i="30"/>
  <c r="O22" i="30"/>
  <c r="V21" i="30"/>
  <c r="O15" i="30"/>
  <c r="D14" i="30"/>
  <c r="H14" i="30" s="1"/>
  <c r="AK12" i="30"/>
  <c r="AJ12" i="30"/>
  <c r="AI12" i="30"/>
  <c r="AH12" i="30"/>
  <c r="AG12" i="30"/>
  <c r="AF12" i="30"/>
  <c r="AE12" i="30"/>
  <c r="AD12" i="30"/>
  <c r="P12" i="30"/>
  <c r="P14" i="30" s="1"/>
  <c r="O12" i="30"/>
  <c r="D12" i="30"/>
  <c r="H12" i="30" s="1"/>
  <c r="D11" i="30"/>
  <c r="H11" i="30" s="1"/>
  <c r="D10" i="30"/>
  <c r="AI6" i="30"/>
  <c r="Q24" i="30" l="1"/>
  <c r="Q30" i="30" s="1"/>
  <c r="P24" i="30"/>
  <c r="P30" i="30" s="1"/>
  <c r="D15" i="30"/>
  <c r="P15" i="30"/>
  <c r="P17" i="30" s="1"/>
  <c r="P18" i="30" s="1"/>
  <c r="O44" i="30"/>
  <c r="O34" i="30"/>
  <c r="H10" i="30"/>
  <c r="P47" i="30"/>
  <c r="P49" i="30" s="1"/>
  <c r="V40" i="30"/>
  <c r="AI40" i="30" s="1"/>
  <c r="AI21" i="30"/>
  <c r="L14" i="29"/>
  <c r="G13" i="29"/>
  <c r="F11" i="29"/>
  <c r="A9" i="29"/>
  <c r="K25" i="29"/>
  <c r="D25" i="29"/>
  <c r="D28" i="29" s="1"/>
  <c r="F28" i="29" s="1"/>
  <c r="F23" i="29"/>
  <c r="C21" i="29"/>
  <c r="AL14" i="29"/>
  <c r="M14" i="29"/>
  <c r="AL12" i="29"/>
  <c r="A7" i="29"/>
  <c r="C22" i="29" l="1"/>
  <c r="F25" i="29"/>
  <c r="F27" i="29" s="1"/>
  <c r="G15" i="29"/>
  <c r="G16" i="29" s="1"/>
  <c r="A8" i="29"/>
  <c r="B7" i="31"/>
  <c r="H15" i="30"/>
  <c r="O24" i="30"/>
  <c r="P44" i="30"/>
  <c r="P34" i="30"/>
  <c r="G17" i="29"/>
  <c r="F26" i="29"/>
  <c r="G18" i="29" l="1"/>
  <c r="D17" i="30" s="1"/>
  <c r="O30" i="30"/>
  <c r="M24" i="30"/>
  <c r="AL24" i="30"/>
  <c r="E13" i="31" l="1"/>
  <c r="I18" i="31" s="1"/>
  <c r="R11" i="30"/>
  <c r="R23" i="30" s="1"/>
  <c r="R47" i="30" s="1"/>
  <c r="AI11" i="30"/>
  <c r="AI23" i="30" s="1"/>
  <c r="AA11" i="30"/>
  <c r="AA23" i="30" s="1"/>
  <c r="S11" i="30"/>
  <c r="S23" i="30" s="1"/>
  <c r="V11" i="30"/>
  <c r="V23" i="30" s="1"/>
  <c r="AH11" i="30"/>
  <c r="AH23" i="30" s="1"/>
  <c r="Z11" i="30"/>
  <c r="Z23" i="30" s="1"/>
  <c r="AJ11" i="30"/>
  <c r="AJ23" i="30" s="1"/>
  <c r="AE11" i="30"/>
  <c r="AE23" i="30" s="1"/>
  <c r="W11" i="30"/>
  <c r="W23" i="30" s="1"/>
  <c r="AD11" i="30"/>
  <c r="AD23" i="30" s="1"/>
  <c r="AF11" i="30"/>
  <c r="AF23" i="30" s="1"/>
  <c r="AB11" i="30"/>
  <c r="AB23" i="30" s="1"/>
  <c r="Q11" i="30"/>
  <c r="Q23" i="30" s="1"/>
  <c r="AG11" i="30"/>
  <c r="AG23" i="30" s="1"/>
  <c r="X11" i="30"/>
  <c r="X23" i="30" s="1"/>
  <c r="T11" i="30"/>
  <c r="T23" i="30" s="1"/>
  <c r="U11" i="30"/>
  <c r="U23" i="30" s="1"/>
  <c r="AK11" i="30"/>
  <c r="Y11" i="30"/>
  <c r="Y23" i="30" s="1"/>
  <c r="AC11" i="30"/>
  <c r="AC23" i="30" s="1"/>
  <c r="K18" i="31"/>
  <c r="J18" i="31"/>
  <c r="H18" i="31"/>
  <c r="M30" i="30"/>
  <c r="AL30" i="30"/>
  <c r="Q14" i="30" l="1"/>
  <c r="Q15" i="30" s="1"/>
  <c r="Q17" i="30" s="1"/>
  <c r="Q18" i="30" s="1"/>
  <c r="AC26" i="30"/>
  <c r="AC47" i="30"/>
  <c r="AC49" i="30" s="1"/>
  <c r="T26" i="30"/>
  <c r="T47" i="30"/>
  <c r="T49" i="30" s="1"/>
  <c r="AB26" i="30"/>
  <c r="AB47" i="30"/>
  <c r="AB49" i="30" s="1"/>
  <c r="AE26" i="30"/>
  <c r="AE47" i="30"/>
  <c r="AE49" i="30" s="1"/>
  <c r="V47" i="30"/>
  <c r="V49" i="30" s="1"/>
  <c r="V26" i="30"/>
  <c r="Y26" i="30"/>
  <c r="Y47" i="30"/>
  <c r="Y49" i="30" s="1"/>
  <c r="X26" i="30"/>
  <c r="X47" i="30"/>
  <c r="X49" i="30" s="1"/>
  <c r="AF26" i="30"/>
  <c r="AF47" i="30"/>
  <c r="AF49" i="30" s="1"/>
  <c r="AJ47" i="30"/>
  <c r="AJ49" i="30" s="1"/>
  <c r="AJ26" i="30"/>
  <c r="S47" i="30"/>
  <c r="S26" i="30"/>
  <c r="AK23" i="30"/>
  <c r="AK14" i="30"/>
  <c r="AK15" i="30" s="1"/>
  <c r="AG47" i="30"/>
  <c r="AG49" i="30" s="1"/>
  <c r="AG26" i="30"/>
  <c r="AD47" i="30"/>
  <c r="AD49" i="30" s="1"/>
  <c r="AD26" i="30"/>
  <c r="Z47" i="30"/>
  <c r="Z49" i="30" s="1"/>
  <c r="Z26" i="30"/>
  <c r="AA26" i="30"/>
  <c r="AA47" i="30"/>
  <c r="AA49" i="30" s="1"/>
  <c r="U26" i="30"/>
  <c r="U47" i="30"/>
  <c r="U49" i="30" s="1"/>
  <c r="Q47" i="30"/>
  <c r="Q49" i="30" s="1"/>
  <c r="AL23" i="30"/>
  <c r="W47" i="30"/>
  <c r="W49" i="30" s="1"/>
  <c r="W26" i="30"/>
  <c r="AH47" i="30"/>
  <c r="AH49" i="30" s="1"/>
  <c r="AH26" i="30"/>
  <c r="AI47" i="30"/>
  <c r="AI49" i="30" s="1"/>
  <c r="AI26" i="30"/>
  <c r="E26" i="32"/>
  <c r="F26" i="32" s="1"/>
  <c r="E8" i="32" l="1"/>
  <c r="F8" i="32" s="1"/>
  <c r="E14" i="32"/>
  <c r="F14" i="32" s="1"/>
  <c r="AK17" i="30"/>
  <c r="AK44" i="30"/>
  <c r="AK45" i="30" s="1"/>
  <c r="AK34" i="30"/>
  <c r="AK35" i="30" s="1"/>
  <c r="AK47" i="30"/>
  <c r="AK26" i="30"/>
  <c r="Q44" i="30"/>
  <c r="Q34" i="30"/>
  <c r="C22" i="26"/>
  <c r="E15" i="32" l="1"/>
  <c r="F15" i="32" s="1"/>
  <c r="E13" i="32"/>
  <c r="F13" i="32" s="1"/>
  <c r="E12" i="32"/>
  <c r="F12" i="32" s="1"/>
  <c r="F27" i="32" s="1"/>
  <c r="F30" i="32" s="1"/>
  <c r="AK36" i="30"/>
  <c r="C18" i="26"/>
  <c r="C26" i="26" l="1"/>
  <c r="O14" i="12" l="1"/>
  <c r="K14" i="12"/>
  <c r="K15" i="12"/>
  <c r="C6" i="26" l="1"/>
  <c r="C5" i="26"/>
  <c r="C4" i="26"/>
  <c r="C2" i="12" l="1"/>
  <c r="B9" i="8" l="1"/>
  <c r="D113" i="18" l="1"/>
  <c r="L86" i="18"/>
  <c r="G86" i="18" l="1"/>
  <c r="D67" i="18"/>
  <c r="D66" i="18"/>
  <c r="E49" i="18"/>
  <c r="D59" i="18"/>
  <c r="D37" i="18"/>
  <c r="D36" i="18"/>
  <c r="D35" i="18"/>
  <c r="D34" i="18"/>
  <c r="E29" i="18"/>
  <c r="D33" i="18"/>
  <c r="E37" i="18" l="1"/>
  <c r="E36" i="18"/>
  <c r="E35" i="18"/>
  <c r="E34" i="18"/>
  <c r="E33" i="18"/>
  <c r="F33" i="18" s="1"/>
  <c r="E32" i="18"/>
  <c r="D32" i="18" l="1"/>
  <c r="F107" i="18"/>
  <c r="E106" i="18"/>
  <c r="F106" i="18" s="1"/>
  <c r="D20" i="18"/>
  <c r="D97" i="18"/>
  <c r="D13" i="18" s="1"/>
  <c r="D58" i="18"/>
  <c r="D60" i="18" s="1"/>
  <c r="D94" i="18"/>
  <c r="F94" i="18" s="1"/>
  <c r="D93" i="18"/>
  <c r="D48" i="18"/>
  <c r="D49" i="18"/>
  <c r="E52" i="18" s="1"/>
  <c r="D14" i="18"/>
  <c r="D12" i="18"/>
  <c r="D11" i="18"/>
  <c r="D10" i="18"/>
  <c r="D8" i="18"/>
  <c r="G88" i="18"/>
  <c r="G87" i="18"/>
  <c r="D112" i="18"/>
  <c r="D114" i="18" s="1"/>
  <c r="E28" i="18" s="1"/>
  <c r="G82" i="18"/>
  <c r="G81" i="18"/>
  <c r="E80" i="18"/>
  <c r="D80" i="18"/>
  <c r="F79" i="18"/>
  <c r="G78" i="18"/>
  <c r="A68" i="18"/>
  <c r="A69" i="18" s="1"/>
  <c r="A70" i="18" s="1"/>
  <c r="A71" i="18" s="1"/>
  <c r="D68" i="18"/>
  <c r="A66" i="18"/>
  <c r="D55" i="18"/>
  <c r="C55" i="18"/>
  <c r="F37" i="18"/>
  <c r="F36" i="18"/>
  <c r="F35" i="18"/>
  <c r="F34" i="18"/>
  <c r="A9" i="18"/>
  <c r="A10" i="18" s="1"/>
  <c r="A11" i="18" s="1"/>
  <c r="A12" i="18" s="1"/>
  <c r="A13" i="18" s="1"/>
  <c r="A14" i="18" s="1"/>
  <c r="A15" i="18" s="1"/>
  <c r="A16" i="18" s="1"/>
  <c r="A17" i="18" s="1"/>
  <c r="A18" i="18" s="1"/>
  <c r="A19" i="18" s="1"/>
  <c r="A20" i="18" s="1"/>
  <c r="A21" i="18" s="1"/>
  <c r="A22" i="18" s="1"/>
  <c r="A23" i="18" s="1"/>
  <c r="A24" i="18" s="1"/>
  <c r="F53" i="18" l="1"/>
  <c r="F52" i="18"/>
  <c r="D22" i="18"/>
  <c r="G80" i="18"/>
  <c r="D9" i="18"/>
  <c r="G55" i="18" s="1"/>
  <c r="D47" i="18"/>
  <c r="D61" i="18"/>
  <c r="F55" i="18" s="1"/>
  <c r="G79" i="18"/>
  <c r="D92" i="18"/>
  <c r="D99" i="18"/>
  <c r="F32" i="18"/>
  <c r="E93" i="18"/>
  <c r="F93" i="18" s="1"/>
  <c r="F49" i="18"/>
  <c r="H54" i="18" s="1"/>
  <c r="D100" i="18"/>
  <c r="G52" i="18"/>
  <c r="G54" i="18"/>
  <c r="F54" i="18"/>
  <c r="H55" i="18" l="1"/>
  <c r="G53" i="18"/>
  <c r="G56" i="18" s="1"/>
  <c r="E47" i="18" s="1"/>
  <c r="D21" i="18"/>
  <c r="D23" i="18" s="1"/>
  <c r="D24" i="18" s="1"/>
  <c r="D16" i="18"/>
  <c r="H52" i="18"/>
  <c r="F56" i="18"/>
  <c r="E48" i="18" s="1"/>
  <c r="E92" i="18"/>
  <c r="F92" i="18" s="1"/>
  <c r="D15" i="18" s="1"/>
  <c r="D65" i="18"/>
  <c r="D69" i="18" s="1"/>
  <c r="H53" i="18" l="1"/>
  <c r="H47" i="18" s="1"/>
  <c r="D70" i="18"/>
  <c r="D71" i="18" s="1"/>
  <c r="F48" i="18"/>
  <c r="F47" i="18"/>
  <c r="D17" i="18"/>
  <c r="D18" i="18" s="1"/>
  <c r="D19" i="18" l="1"/>
  <c r="D28" i="18" s="1"/>
  <c r="F28" i="18" s="1"/>
  <c r="D29" i="18"/>
  <c r="F29" i="18" s="1"/>
  <c r="F30" i="18" l="1"/>
  <c r="AT9" i="6" l="1"/>
  <c r="AS9" i="6"/>
  <c r="AR9" i="6"/>
  <c r="AT6" i="6" l="1"/>
  <c r="L11" i="12" l="1"/>
  <c r="L15" i="12" s="1"/>
  <c r="L14" i="12" l="1"/>
  <c r="P14" i="12" s="1"/>
  <c r="Q14" i="12" s="1"/>
  <c r="P15" i="12"/>
  <c r="Q15" i="12" s="1"/>
  <c r="D62" i="15"/>
  <c r="D61" i="15"/>
  <c r="D60" i="15"/>
  <c r="D58" i="15"/>
  <c r="D55" i="15" l="1"/>
  <c r="D56" i="15" l="1"/>
  <c r="L13" i="12" l="1"/>
  <c r="C53" i="15" l="1"/>
  <c r="B53" i="15"/>
  <c r="A8" i="15"/>
  <c r="A7" i="15"/>
  <c r="F62" i="15"/>
  <c r="I62" i="15" s="1"/>
  <c r="E59" i="15"/>
  <c r="G58" i="15"/>
  <c r="E57" i="15"/>
  <c r="C57" i="15"/>
  <c r="G56" i="15"/>
  <c r="C56" i="15"/>
  <c r="H86" i="15"/>
  <c r="H91" i="15" s="1"/>
  <c r="C33" i="15"/>
  <c r="AJ27" i="15"/>
  <c r="C13" i="15"/>
  <c r="C12" i="15"/>
  <c r="G57" i="15" l="1"/>
  <c r="I57" i="15" s="1"/>
  <c r="D53" i="15"/>
  <c r="E58" i="15"/>
  <c r="I58" i="15" s="1"/>
  <c r="D65" i="15"/>
  <c r="E56" i="15"/>
  <c r="I56" i="15" s="1"/>
  <c r="G59" i="15"/>
  <c r="D64" i="15"/>
  <c r="F60" i="15"/>
  <c r="D20" i="15" s="1"/>
  <c r="E20" i="15" s="1"/>
  <c r="I60" i="15" l="1"/>
  <c r="F65" i="15"/>
  <c r="I65" i="15" s="1"/>
  <c r="D17" i="15"/>
  <c r="E17" i="15" s="1"/>
  <c r="F64" i="15"/>
  <c r="I64" i="15" s="1"/>
  <c r="D18" i="15"/>
  <c r="F61" i="15" l="1"/>
  <c r="I61" i="15" s="1"/>
  <c r="E55" i="15" l="1"/>
  <c r="E72" i="15" s="1"/>
  <c r="G55" i="15"/>
  <c r="D19" i="15"/>
  <c r="E19" i="15" s="1"/>
  <c r="E73" i="15" l="1"/>
  <c r="D16" i="15"/>
  <c r="V11" i="6" l="1"/>
  <c r="G8" i="12" l="1"/>
  <c r="A47" i="12"/>
  <c r="A48" i="12" s="1"/>
  <c r="A49" i="12" s="1"/>
  <c r="A50" i="12" s="1"/>
  <c r="A51" i="12" s="1"/>
  <c r="A52" i="12" s="1"/>
  <c r="A53" i="12" s="1"/>
  <c r="A54" i="12" s="1"/>
  <c r="O25" i="12"/>
  <c r="J25" i="12"/>
  <c r="P25" i="12" s="1"/>
  <c r="N18" i="12"/>
  <c r="J18" i="12"/>
  <c r="A55" i="12" l="1"/>
  <c r="A56" i="12"/>
  <c r="A57" i="12" s="1"/>
  <c r="Q25" i="12"/>
  <c r="K13" i="12"/>
  <c r="A58" i="12" l="1"/>
  <c r="P13" i="12"/>
  <c r="D27" i="6" l="1"/>
  <c r="D28" i="6" s="1"/>
  <c r="D29" i="6" s="1"/>
  <c r="D30" i="6" s="1"/>
  <c r="D31" i="6" s="1"/>
  <c r="D32" i="6" s="1"/>
  <c r="D33" i="6" s="1"/>
  <c r="D34" i="6" s="1"/>
  <c r="D35" i="6" s="1"/>
  <c r="D36" i="6" s="1"/>
  <c r="D37" i="6" s="1"/>
  <c r="D38" i="6" s="1"/>
  <c r="D39" i="6" s="1"/>
  <c r="D40" i="6" s="1"/>
  <c r="D41" i="6" s="1"/>
  <c r="D42" i="6" s="1"/>
  <c r="D43" i="6" s="1"/>
  <c r="D44" i="6" s="1"/>
  <c r="D45" i="6" s="1"/>
  <c r="D46" i="6" s="1"/>
  <c r="D47" i="6" s="1"/>
  <c r="D48" i="6" s="1"/>
  <c r="E8" i="12" l="1"/>
  <c r="E16" i="12" s="1"/>
  <c r="F16" i="12" s="1"/>
  <c r="P16" i="12" s="1"/>
  <c r="E25" i="12" l="1"/>
  <c r="E13" i="12"/>
  <c r="C68" i="15"/>
  <c r="C23" i="15" s="1"/>
  <c r="F13" i="12" l="1"/>
  <c r="H13" i="12" s="1"/>
  <c r="O13" i="12" s="1"/>
  <c r="O18" i="12" s="1"/>
  <c r="C46" i="12" s="1"/>
  <c r="C59" i="15"/>
  <c r="I68" i="15"/>
  <c r="E23" i="15"/>
  <c r="F18" i="12" l="1"/>
  <c r="C18" i="15"/>
  <c r="E18" i="15" s="1"/>
  <c r="D66" i="15"/>
  <c r="F66" i="15" s="1"/>
  <c r="I66" i="15" s="1"/>
  <c r="I59" i="15"/>
  <c r="C55" i="15"/>
  <c r="Q13" i="12"/>
  <c r="N17" i="12" l="1"/>
  <c r="P17" i="12" s="1"/>
  <c r="C69" i="15"/>
  <c r="G69" i="15"/>
  <c r="H70" i="15"/>
  <c r="I70" i="15" s="1"/>
  <c r="C16" i="15"/>
  <c r="D63" i="15"/>
  <c r="I55" i="15"/>
  <c r="P18" i="12" l="1"/>
  <c r="Q17" i="12"/>
  <c r="Q18" i="12" s="1"/>
  <c r="D27" i="12" s="1"/>
  <c r="D24" i="15"/>
  <c r="G72" i="15"/>
  <c r="G73" i="15"/>
  <c r="C24" i="15"/>
  <c r="I69" i="15"/>
  <c r="F63" i="15"/>
  <c r="I63" i="15" s="1"/>
  <c r="C54" i="15"/>
  <c r="D54" i="15"/>
  <c r="E16" i="15"/>
  <c r="S23" i="12" l="1"/>
  <c r="D46" i="12"/>
  <c r="R23" i="12"/>
  <c r="E24" i="15"/>
  <c r="D28" i="15"/>
  <c r="E28" i="15" s="1"/>
  <c r="D72" i="15"/>
  <c r="F54" i="15"/>
  <c r="D15" i="15" s="1"/>
  <c r="C15" i="15"/>
  <c r="D21" i="15"/>
  <c r="E21" i="15" s="1"/>
  <c r="F10" i="6"/>
  <c r="D29" i="15" l="1"/>
  <c r="E29" i="15" s="1"/>
  <c r="D26" i="15"/>
  <c r="I54" i="15"/>
  <c r="F73" i="15"/>
  <c r="F72" i="15"/>
  <c r="E15" i="15"/>
  <c r="AT58" i="6"/>
  <c r="AT57" i="6"/>
  <c r="AT55" i="6"/>
  <c r="AT54" i="6"/>
  <c r="AT19" i="6"/>
  <c r="D30" i="15" l="1"/>
  <c r="E30" i="15" s="1"/>
  <c r="P46" i="6"/>
  <c r="C50" i="12" l="1"/>
  <c r="C48" i="12"/>
  <c r="D50" i="12" l="1"/>
  <c r="F50" i="12" l="1"/>
  <c r="G50" i="12" s="1"/>
  <c r="C55" i="12"/>
  <c r="C49" i="12" l="1"/>
  <c r="F55" i="12"/>
  <c r="G55" i="12" s="1"/>
  <c r="D49" i="12"/>
  <c r="D48" i="12" l="1"/>
  <c r="F48" i="12" s="1"/>
  <c r="G48" i="12" s="1"/>
  <c r="F49" i="12"/>
  <c r="G49" i="12" s="1"/>
  <c r="G46" i="12" l="1"/>
  <c r="C53" i="12" l="1"/>
  <c r="P44" i="6" l="1"/>
  <c r="W2" i="6"/>
  <c r="W3" i="6"/>
  <c r="J11" i="6"/>
  <c r="X19" i="6"/>
  <c r="Y19" i="6"/>
  <c r="Z19" i="6"/>
  <c r="AA19" i="6"/>
  <c r="AB19" i="6"/>
  <c r="AC19" i="6"/>
  <c r="AD19" i="6"/>
  <c r="AE19" i="6"/>
  <c r="AF19" i="6"/>
  <c r="AG19" i="6"/>
  <c r="AH19" i="6"/>
  <c r="AI19" i="6"/>
  <c r="AJ19" i="6"/>
  <c r="AK19" i="6"/>
  <c r="AL19" i="6"/>
  <c r="AM19" i="6"/>
  <c r="AN19" i="6"/>
  <c r="AO19" i="6"/>
  <c r="AP19" i="6"/>
  <c r="AQ19" i="6"/>
  <c r="AR19" i="6"/>
  <c r="AS19" i="6"/>
  <c r="AA27" i="6"/>
  <c r="AA28" i="6"/>
  <c r="X32" i="6"/>
  <c r="A34" i="6"/>
  <c r="AB44" i="6"/>
  <c r="AC44" i="6"/>
  <c r="AD44" i="6"/>
  <c r="AE44" i="6"/>
  <c r="AF44" i="6"/>
  <c r="AG44" i="6"/>
  <c r="AH44" i="6"/>
  <c r="AI44" i="6"/>
  <c r="AJ44" i="6"/>
  <c r="AK44" i="6"/>
  <c r="AL44" i="6"/>
  <c r="AM44" i="6"/>
  <c r="AN44" i="6"/>
  <c r="AO44" i="6"/>
  <c r="AP44" i="6"/>
  <c r="AQ44" i="6"/>
  <c r="AR44" i="6"/>
  <c r="AA44" i="6" l="1"/>
  <c r="B11" i="8" l="1"/>
  <c r="B10" i="8"/>
  <c r="D51" i="12" l="1"/>
  <c r="F51" i="12" l="1"/>
  <c r="G51" i="12" s="1"/>
  <c r="AS54" i="6" l="1"/>
  <c r="AS57" i="6"/>
  <c r="AS55" i="6" l="1"/>
  <c r="AS58" i="6"/>
  <c r="D47" i="12"/>
  <c r="F47" i="12" l="1"/>
  <c r="G47" i="12" s="1"/>
  <c r="D52" i="12" l="1"/>
  <c r="C52" i="12"/>
  <c r="F52" i="12" l="1"/>
  <c r="G52" i="12" s="1"/>
  <c r="C67" i="15" l="1"/>
  <c r="C72" i="15" l="1"/>
  <c r="C22" i="15"/>
  <c r="I67" i="15"/>
  <c r="C54" i="12"/>
  <c r="E22" i="15" l="1"/>
  <c r="C26" i="15"/>
  <c r="D31" i="15"/>
  <c r="D32" i="15" s="1"/>
  <c r="F54" i="12"/>
  <c r="G54" i="12" s="1"/>
  <c r="C57" i="12"/>
  <c r="C60" i="12" s="1"/>
  <c r="E32" i="15" l="1"/>
  <c r="H73" i="15"/>
  <c r="I73" i="15" s="1"/>
  <c r="D35" i="15" s="1"/>
  <c r="E35" i="15" s="1"/>
  <c r="E31" i="15"/>
  <c r="D33" i="15"/>
  <c r="E26" i="15"/>
  <c r="C34" i="15"/>
  <c r="C36" i="15" s="1"/>
  <c r="E33" i="15" l="1"/>
  <c r="D34" i="15"/>
  <c r="D36" i="15" s="1"/>
  <c r="D56" i="12" l="1"/>
  <c r="G56" i="12" s="1"/>
  <c r="E34" i="15"/>
  <c r="E36" i="15" s="1"/>
  <c r="H71" i="15"/>
  <c r="I71" i="15" l="1"/>
  <c r="I72" i="15" s="1"/>
  <c r="I74" i="15" s="1"/>
  <c r="H72" i="15"/>
  <c r="D53" i="12" l="1"/>
  <c r="F53" i="12" s="1"/>
  <c r="G53" i="12" s="1"/>
  <c r="C12" i="6"/>
  <c r="D16" i="6" s="1"/>
  <c r="D57" i="12" l="1"/>
  <c r="F57" i="12" s="1"/>
  <c r="G57" i="12" s="1"/>
  <c r="Y48" i="6"/>
  <c r="Z48" i="6"/>
  <c r="J15" i="30" l="1"/>
  <c r="S48" i="30" s="1"/>
  <c r="S49" i="30" s="1"/>
  <c r="D59" i="12"/>
  <c r="R48" i="30" l="1"/>
  <c r="L48" i="30" s="1"/>
  <c r="G59" i="12"/>
  <c r="C13" i="30" l="1"/>
  <c r="C6" i="6"/>
  <c r="C10" i="6"/>
  <c r="C12" i="30"/>
  <c r="R49" i="30"/>
  <c r="C11" i="30"/>
  <c r="P43" i="30" s="1"/>
  <c r="P45" i="30" s="1"/>
  <c r="C8" i="6"/>
  <c r="E6" i="6"/>
  <c r="D6" i="6"/>
  <c r="C9" i="6" l="1"/>
  <c r="C14" i="30"/>
  <c r="G14" i="30" s="1"/>
  <c r="E10" i="6"/>
  <c r="E13" i="30"/>
  <c r="D9" i="6"/>
  <c r="D10" i="6"/>
  <c r="C7" i="6"/>
  <c r="X44" i="6" s="1"/>
  <c r="C10" i="30"/>
  <c r="O43" i="30" s="1"/>
  <c r="O45" i="30" s="1"/>
  <c r="Q43" i="30"/>
  <c r="Q45" i="30" s="1"/>
  <c r="Q51" i="30" s="1"/>
  <c r="D8" i="6"/>
  <c r="E10" i="30"/>
  <c r="E11" i="30"/>
  <c r="E12" i="30"/>
  <c r="P51" i="30"/>
  <c r="P52" i="30"/>
  <c r="E8" i="6"/>
  <c r="D7" i="6"/>
  <c r="Z44" i="6"/>
  <c r="Y44" i="6"/>
  <c r="E27" i="6"/>
  <c r="E7" i="6"/>
  <c r="R43" i="30" l="1"/>
  <c r="L43" i="30" s="1"/>
  <c r="E26" i="6"/>
  <c r="G26" i="6" s="1"/>
  <c r="C11" i="6"/>
  <c r="E14" i="30"/>
  <c r="I14" i="30" s="1"/>
  <c r="E9" i="6"/>
  <c r="E11" i="6" s="1"/>
  <c r="C15" i="30"/>
  <c r="K43" i="30" s="1"/>
  <c r="G10" i="6"/>
  <c r="H10" i="6" s="1"/>
  <c r="Q52" i="30"/>
  <c r="F11" i="30"/>
  <c r="G11" i="30" s="1"/>
  <c r="F12" i="30"/>
  <c r="G12" i="30" s="1"/>
  <c r="D11" i="6"/>
  <c r="F10" i="30"/>
  <c r="I10" i="30" s="1"/>
  <c r="O25" i="30" s="1"/>
  <c r="F13" i="30"/>
  <c r="O52" i="30"/>
  <c r="O51" i="30"/>
  <c r="F7" i="6"/>
  <c r="U44" i="6"/>
  <c r="AS44" i="6"/>
  <c r="F9" i="6"/>
  <c r="F8" i="6"/>
  <c r="G8" i="6" s="1"/>
  <c r="AT44" i="6"/>
  <c r="E15" i="30" l="1"/>
  <c r="G9" i="6"/>
  <c r="H9" i="6" s="1"/>
  <c r="Z21" i="6" s="1"/>
  <c r="Z27" i="6" s="1"/>
  <c r="I10" i="6"/>
  <c r="K10" i="6" s="1"/>
  <c r="I11" i="30"/>
  <c r="P25" i="30" s="1"/>
  <c r="P26" i="30" s="1"/>
  <c r="G10" i="30"/>
  <c r="F15" i="30"/>
  <c r="I12" i="30"/>
  <c r="Q25" i="30" s="1"/>
  <c r="Q26" i="30" s="1"/>
  <c r="I13" i="30"/>
  <c r="R25" i="30" s="1"/>
  <c r="G13" i="30"/>
  <c r="O31" i="30"/>
  <c r="O26" i="30"/>
  <c r="I9" i="6"/>
  <c r="G7" i="6"/>
  <c r="F11" i="6"/>
  <c r="H8" i="6"/>
  <c r="Y21" i="6" s="1"/>
  <c r="Y27" i="6" s="1"/>
  <c r="I8" i="6"/>
  <c r="P31" i="30" l="1"/>
  <c r="P35" i="30" s="1"/>
  <c r="P36" i="30" s="1"/>
  <c r="G15" i="30"/>
  <c r="K15" i="30" s="1"/>
  <c r="AN12" i="30" s="1"/>
  <c r="AL25" i="30"/>
  <c r="Q31" i="30"/>
  <c r="M25" i="30"/>
  <c r="M26" i="30" s="1"/>
  <c r="O35" i="30"/>
  <c r="O36" i="30" s="1"/>
  <c r="I15" i="30"/>
  <c r="R31" i="30"/>
  <c r="R26" i="30"/>
  <c r="AL26" i="30" s="1"/>
  <c r="G11" i="6"/>
  <c r="D15" i="6" s="1"/>
  <c r="D17" i="6" s="1"/>
  <c r="H7" i="6"/>
  <c r="I7" i="6"/>
  <c r="K8" i="6"/>
  <c r="Y22" i="6"/>
  <c r="Y28" i="6" s="1"/>
  <c r="Z22" i="6"/>
  <c r="Z28" i="6" s="1"/>
  <c r="K9" i="6"/>
  <c r="BL13" i="30" l="1"/>
  <c r="AL31" i="30"/>
  <c r="M31" i="30"/>
  <c r="W33" i="30" s="1"/>
  <c r="E11" i="31"/>
  <c r="J17" i="29"/>
  <c r="P37" i="30"/>
  <c r="O37" i="30"/>
  <c r="AK48" i="30"/>
  <c r="AK49" i="30" s="1"/>
  <c r="AN16" i="30"/>
  <c r="AN13" i="30"/>
  <c r="AN14" i="30" s="1"/>
  <c r="AO12" i="30" s="1"/>
  <c r="I11" i="6"/>
  <c r="X22" i="6"/>
  <c r="K7" i="6"/>
  <c r="K11" i="6" s="1"/>
  <c r="AZ12" i="6"/>
  <c r="AZ8" i="6"/>
  <c r="AZ9" i="6" s="1"/>
  <c r="X65" i="6"/>
  <c r="AV9" i="6"/>
  <c r="D58" i="12"/>
  <c r="D60" i="12" s="1"/>
  <c r="H11" i="6"/>
  <c r="X21" i="6"/>
  <c r="AA33" i="30" l="1"/>
  <c r="X33" i="30"/>
  <c r="Y33" i="30"/>
  <c r="V33" i="30"/>
  <c r="Q33" i="30"/>
  <c r="R32" i="30" s="1"/>
  <c r="S33" i="30"/>
  <c r="U33" i="30"/>
  <c r="AB33" i="30"/>
  <c r="Z33" i="30"/>
  <c r="T33" i="30"/>
  <c r="AO13" i="30"/>
  <c r="AO14" i="30" s="1"/>
  <c r="AP12" i="30" s="1"/>
  <c r="AP13" i="30" s="1"/>
  <c r="R13" i="30"/>
  <c r="AK52" i="30"/>
  <c r="AK51" i="30"/>
  <c r="G58" i="12"/>
  <c r="Y9" i="6"/>
  <c r="M11" i="6"/>
  <c r="M13" i="6" s="1"/>
  <c r="X27" i="6"/>
  <c r="V21" i="6"/>
  <c r="X28" i="6"/>
  <c r="Y30" i="6" s="1"/>
  <c r="V22" i="6"/>
  <c r="Q35" i="30" l="1"/>
  <c r="Q36" i="30" s="1"/>
  <c r="X32" i="30"/>
  <c r="X12" i="30" s="1"/>
  <c r="AA32" i="30"/>
  <c r="AA12" i="30" s="1"/>
  <c r="S32" i="30"/>
  <c r="S12" i="30" s="1"/>
  <c r="W32" i="30"/>
  <c r="W12" i="30" s="1"/>
  <c r="V32" i="30"/>
  <c r="V12" i="30" s="1"/>
  <c r="T32" i="30"/>
  <c r="T12" i="30" s="1"/>
  <c r="AL33" i="30"/>
  <c r="M33" i="30"/>
  <c r="U32" i="30"/>
  <c r="U12" i="30" s="1"/>
  <c r="Y32" i="30"/>
  <c r="Y12" i="30" s="1"/>
  <c r="Z32" i="30"/>
  <c r="Z12" i="30" s="1"/>
  <c r="AB32" i="30"/>
  <c r="AB12" i="30" s="1"/>
  <c r="AP14" i="30"/>
  <c r="AQ12" i="30" s="1"/>
  <c r="T13" i="30"/>
  <c r="R12" i="30"/>
  <c r="R14" i="30" s="1"/>
  <c r="R15" i="30" s="1"/>
  <c r="S13" i="30"/>
  <c r="G60" i="12"/>
  <c r="F65" i="12" s="1"/>
  <c r="AI32" i="6"/>
  <c r="AG32" i="6"/>
  <c r="AE32" i="6"/>
  <c r="AC32" i="6"/>
  <c r="AA32" i="6"/>
  <c r="AJ32" i="6"/>
  <c r="AH32" i="6"/>
  <c r="AF32" i="6"/>
  <c r="AD32" i="6"/>
  <c r="AB32" i="6"/>
  <c r="Z30" i="6"/>
  <c r="X30" i="6"/>
  <c r="X8" i="6" s="1"/>
  <c r="V23" i="6"/>
  <c r="AZ10" i="6"/>
  <c r="BA8" i="6" s="1"/>
  <c r="T14" i="30" l="1"/>
  <c r="T15" i="30" s="1"/>
  <c r="T17" i="30" s="1"/>
  <c r="F38" i="18"/>
  <c r="F39" i="18" s="1"/>
  <c r="F40" i="18" s="1"/>
  <c r="E15" i="8"/>
  <c r="S14" i="30"/>
  <c r="S15" i="30" s="1"/>
  <c r="AL32" i="30"/>
  <c r="Q37" i="30"/>
  <c r="R17" i="30"/>
  <c r="R18" i="30" s="1"/>
  <c r="R34" i="30"/>
  <c r="R44" i="30"/>
  <c r="R45" i="30" s="1"/>
  <c r="AQ13" i="30"/>
  <c r="AK30" i="6"/>
  <c r="AK8" i="6" s="1"/>
  <c r="AA30" i="6"/>
  <c r="V32" i="6"/>
  <c r="X67" i="6"/>
  <c r="Y8" i="6"/>
  <c r="AB30" i="6"/>
  <c r="AT30" i="6"/>
  <c r="AT8" i="6" s="1"/>
  <c r="AN30" i="6"/>
  <c r="AN8" i="6" s="1"/>
  <c r="AP30" i="6"/>
  <c r="AP8" i="6" s="1"/>
  <c r="AE30" i="6"/>
  <c r="AC30" i="6"/>
  <c r="AL30" i="6"/>
  <c r="AL8" i="6" s="1"/>
  <c r="AQ30" i="6"/>
  <c r="AQ8" i="6" s="1"/>
  <c r="BA9" i="6"/>
  <c r="Z9" i="6" s="1"/>
  <c r="Z8" i="6"/>
  <c r="AD30" i="6"/>
  <c r="AM30" i="6"/>
  <c r="AM8" i="6" s="1"/>
  <c r="AR30" i="6"/>
  <c r="AR8" i="6" s="1"/>
  <c r="AO30" i="6"/>
  <c r="AO8" i="6" s="1"/>
  <c r="AJ30" i="6"/>
  <c r="AS30" i="6"/>
  <c r="AS8" i="6" s="1"/>
  <c r="AF30" i="6"/>
  <c r="AI30" i="6"/>
  <c r="AH30" i="6"/>
  <c r="AG30" i="6"/>
  <c r="E17" i="8" l="1"/>
  <c r="D14" i="6"/>
  <c r="U13" i="30"/>
  <c r="R52" i="30"/>
  <c r="R51" i="30"/>
  <c r="S44" i="30"/>
  <c r="S45" i="30" s="1"/>
  <c r="S34" i="30"/>
  <c r="S35" i="30" s="1"/>
  <c r="S36" i="30" s="1"/>
  <c r="R35" i="30"/>
  <c r="T34" i="30"/>
  <c r="T35" i="30" s="1"/>
  <c r="T36" i="30" s="1"/>
  <c r="T44" i="30"/>
  <c r="T45" i="30" s="1"/>
  <c r="AQ14" i="30"/>
  <c r="AR12" i="30" s="1"/>
  <c r="S17" i="30"/>
  <c r="S18" i="30" s="1"/>
  <c r="T18" i="30" s="1"/>
  <c r="BA10" i="6"/>
  <c r="BB8" i="6" s="1"/>
  <c r="BB9" i="6" s="1"/>
  <c r="AA9" i="6" s="1"/>
  <c r="AG8" i="6"/>
  <c r="AG67" i="6" s="1"/>
  <c r="AH8" i="6"/>
  <c r="AH67" i="6" s="1"/>
  <c r="AF8" i="6"/>
  <c r="AF67" i="6" s="1"/>
  <c r="AJ8" i="6"/>
  <c r="AD8" i="6"/>
  <c r="AD67" i="6" s="1"/>
  <c r="Z67" i="6"/>
  <c r="AE8" i="6"/>
  <c r="AE67" i="6" s="1"/>
  <c r="AB8" i="6"/>
  <c r="AB67" i="6" s="1"/>
  <c r="Y67" i="6"/>
  <c r="AA8" i="6"/>
  <c r="AA67" i="6" s="1"/>
  <c r="AI8" i="6"/>
  <c r="AC8" i="6"/>
  <c r="AC67" i="6" s="1"/>
  <c r="F47" i="6" l="1"/>
  <c r="G47" i="6" s="1"/>
  <c r="Y7" i="6"/>
  <c r="AR7" i="6"/>
  <c r="AR20" i="6" s="1"/>
  <c r="AE7" i="6"/>
  <c r="AQ7" i="6"/>
  <c r="AQ20" i="6" s="1"/>
  <c r="AK7" i="6"/>
  <c r="AK20" i="6" s="1"/>
  <c r="AL7" i="6"/>
  <c r="AL20" i="6" s="1"/>
  <c r="Z7" i="6"/>
  <c r="AI7" i="6"/>
  <c r="AA7" i="6"/>
  <c r="AH7" i="6"/>
  <c r="AO7" i="6"/>
  <c r="AO20" i="6" s="1"/>
  <c r="F48" i="6"/>
  <c r="G48" i="6" s="1"/>
  <c r="AP7" i="6"/>
  <c r="AP20" i="6" s="1"/>
  <c r="AB7" i="6"/>
  <c r="F27" i="6"/>
  <c r="G27" i="6" s="1"/>
  <c r="AF7" i="6"/>
  <c r="AN7" i="6"/>
  <c r="AN20" i="6" s="1"/>
  <c r="AC7" i="6"/>
  <c r="AG7" i="6"/>
  <c r="AT7" i="6"/>
  <c r="AM7" i="6"/>
  <c r="AM20" i="6" s="1"/>
  <c r="AJ7" i="6"/>
  <c r="AS7" i="6"/>
  <c r="X7" i="6"/>
  <c r="AD7" i="6"/>
  <c r="S51" i="30"/>
  <c r="S52" i="30"/>
  <c r="AR13" i="30"/>
  <c r="AR14" i="30" s="1"/>
  <c r="AS12" i="30" s="1"/>
  <c r="R36" i="30"/>
  <c r="U14" i="30"/>
  <c r="U15" i="30" s="1"/>
  <c r="T51" i="30"/>
  <c r="T52" i="30"/>
  <c r="AA10" i="6"/>
  <c r="AA11" i="6" s="1"/>
  <c r="H29" i="6" s="1"/>
  <c r="BB10" i="6"/>
  <c r="BC8" i="6" s="1"/>
  <c r="AG74" i="6" l="1"/>
  <c r="AG66" i="6"/>
  <c r="AG20" i="6"/>
  <c r="Z74" i="6"/>
  <c r="Z66" i="6"/>
  <c r="Z20" i="6"/>
  <c r="Z10" i="6"/>
  <c r="Z11" i="6" s="1"/>
  <c r="Z13" i="6" s="1"/>
  <c r="F28" i="6"/>
  <c r="G28" i="6" s="1"/>
  <c r="AJ20" i="6"/>
  <c r="AJ74" i="6"/>
  <c r="AC66" i="6"/>
  <c r="AC74" i="6"/>
  <c r="AC20" i="6"/>
  <c r="AB66" i="6"/>
  <c r="AB74" i="6"/>
  <c r="AB20" i="6"/>
  <c r="AH66" i="6"/>
  <c r="AH20" i="6"/>
  <c r="AH74" i="6"/>
  <c r="AL23" i="6"/>
  <c r="AL47" i="6"/>
  <c r="AL51" i="6" s="1"/>
  <c r="AR47" i="6"/>
  <c r="AR51" i="6" s="1"/>
  <c r="AR23" i="6"/>
  <c r="AE66" i="6"/>
  <c r="AE74" i="6"/>
  <c r="AE20" i="6"/>
  <c r="AD20" i="6"/>
  <c r="AD66" i="6"/>
  <c r="AD74" i="6"/>
  <c r="AM23" i="6"/>
  <c r="AM47" i="6"/>
  <c r="AM51" i="6" s="1"/>
  <c r="AN47" i="6"/>
  <c r="AN51" i="6" s="1"/>
  <c r="AN23" i="6"/>
  <c r="AP47" i="6"/>
  <c r="AP51" i="6" s="1"/>
  <c r="AP23" i="6"/>
  <c r="F44" i="6"/>
  <c r="G44" i="6" s="1"/>
  <c r="F45" i="6"/>
  <c r="G45" i="6" s="1"/>
  <c r="F29" i="6"/>
  <c r="G29" i="6" s="1"/>
  <c r="I29" i="6" s="1"/>
  <c r="F38" i="6"/>
  <c r="G38" i="6" s="1"/>
  <c r="F39" i="6"/>
  <c r="G39" i="6" s="1"/>
  <c r="F33" i="6"/>
  <c r="G33" i="6" s="1"/>
  <c r="F43" i="6"/>
  <c r="G43" i="6" s="1"/>
  <c r="AA74" i="6"/>
  <c r="F40" i="6"/>
  <c r="G40" i="6" s="1"/>
  <c r="F41" i="6"/>
  <c r="G41" i="6" s="1"/>
  <c r="AA20" i="6"/>
  <c r="F34" i="6"/>
  <c r="G34" i="6" s="1"/>
  <c r="F35" i="6"/>
  <c r="G35" i="6" s="1"/>
  <c r="F36" i="6"/>
  <c r="G36" i="6" s="1"/>
  <c r="F37" i="6"/>
  <c r="G37" i="6" s="1"/>
  <c r="F46" i="6"/>
  <c r="G46" i="6" s="1"/>
  <c r="F30" i="6"/>
  <c r="G30" i="6" s="1"/>
  <c r="F31" i="6"/>
  <c r="G31" i="6" s="1"/>
  <c r="F32" i="6"/>
  <c r="G32" i="6" s="1"/>
  <c r="F42" i="6"/>
  <c r="G42" i="6" s="1"/>
  <c r="AA66" i="6"/>
  <c r="AK47" i="6"/>
  <c r="AK51" i="6" s="1"/>
  <c r="AK23" i="6"/>
  <c r="Y66" i="6"/>
  <c r="Y20" i="6"/>
  <c r="Y10" i="6"/>
  <c r="Y77" i="6"/>
  <c r="AS20" i="6"/>
  <c r="AS10" i="6"/>
  <c r="AO23" i="6"/>
  <c r="AO47" i="6"/>
  <c r="AO51" i="6" s="1"/>
  <c r="X10" i="6"/>
  <c r="X20" i="6"/>
  <c r="X66" i="6"/>
  <c r="AT20" i="6"/>
  <c r="AT10" i="6"/>
  <c r="AF66" i="6"/>
  <c r="AF20" i="6"/>
  <c r="AF74" i="6"/>
  <c r="AI20" i="6"/>
  <c r="AI74" i="6"/>
  <c r="AQ23" i="6"/>
  <c r="AQ47" i="6"/>
  <c r="AQ51" i="6" s="1"/>
  <c r="U17" i="30"/>
  <c r="U18" i="30" s="1"/>
  <c r="U44" i="30"/>
  <c r="U45" i="30" s="1"/>
  <c r="U34" i="30"/>
  <c r="T37" i="30"/>
  <c r="S37" i="30"/>
  <c r="R37" i="30"/>
  <c r="AS13" i="30"/>
  <c r="AS14" i="30" s="1"/>
  <c r="AT12" i="30" s="1"/>
  <c r="V13" i="30"/>
  <c r="AA33" i="6"/>
  <c r="AA34" i="6" s="1"/>
  <c r="AA68" i="6"/>
  <c r="AA45" i="6"/>
  <c r="AA13" i="6"/>
  <c r="BC9" i="6"/>
  <c r="AB9" i="6" s="1"/>
  <c r="AB10" i="6" s="1"/>
  <c r="AB11" i="6" s="1"/>
  <c r="AA69" i="6" l="1"/>
  <c r="Z33" i="6"/>
  <c r="Z34" i="6" s="1"/>
  <c r="AT23" i="6"/>
  <c r="AT47" i="6"/>
  <c r="AT51" i="6" s="1"/>
  <c r="AH23" i="6"/>
  <c r="AH47" i="6"/>
  <c r="AH51" i="6" s="1"/>
  <c r="AF47" i="6"/>
  <c r="AF51" i="6" s="1"/>
  <c r="AF23" i="6"/>
  <c r="Y11" i="6"/>
  <c r="Y13" i="6" s="1"/>
  <c r="Y14" i="6" s="1"/>
  <c r="Z14" i="6" s="1"/>
  <c r="AA14" i="6" s="1"/>
  <c r="AC47" i="6"/>
  <c r="AC51" i="6" s="1"/>
  <c r="AC23" i="6"/>
  <c r="AJ47" i="6"/>
  <c r="AJ51" i="6" s="1"/>
  <c r="AJ23" i="6"/>
  <c r="Z47" i="6"/>
  <c r="Z51" i="6" s="1"/>
  <c r="Z23" i="6"/>
  <c r="AA47" i="6"/>
  <c r="AA51" i="6" s="1"/>
  <c r="AA52" i="6" s="1"/>
  <c r="AA23" i="6"/>
  <c r="AA36" i="6" s="1"/>
  <c r="AG23" i="6"/>
  <c r="AG47" i="6"/>
  <c r="AG51" i="6" s="1"/>
  <c r="X47" i="6"/>
  <c r="X51" i="6" s="1"/>
  <c r="X23" i="6"/>
  <c r="AS11" i="6"/>
  <c r="AS13" i="6" s="1"/>
  <c r="Y47" i="6"/>
  <c r="Y51" i="6" s="1"/>
  <c r="Y23" i="6"/>
  <c r="AB47" i="6"/>
  <c r="AB51" i="6" s="1"/>
  <c r="AB23" i="6"/>
  <c r="AE47" i="6"/>
  <c r="AE51" i="6" s="1"/>
  <c r="AE23" i="6"/>
  <c r="Z45" i="6"/>
  <c r="H28" i="6"/>
  <c r="I28" i="6" s="1"/>
  <c r="Z68" i="6"/>
  <c r="Z69" i="6" s="1"/>
  <c r="AI47" i="6"/>
  <c r="AI51" i="6" s="1"/>
  <c r="AI23" i="6"/>
  <c r="AT11" i="6"/>
  <c r="AT13" i="6" s="1"/>
  <c r="X11" i="6"/>
  <c r="X13" i="6" s="1"/>
  <c r="AS23" i="6"/>
  <c r="AS47" i="6"/>
  <c r="AS51" i="6" s="1"/>
  <c r="AD47" i="6"/>
  <c r="AD51" i="6" s="1"/>
  <c r="AD23" i="6"/>
  <c r="G50" i="6"/>
  <c r="G49" i="6"/>
  <c r="AT13" i="30"/>
  <c r="X13" i="30" s="1"/>
  <c r="U52" i="30"/>
  <c r="U51" i="30"/>
  <c r="V14" i="30"/>
  <c r="W13" i="30"/>
  <c r="W14" i="30" s="1"/>
  <c r="U35" i="30"/>
  <c r="AB13" i="6"/>
  <c r="AB68" i="6"/>
  <c r="AB69" i="6" s="1"/>
  <c r="AB45" i="6"/>
  <c r="AB33" i="6"/>
  <c r="AB34" i="6" s="1"/>
  <c r="H30" i="6"/>
  <c r="I30" i="6" s="1"/>
  <c r="BC10" i="6"/>
  <c r="BD8" i="6" s="1"/>
  <c r="Z36" i="6" l="1"/>
  <c r="AB36" i="6"/>
  <c r="AB52" i="6"/>
  <c r="H48" i="6"/>
  <c r="I48" i="6" s="1"/>
  <c r="AT45" i="6"/>
  <c r="AT52" i="6" s="1"/>
  <c r="AT33" i="6"/>
  <c r="AT34" i="6" s="1"/>
  <c r="AT36" i="6" s="1"/>
  <c r="X57" i="6"/>
  <c r="X54" i="6"/>
  <c r="Z52" i="6"/>
  <c r="H47" i="6"/>
  <c r="I47" i="6" s="1"/>
  <c r="AS45" i="6"/>
  <c r="AS52" i="6" s="1"/>
  <c r="AS33" i="6"/>
  <c r="AS34" i="6" s="1"/>
  <c r="AS36" i="6" s="1"/>
  <c r="Y68" i="6"/>
  <c r="Y69" i="6" s="1"/>
  <c r="H27" i="6"/>
  <c r="I27" i="6" s="1"/>
  <c r="Y33" i="6"/>
  <c r="Y34" i="6" s="1"/>
  <c r="Y36" i="6" s="1"/>
  <c r="Y45" i="6"/>
  <c r="Y52" i="6" s="1"/>
  <c r="X68" i="6"/>
  <c r="X69" i="6" s="1"/>
  <c r="X45" i="6"/>
  <c r="X52" i="6" s="1"/>
  <c r="H26" i="6"/>
  <c r="I26" i="6" s="1"/>
  <c r="X33" i="6"/>
  <c r="X34" i="6" s="1"/>
  <c r="X36" i="6" s="1"/>
  <c r="AT14" i="30"/>
  <c r="AU12" i="30" s="1"/>
  <c r="AU13" i="30" s="1"/>
  <c r="W15" i="30"/>
  <c r="W17" i="30" s="1"/>
  <c r="V15" i="30"/>
  <c r="V17" i="30" s="1"/>
  <c r="V18" i="30" s="1"/>
  <c r="U36" i="30"/>
  <c r="AB14" i="6"/>
  <c r="BD9" i="6"/>
  <c r="AC9" i="6" s="1"/>
  <c r="AC10" i="6" s="1"/>
  <c r="X37" i="6" l="1"/>
  <c r="AA37" i="6"/>
  <c r="Z37" i="6"/>
  <c r="AB37" i="6"/>
  <c r="Y37" i="6"/>
  <c r="X70" i="6"/>
  <c r="Y65" i="6" s="1"/>
  <c r="X71" i="6"/>
  <c r="AU14" i="30"/>
  <c r="AV12" i="30" s="1"/>
  <c r="AV13" i="30" s="1"/>
  <c r="AV14" i="30" s="1"/>
  <c r="AW12" i="30" s="1"/>
  <c r="X14" i="30"/>
  <c r="Y13" i="30"/>
  <c r="V44" i="30"/>
  <c r="V45" i="30" s="1"/>
  <c r="V34" i="30"/>
  <c r="W18" i="30"/>
  <c r="U37" i="30"/>
  <c r="W34" i="30"/>
  <c r="W35" i="30" s="1"/>
  <c r="W36" i="30" s="1"/>
  <c r="W44" i="30"/>
  <c r="W45" i="30" s="1"/>
  <c r="AC11" i="6"/>
  <c r="BD10" i="6"/>
  <c r="BE8" i="6" s="1"/>
  <c r="Y71" i="6" l="1"/>
  <c r="Y70" i="6"/>
  <c r="Z65" i="6" s="1"/>
  <c r="AW13" i="30"/>
  <c r="AW14" i="30" s="1"/>
  <c r="AX12" i="30" s="1"/>
  <c r="V51" i="30"/>
  <c r="V52" i="30"/>
  <c r="W51" i="30"/>
  <c r="W52" i="30"/>
  <c r="Y14" i="30"/>
  <c r="Y15" i="30" s="1"/>
  <c r="Z13" i="30"/>
  <c r="V35" i="30"/>
  <c r="V36" i="30" s="1"/>
  <c r="X15" i="30"/>
  <c r="X17" i="30" s="1"/>
  <c r="X18" i="30" s="1"/>
  <c r="BE9" i="6"/>
  <c r="AD9" i="6" s="1"/>
  <c r="AD10" i="6" s="1"/>
  <c r="AC68" i="6"/>
  <c r="AC69" i="6" s="1"/>
  <c r="AC33" i="6"/>
  <c r="AC34" i="6" s="1"/>
  <c r="AC36" i="6" s="1"/>
  <c r="H31" i="6"/>
  <c r="I31" i="6" s="1"/>
  <c r="AC45" i="6"/>
  <c r="AC52" i="6" s="1"/>
  <c r="AC13" i="6"/>
  <c r="AC14" i="6" s="1"/>
  <c r="Z70" i="6" l="1"/>
  <c r="AA65" i="6" s="1"/>
  <c r="Z71" i="6"/>
  <c r="X34" i="30"/>
  <c r="X44" i="30"/>
  <c r="X45" i="30" s="1"/>
  <c r="Y17" i="30"/>
  <c r="Y18" i="30" s="1"/>
  <c r="Y34" i="30"/>
  <c r="Y35" i="30" s="1"/>
  <c r="Y36" i="30" s="1"/>
  <c r="Y44" i="30"/>
  <c r="Y45" i="30" s="1"/>
  <c r="AX13" i="30"/>
  <c r="AX14" i="30" s="1"/>
  <c r="AY12" i="30" s="1"/>
  <c r="W37" i="30"/>
  <c r="V37" i="30"/>
  <c r="Z14" i="30"/>
  <c r="Z15" i="30" s="1"/>
  <c r="AA13" i="30"/>
  <c r="AD11" i="6"/>
  <c r="AC37" i="6"/>
  <c r="BE10" i="6"/>
  <c r="BF8" i="6" s="1"/>
  <c r="AA71" i="6" l="1"/>
  <c r="AA70" i="6"/>
  <c r="AB65" i="6" s="1"/>
  <c r="AY13" i="30"/>
  <c r="AY14" i="30" s="1"/>
  <c r="AZ12" i="30" s="1"/>
  <c r="AA14" i="30"/>
  <c r="AB13" i="30"/>
  <c r="X51" i="30"/>
  <c r="X52" i="30"/>
  <c r="Z17" i="30"/>
  <c r="Z18" i="30" s="1"/>
  <c r="Z44" i="30"/>
  <c r="Z45" i="30" s="1"/>
  <c r="Z34" i="30"/>
  <c r="Z35" i="30" s="1"/>
  <c r="Z36" i="30" s="1"/>
  <c r="Y52" i="30"/>
  <c r="Y51" i="30"/>
  <c r="X35" i="30"/>
  <c r="X36" i="30" s="1"/>
  <c r="X37" i="30" s="1"/>
  <c r="AD68" i="6"/>
  <c r="AD69" i="6" s="1"/>
  <c r="AD33" i="6"/>
  <c r="AD34" i="6" s="1"/>
  <c r="AD36" i="6" s="1"/>
  <c r="H32" i="6"/>
  <c r="I32" i="6" s="1"/>
  <c r="AD45" i="6"/>
  <c r="AD52" i="6" s="1"/>
  <c r="BF9" i="6"/>
  <c r="AE9" i="6" s="1"/>
  <c r="AE10" i="6" s="1"/>
  <c r="AE11" i="6" s="1"/>
  <c r="AD13" i="6"/>
  <c r="AD14" i="6" s="1"/>
  <c r="AB71" i="6" l="1"/>
  <c r="AB70" i="6"/>
  <c r="AC65" i="6" s="1"/>
  <c r="Z37" i="30"/>
  <c r="AZ13" i="30"/>
  <c r="AZ14" i="30" s="1"/>
  <c r="BA12" i="30" s="1"/>
  <c r="AB14" i="30"/>
  <c r="AB15" i="30" s="1"/>
  <c r="AC13" i="30"/>
  <c r="AA15" i="30"/>
  <c r="AA17" i="30" s="1"/>
  <c r="AA18" i="30" s="1"/>
  <c r="Z52" i="30"/>
  <c r="Z51" i="30"/>
  <c r="Y37" i="30"/>
  <c r="AE13" i="6"/>
  <c r="AE14" i="6" s="1"/>
  <c r="AE45" i="6"/>
  <c r="AE52" i="6" s="1"/>
  <c r="AE33" i="6"/>
  <c r="AE34" i="6" s="1"/>
  <c r="AE36" i="6" s="1"/>
  <c r="AE68" i="6"/>
  <c r="AE69" i="6" s="1"/>
  <c r="H33" i="6"/>
  <c r="I33" i="6" s="1"/>
  <c r="AD37" i="6"/>
  <c r="BF10" i="6"/>
  <c r="BG8" i="6" s="1"/>
  <c r="AC70" i="6" l="1"/>
  <c r="AD65" i="6" s="1"/>
  <c r="AC71" i="6"/>
  <c r="AB17" i="30"/>
  <c r="AB18" i="30" s="1"/>
  <c r="AB44" i="30"/>
  <c r="AB45" i="30" s="1"/>
  <c r="AB34" i="30"/>
  <c r="AB35" i="30" s="1"/>
  <c r="AB36" i="30" s="1"/>
  <c r="BA13" i="30"/>
  <c r="AA44" i="30"/>
  <c r="AA45" i="30" s="1"/>
  <c r="AA34" i="30"/>
  <c r="AA35" i="30" s="1"/>
  <c r="AA36" i="30" s="1"/>
  <c r="AA37" i="30" s="1"/>
  <c r="AC14" i="30"/>
  <c r="AC15" i="30" s="1"/>
  <c r="AD13" i="30"/>
  <c r="BG9" i="6"/>
  <c r="AF9" i="6" s="1"/>
  <c r="AF10" i="6" s="1"/>
  <c r="AE37" i="6"/>
  <c r="AD70" i="6" l="1"/>
  <c r="AE65" i="6" s="1"/>
  <c r="AD71" i="6"/>
  <c r="AB37" i="30"/>
  <c r="AA52" i="30"/>
  <c r="AA51" i="30"/>
  <c r="AB51" i="30"/>
  <c r="AB52" i="30"/>
  <c r="AC17" i="30"/>
  <c r="AC18" i="30" s="1"/>
  <c r="AC44" i="30"/>
  <c r="AC45" i="30" s="1"/>
  <c r="AC34" i="30"/>
  <c r="AC35" i="30" s="1"/>
  <c r="AC36" i="30" s="1"/>
  <c r="AC37" i="30" s="1"/>
  <c r="AD14" i="30"/>
  <c r="AD15" i="30" s="1"/>
  <c r="AE13" i="30"/>
  <c r="BA14" i="30"/>
  <c r="BB12" i="30" s="1"/>
  <c r="AF11" i="6"/>
  <c r="BG10" i="6"/>
  <c r="BH8" i="6" s="1"/>
  <c r="AE71" i="6" l="1"/>
  <c r="AE70" i="6"/>
  <c r="AF65" i="6" s="1"/>
  <c r="AD17" i="30"/>
  <c r="AD18" i="30" s="1"/>
  <c r="AD44" i="30"/>
  <c r="AD45" i="30" s="1"/>
  <c r="AD34" i="30"/>
  <c r="AD35" i="30" s="1"/>
  <c r="AD36" i="30" s="1"/>
  <c r="AD37" i="30" s="1"/>
  <c r="BB13" i="30"/>
  <c r="BB14" i="30" s="1"/>
  <c r="BC12" i="30" s="1"/>
  <c r="AC52" i="30"/>
  <c r="AC51" i="30"/>
  <c r="BH9" i="6"/>
  <c r="AG9" i="6" s="1"/>
  <c r="AG10" i="6" s="1"/>
  <c r="AG11" i="6" s="1"/>
  <c r="AG68" i="6" s="1"/>
  <c r="AG69" i="6" s="1"/>
  <c r="AF45" i="6"/>
  <c r="AF52" i="6" s="1"/>
  <c r="AF33" i="6"/>
  <c r="AF34" i="6" s="1"/>
  <c r="AF36" i="6" s="1"/>
  <c r="H34" i="6"/>
  <c r="I34" i="6" s="1"/>
  <c r="AF68" i="6"/>
  <c r="AF69" i="6" s="1"/>
  <c r="AF13" i="6"/>
  <c r="AF14" i="6" s="1"/>
  <c r="BC13" i="30" l="1"/>
  <c r="BC14" i="30" s="1"/>
  <c r="BD12" i="30" s="1"/>
  <c r="AE14" i="30"/>
  <c r="AF13" i="30"/>
  <c r="AD52" i="30"/>
  <c r="AD51" i="30"/>
  <c r="AG13" i="6"/>
  <c r="AG14" i="6" s="1"/>
  <c r="AG45" i="6"/>
  <c r="AG52" i="6" s="1"/>
  <c r="H35" i="6"/>
  <c r="I35" i="6" s="1"/>
  <c r="AG33" i="6"/>
  <c r="AG34" i="6" s="1"/>
  <c r="AG36" i="6" s="1"/>
  <c r="AG37" i="6" s="1"/>
  <c r="AF71" i="6"/>
  <c r="AF70" i="6"/>
  <c r="AG65" i="6" s="1"/>
  <c r="AF37" i="6"/>
  <c r="BH10" i="6"/>
  <c r="BI8" i="6" s="1"/>
  <c r="AE15" i="30" l="1"/>
  <c r="AE17" i="30" s="1"/>
  <c r="AE18" i="30" s="1"/>
  <c r="BD13" i="30"/>
  <c r="AF14" i="30"/>
  <c r="AG13" i="30"/>
  <c r="AG70" i="6"/>
  <c r="AH65" i="6" s="1"/>
  <c r="AG71" i="6"/>
  <c r="X72" i="6" s="1"/>
  <c r="BI9" i="6"/>
  <c r="AR10" i="6"/>
  <c r="AG14" i="30" l="1"/>
  <c r="AH13" i="30"/>
  <c r="AH14" i="30" s="1"/>
  <c r="BD14" i="30"/>
  <c r="BE12" i="30" s="1"/>
  <c r="AF15" i="30"/>
  <c r="AE44" i="30"/>
  <c r="AE45" i="30" s="1"/>
  <c r="AE34" i="30"/>
  <c r="AE35" i="30" s="1"/>
  <c r="AE36" i="30" s="1"/>
  <c r="AE37" i="30" s="1"/>
  <c r="AH9" i="6"/>
  <c r="BI10" i="6"/>
  <c r="BJ8" i="6" s="1"/>
  <c r="AR11" i="6"/>
  <c r="AF44" i="30" l="1"/>
  <c r="AF45" i="30" s="1"/>
  <c r="AF34" i="30"/>
  <c r="AF35" i="30" s="1"/>
  <c r="AF36" i="30" s="1"/>
  <c r="AF37" i="30" s="1"/>
  <c r="BE13" i="30"/>
  <c r="BE14" i="30" s="1"/>
  <c r="BF12" i="30" s="1"/>
  <c r="AE51" i="30"/>
  <c r="AE52" i="30"/>
  <c r="AH15" i="30"/>
  <c r="AH17" i="30" s="1"/>
  <c r="AF17" i="30"/>
  <c r="AF18" i="30" s="1"/>
  <c r="AG15" i="30"/>
  <c r="AG17" i="30" s="1"/>
  <c r="AH10" i="6"/>
  <c r="BJ9" i="6"/>
  <c r="H46" i="6"/>
  <c r="I46" i="6" s="1"/>
  <c r="AR33" i="6"/>
  <c r="AR34" i="6" s="1"/>
  <c r="AR36" i="6" s="1"/>
  <c r="AR45" i="6"/>
  <c r="AR13" i="6"/>
  <c r="AG18" i="30" l="1"/>
  <c r="AH18" i="30" s="1"/>
  <c r="AH34" i="30"/>
  <c r="AH35" i="30" s="1"/>
  <c r="AH36" i="30" s="1"/>
  <c r="AH44" i="30"/>
  <c r="AH45" i="30" s="1"/>
  <c r="AI13" i="30"/>
  <c r="AI14" i="30" s="1"/>
  <c r="AI15" i="30" s="1"/>
  <c r="BF13" i="30"/>
  <c r="AG44" i="30"/>
  <c r="AG45" i="30" s="1"/>
  <c r="AG34" i="30"/>
  <c r="AG35" i="30" s="1"/>
  <c r="AG36" i="30" s="1"/>
  <c r="AG37" i="30" s="1"/>
  <c r="AF51" i="30"/>
  <c r="AF52" i="30"/>
  <c r="AI9" i="6"/>
  <c r="AH11" i="6"/>
  <c r="BJ10" i="6"/>
  <c r="BK8" i="6" s="1"/>
  <c r="AR52" i="6"/>
  <c r="AI17" i="30" l="1"/>
  <c r="AI18" i="30" s="1"/>
  <c r="AI34" i="30"/>
  <c r="AI35" i="30" s="1"/>
  <c r="AI36" i="30" s="1"/>
  <c r="AI37" i="30" s="1"/>
  <c r="AI44" i="30"/>
  <c r="AI45" i="30" s="1"/>
  <c r="AG51" i="30"/>
  <c r="AG52" i="30"/>
  <c r="AH52" i="30"/>
  <c r="AH51" i="30"/>
  <c r="AH37" i="30"/>
  <c r="AJ13" i="30"/>
  <c r="BG13" i="30"/>
  <c r="BK13" i="30" s="1"/>
  <c r="BF14" i="30"/>
  <c r="BG12" i="30" s="1"/>
  <c r="AH13" i="6"/>
  <c r="AH14" i="6" s="1"/>
  <c r="AH68" i="6"/>
  <c r="AH69" i="6" s="1"/>
  <c r="BK9" i="6"/>
  <c r="AI10" i="6"/>
  <c r="H36" i="6"/>
  <c r="I36" i="6" s="1"/>
  <c r="AH45" i="6"/>
  <c r="AH33" i="6"/>
  <c r="AH34" i="6" s="1"/>
  <c r="AH36" i="6" s="1"/>
  <c r="AJ14" i="30" l="1"/>
  <c r="AL13" i="30"/>
  <c r="BG14" i="30"/>
  <c r="BH12" i="30" s="1"/>
  <c r="BH14" i="30" s="1"/>
  <c r="BI12" i="30" s="1"/>
  <c r="BI14" i="30" s="1"/>
  <c r="BJ12" i="30" s="1"/>
  <c r="BJ14" i="30" s="1"/>
  <c r="AI51" i="30"/>
  <c r="AI52" i="30"/>
  <c r="AH71" i="6"/>
  <c r="AH70" i="6"/>
  <c r="AI11" i="6"/>
  <c r="AJ9" i="6"/>
  <c r="AH37" i="6"/>
  <c r="AH52" i="6"/>
  <c r="BK10" i="6"/>
  <c r="BL8" i="6" s="1"/>
  <c r="AJ15" i="30" l="1"/>
  <c r="BL9" i="6"/>
  <c r="AJ10" i="6"/>
  <c r="AJ11" i="6" s="1"/>
  <c r="AI45" i="6"/>
  <c r="AI33" i="6"/>
  <c r="AI34" i="6" s="1"/>
  <c r="AI36" i="6" s="1"/>
  <c r="H37" i="6"/>
  <c r="I37" i="6" s="1"/>
  <c r="AI13" i="6"/>
  <c r="AI14" i="6" s="1"/>
  <c r="AJ44" i="30" l="1"/>
  <c r="AJ45" i="30" s="1"/>
  <c r="AJ34" i="30"/>
  <c r="AJ17" i="30"/>
  <c r="AJ18" i="30" s="1"/>
  <c r="AK18" i="30" s="1"/>
  <c r="AJ13" i="6"/>
  <c r="AJ14" i="6" s="1"/>
  <c r="AJ33" i="6"/>
  <c r="AJ34" i="6" s="1"/>
  <c r="AJ36" i="6" s="1"/>
  <c r="AJ37" i="6" s="1"/>
  <c r="H38" i="6"/>
  <c r="I38" i="6" s="1"/>
  <c r="AJ45" i="6"/>
  <c r="AJ52" i="6" s="1"/>
  <c r="AK9" i="6"/>
  <c r="AI52" i="6"/>
  <c r="AI37" i="6"/>
  <c r="BL10" i="6"/>
  <c r="BM8" i="6" s="1"/>
  <c r="AJ51" i="30" l="1"/>
  <c r="AJ52" i="30"/>
  <c r="AJ35" i="30"/>
  <c r="AL34" i="30"/>
  <c r="AK10" i="6"/>
  <c r="AK11" i="6" s="1"/>
  <c r="BM9" i="6"/>
  <c r="AJ36" i="30" l="1"/>
  <c r="AL35" i="30"/>
  <c r="O55" i="30"/>
  <c r="E15" i="31" s="1"/>
  <c r="O58" i="30"/>
  <c r="E17" i="31" s="1"/>
  <c r="O57" i="30"/>
  <c r="O54" i="30"/>
  <c r="AL9" i="6"/>
  <c r="AK13" i="6"/>
  <c r="AK14" i="6" s="1"/>
  <c r="AK45" i="6"/>
  <c r="H39" i="6"/>
  <c r="I39" i="6" s="1"/>
  <c r="AK33" i="6"/>
  <c r="AK34" i="6" s="1"/>
  <c r="AK36" i="6" s="1"/>
  <c r="BM10" i="6"/>
  <c r="BN8" i="6" s="1"/>
  <c r="AL36" i="30" l="1"/>
  <c r="AJ37" i="30"/>
  <c r="AK37" i="30"/>
  <c r="AL10" i="6"/>
  <c r="AK37" i="6"/>
  <c r="AK52" i="6"/>
  <c r="BN9" i="6"/>
  <c r="AM9" i="6" s="1"/>
  <c r="AM10" i="6" s="1"/>
  <c r="AM11" i="6" s="1"/>
  <c r="BN10" i="6" l="1"/>
  <c r="BO8" i="6" s="1"/>
  <c r="BO9" i="6" s="1"/>
  <c r="AN9" i="6" s="1"/>
  <c r="AN10" i="6" s="1"/>
  <c r="AL11" i="6"/>
  <c r="AM13" i="6"/>
  <c r="H41" i="6"/>
  <c r="I41" i="6" s="1"/>
  <c r="AM33" i="6"/>
  <c r="AM34" i="6" s="1"/>
  <c r="AM36" i="6" s="1"/>
  <c r="AM45" i="6"/>
  <c r="AM52" i="6" s="1"/>
  <c r="AL33" i="6" l="1"/>
  <c r="AL34" i="6" s="1"/>
  <c r="AL36" i="6" s="1"/>
  <c r="AM37" i="6" s="1"/>
  <c r="H40" i="6"/>
  <c r="I40" i="6" s="1"/>
  <c r="AL45" i="6"/>
  <c r="AN11" i="6"/>
  <c r="BO10" i="6"/>
  <c r="BP8" i="6" s="1"/>
  <c r="AL13" i="6"/>
  <c r="AL14" i="6" s="1"/>
  <c r="AM14" i="6" s="1"/>
  <c r="AL37" i="6" l="1"/>
  <c r="AN33" i="6"/>
  <c r="AN34" i="6" s="1"/>
  <c r="AN36" i="6" s="1"/>
  <c r="AN37" i="6" s="1"/>
  <c r="AN45" i="6"/>
  <c r="AN52" i="6" s="1"/>
  <c r="H42" i="6"/>
  <c r="I42" i="6" s="1"/>
  <c r="AL52" i="6"/>
  <c r="BP9" i="6"/>
  <c r="AO9" i="6" s="1"/>
  <c r="AO10" i="6" s="1"/>
  <c r="AO11" i="6" s="1"/>
  <c r="AN13" i="6"/>
  <c r="AN14" i="6" s="1"/>
  <c r="BP10" i="6" l="1"/>
  <c r="BQ8" i="6" s="1"/>
  <c r="BQ9" i="6" s="1"/>
  <c r="AO13" i="6"/>
  <c r="AO14" i="6" s="1"/>
  <c r="H43" i="6"/>
  <c r="I43" i="6" s="1"/>
  <c r="AO45" i="6"/>
  <c r="AO33" i="6"/>
  <c r="AO34" i="6" s="1"/>
  <c r="AO36" i="6" s="1"/>
  <c r="AO37" i="6" s="1"/>
  <c r="AO52" i="6" l="1"/>
  <c r="AP9" i="6"/>
  <c r="AP10" i="6" s="1"/>
  <c r="AP11" i="6" s="1"/>
  <c r="BR9" i="6"/>
  <c r="BQ10" i="6"/>
  <c r="BR8" i="6" s="1"/>
  <c r="AP13" i="6" l="1"/>
  <c r="AP14" i="6" s="1"/>
  <c r="AP45" i="6"/>
  <c r="AP52" i="6" s="1"/>
  <c r="AP33" i="6"/>
  <c r="AP34" i="6" s="1"/>
  <c r="AP36" i="6" s="1"/>
  <c r="AP37" i="6" s="1"/>
  <c r="H44" i="6"/>
  <c r="I44" i="6" s="1"/>
  <c r="BR10" i="6"/>
  <c r="BS8" i="6" s="1"/>
  <c r="BS10" i="6" s="1"/>
  <c r="AQ9" i="6"/>
  <c r="BF12" i="6"/>
  <c r="AQ10" i="6" l="1"/>
  <c r="AQ11" i="6" s="1"/>
  <c r="AU9" i="6"/>
  <c r="AQ13" i="6" l="1"/>
  <c r="AQ14" i="6" s="1"/>
  <c r="AR14" i="6" s="1"/>
  <c r="AS14" i="6" s="1"/>
  <c r="AT14" i="6" s="1"/>
  <c r="H45" i="6"/>
  <c r="I45" i="6" s="1"/>
  <c r="AQ45" i="6"/>
  <c r="AQ33" i="6"/>
  <c r="AQ34" i="6" s="1"/>
  <c r="AQ36" i="6" s="1"/>
  <c r="I49" i="6" l="1"/>
  <c r="I50" i="6"/>
  <c r="AQ52" i="6"/>
  <c r="X61" i="6"/>
  <c r="AQ37" i="6"/>
  <c r="AT37" i="6"/>
  <c r="AS37" i="6"/>
  <c r="AR37" i="6"/>
  <c r="X55" i="6" l="1"/>
  <c r="E19" i="8" s="1"/>
  <c r="X58" i="6"/>
  <c r="E21" i="8" s="1"/>
  <c r="D37" i="8" l="1"/>
  <c r="D33" i="8"/>
</calcChain>
</file>

<file path=xl/sharedStrings.xml><?xml version="1.0" encoding="utf-8"?>
<sst xmlns="http://schemas.openxmlformats.org/spreadsheetml/2006/main" count="1136" uniqueCount="772">
  <si>
    <t xml:space="preserve"> </t>
  </si>
  <si>
    <t>S T E E L   A U T H O R I T Y   OF   I N D I A    L I M I T E D</t>
  </si>
  <si>
    <t>-</t>
  </si>
  <si>
    <t>Item</t>
  </si>
  <si>
    <t>Total</t>
  </si>
  <si>
    <t>IDC</t>
  </si>
  <si>
    <t>Years</t>
  </si>
  <si>
    <t>Plant</t>
  </si>
  <si>
    <t>Total fund</t>
  </si>
  <si>
    <t>cost</t>
  </si>
  <si>
    <t>Loan</t>
  </si>
  <si>
    <t>incl.IDC</t>
  </si>
  <si>
    <t>LC</t>
  </si>
  <si>
    <t>1st.</t>
  </si>
  <si>
    <t>FC</t>
  </si>
  <si>
    <t>t</t>
  </si>
  <si>
    <t>Equipment</t>
  </si>
  <si>
    <t>b</t>
  </si>
  <si>
    <t>c</t>
  </si>
  <si>
    <t>d</t>
  </si>
  <si>
    <t>e</t>
  </si>
  <si>
    <t>v</t>
  </si>
  <si>
    <t>x</t>
  </si>
  <si>
    <t>Spares</t>
  </si>
  <si>
    <t>Refractories</t>
  </si>
  <si>
    <t>Sl.No</t>
  </si>
  <si>
    <t>A</t>
  </si>
  <si>
    <t>B</t>
  </si>
  <si>
    <t>C</t>
  </si>
  <si>
    <t>Structure</t>
  </si>
  <si>
    <t>Dismantling</t>
  </si>
  <si>
    <t>PI</t>
  </si>
  <si>
    <t>IRR</t>
  </si>
  <si>
    <t>%</t>
  </si>
  <si>
    <t>NPV</t>
  </si>
  <si>
    <t>a</t>
  </si>
  <si>
    <t>Unit</t>
  </si>
  <si>
    <t>Equity</t>
  </si>
  <si>
    <t>CD</t>
  </si>
  <si>
    <t>Internal</t>
  </si>
  <si>
    <t>External</t>
  </si>
  <si>
    <t>Total fund incl. IDC</t>
  </si>
  <si>
    <t>Resources</t>
  </si>
  <si>
    <t>Borrowing</t>
  </si>
  <si>
    <t>MM</t>
  </si>
  <si>
    <t>Loan+MM</t>
  </si>
  <si>
    <t xml:space="preserve">Start of prod. </t>
  </si>
  <si>
    <t>Profitability Projections</t>
  </si>
  <si>
    <t>Item/Year</t>
  </si>
  <si>
    <t>Yr 1</t>
  </si>
  <si>
    <t>Yr 2</t>
  </si>
  <si>
    <t>Yr 3</t>
  </si>
  <si>
    <t>Yr 4</t>
  </si>
  <si>
    <t>Yr 5</t>
  </si>
  <si>
    <t>Yr 6</t>
  </si>
  <si>
    <t>Yr 7</t>
  </si>
  <si>
    <t>Yr 8</t>
  </si>
  <si>
    <t>Yr 9</t>
  </si>
  <si>
    <t>Yr 10</t>
  </si>
  <si>
    <t>Yr 11</t>
  </si>
  <si>
    <t>Yr 12</t>
  </si>
  <si>
    <t>Yr 13</t>
  </si>
  <si>
    <t>Yr 14</t>
  </si>
  <si>
    <t>Yr 15</t>
  </si>
  <si>
    <t>Yr 16</t>
  </si>
  <si>
    <t>Yr 17</t>
  </si>
  <si>
    <t>Yr 18</t>
  </si>
  <si>
    <t>Yr 19</t>
  </si>
  <si>
    <t>Yr 20</t>
  </si>
  <si>
    <t>Yr 21</t>
  </si>
  <si>
    <t>Yr 22</t>
  </si>
  <si>
    <t>Calculation of depreciation</t>
  </si>
  <si>
    <t>Capacity Utilisation</t>
  </si>
  <si>
    <t>Rate of depreciation</t>
  </si>
  <si>
    <t>Gross Margin  from operation</t>
  </si>
  <si>
    <t>Year of production</t>
  </si>
  <si>
    <t>PC</t>
  </si>
  <si>
    <t>Check</t>
  </si>
  <si>
    <t>Profit Before Tax (PBT)</t>
  </si>
  <si>
    <t>Profit After Tax (PAT)</t>
  </si>
  <si>
    <t>Cumulative PAT</t>
  </si>
  <si>
    <t>Working Capital</t>
  </si>
  <si>
    <t>Start of prod.</t>
  </si>
  <si>
    <t>Cash flow statement</t>
  </si>
  <si>
    <t>Cash-Inflows :</t>
  </si>
  <si>
    <t>A. Cash from operations</t>
  </si>
  <si>
    <t>B. Equity/ Internal accruals</t>
  </si>
  <si>
    <t>(B) Cash out-flow :</t>
  </si>
  <si>
    <t>Capital expenditure</t>
  </si>
  <si>
    <t xml:space="preserve">        Equity/ Internal accruals</t>
  </si>
  <si>
    <t xml:space="preserve">        Loan</t>
  </si>
  <si>
    <t>Interest payment</t>
  </si>
  <si>
    <t>Term loan</t>
  </si>
  <si>
    <t>WC loan</t>
  </si>
  <si>
    <t>Principal repayment</t>
  </si>
  <si>
    <t>Corporate Income Tax</t>
  </si>
  <si>
    <t xml:space="preserve">Cash surplus </t>
  </si>
  <si>
    <t>Cash surplus (Cummulative)</t>
  </si>
  <si>
    <t>Sensitivity factor</t>
  </si>
  <si>
    <t>NPV &amp; IRR CALCULATIONS:</t>
  </si>
  <si>
    <t>Cap . Cost</t>
  </si>
  <si>
    <t>GM</t>
  </si>
  <si>
    <t>Outflow</t>
  </si>
  <si>
    <t>Capital Cost (excl. IDC)</t>
  </si>
  <si>
    <t>Inflow</t>
  </si>
  <si>
    <t>Gross margin</t>
  </si>
  <si>
    <t>Net flow</t>
  </si>
  <si>
    <t>Pre-tax</t>
  </si>
  <si>
    <t>Post Tax</t>
  </si>
  <si>
    <t>D</t>
  </si>
  <si>
    <t>Post-tax</t>
  </si>
  <si>
    <t>E</t>
  </si>
  <si>
    <t>Capital cost</t>
  </si>
  <si>
    <t>Rs crore</t>
  </si>
  <si>
    <t>Rs.crore</t>
  </si>
  <si>
    <t>IRR (Post-Tax)</t>
  </si>
  <si>
    <t>SENSITIVITY  ANALYSIS</t>
  </si>
  <si>
    <t>Parameter</t>
  </si>
  <si>
    <t>(Post-tax)</t>
  </si>
  <si>
    <t>Gross margin less by 10%</t>
  </si>
  <si>
    <t>Combined effect of above two factors</t>
  </si>
  <si>
    <t xml:space="preserve">Depreciation </t>
  </si>
  <si>
    <t>Description</t>
  </si>
  <si>
    <t>Gross Margin</t>
  </si>
  <si>
    <t>Rs cr</t>
  </si>
  <si>
    <t xml:space="preserve">FINANCIAL ANALYSIS </t>
  </si>
  <si>
    <t>i</t>
  </si>
  <si>
    <t>Gross Block</t>
  </si>
  <si>
    <t>Depreciation</t>
  </si>
  <si>
    <t>Net Block</t>
  </si>
  <si>
    <t>95% 0f CC</t>
  </si>
  <si>
    <t>2nd</t>
  </si>
  <si>
    <t>Rs. in crore</t>
  </si>
  <si>
    <t xml:space="preserve">Loan </t>
  </si>
  <si>
    <t xml:space="preserve">Long term loan </t>
  </si>
  <si>
    <t>Foreign Supervision</t>
  </si>
  <si>
    <t>Qty.</t>
  </si>
  <si>
    <t>Annexure-6.6.2-1</t>
  </si>
  <si>
    <t>Sl. No.</t>
  </si>
  <si>
    <t>Value</t>
  </si>
  <si>
    <t xml:space="preserve">Phasing of expenditure-Beneficiation Plant </t>
  </si>
  <si>
    <t>PTC</t>
  </si>
  <si>
    <t>Cut off.</t>
  </si>
  <si>
    <t xml:space="preserve">Capital cost up by 10% </t>
  </si>
  <si>
    <t>Base Case</t>
  </si>
  <si>
    <t>FE Parity +7.5%</t>
  </si>
  <si>
    <t>FE Parity</t>
  </si>
  <si>
    <t>Cap Cost</t>
  </si>
  <si>
    <t>Production loss during addl. s/d period</t>
  </si>
  <si>
    <t xml:space="preserve">Corporate Income Tax </t>
  </si>
  <si>
    <t xml:space="preserve">Interest </t>
  </si>
  <si>
    <t>Structural</t>
  </si>
  <si>
    <t>Remarks</t>
  </si>
  <si>
    <t>Rs. Cr.</t>
  </si>
  <si>
    <t>3rd</t>
  </si>
  <si>
    <t>Yr 23</t>
  </si>
  <si>
    <t xml:space="preserve">Record notes of meeting of the Cost Review Committee </t>
  </si>
  <si>
    <t>1. Name of the Project</t>
  </si>
  <si>
    <t xml:space="preserve">2. Subject </t>
  </si>
  <si>
    <t>3. Assignment No.</t>
  </si>
  <si>
    <t>4. Date of cost review</t>
  </si>
  <si>
    <t>Name</t>
  </si>
  <si>
    <t>Designation</t>
  </si>
  <si>
    <t>Signature</t>
  </si>
  <si>
    <t>ii</t>
  </si>
  <si>
    <t>iii</t>
  </si>
  <si>
    <t>iv</t>
  </si>
  <si>
    <t>vi</t>
  </si>
  <si>
    <t>vii</t>
  </si>
  <si>
    <t>Name of the Supplier/Contractor</t>
  </si>
  <si>
    <t>Scope of supply</t>
  </si>
  <si>
    <t>Imported Supply</t>
  </si>
  <si>
    <t>Indigenous Supply</t>
  </si>
  <si>
    <t xml:space="preserve">Total cost </t>
  </si>
  <si>
    <t>Quoted Price</t>
  </si>
  <si>
    <t>Normalised value (Adjusted for Cap., Escl. and excl. D&amp;E, erection, supv. etc. if any )</t>
  </si>
  <si>
    <t>Factor for location</t>
  </si>
  <si>
    <t>Price trend considered (Knocked off by)</t>
  </si>
  <si>
    <t>Normalised value (Adjusted for Cap., Escal. and excl. any scope like D&amp;E, erection, Civil, Strl. etc. if any)</t>
  </si>
  <si>
    <t>FC (in FE)</t>
  </si>
  <si>
    <t>FC (Equivalent Rs. In Crore)</t>
  </si>
  <si>
    <t>LC (Rs. in Crore)</t>
  </si>
  <si>
    <t>2) Details of earlier POs considered</t>
  </si>
  <si>
    <t>(Rs. in Crore.)</t>
  </si>
  <si>
    <t xml:space="preserve">     ii) </t>
  </si>
  <si>
    <t xml:space="preserve">     iii)</t>
  </si>
  <si>
    <t>Reasons for selecting above cost:</t>
  </si>
  <si>
    <t xml:space="preserve">     iv)</t>
  </si>
  <si>
    <t xml:space="preserve">Basic Cost </t>
  </si>
  <si>
    <t>Factor for location/ Area of difficulty</t>
  </si>
  <si>
    <t>FC (Eq Rs. in Crore)</t>
  </si>
  <si>
    <t>LC (Rs. In crore)</t>
  </si>
  <si>
    <t>Civil</t>
  </si>
  <si>
    <t>Refarctories</t>
  </si>
  <si>
    <t>Erection and Commissioning</t>
  </si>
  <si>
    <t>Foreign Training</t>
  </si>
  <si>
    <t>The committee deliberated on the above issues and found the same in order.</t>
  </si>
  <si>
    <t>NPV (@ 10%), Rs Cr</t>
  </si>
  <si>
    <t>NPV @ 10% discount rate (Post-tax)</t>
  </si>
  <si>
    <t>@10%</t>
  </si>
  <si>
    <r>
      <t xml:space="preserve">i.        </t>
    </r>
    <r>
      <rPr>
        <b/>
        <u/>
        <sz val="16"/>
        <color indexed="8"/>
        <rFont val="Times New Roman"/>
        <family val="1"/>
      </rPr>
      <t>Basis for equipment only</t>
    </r>
  </si>
  <si>
    <t>Engineering estimate for additional scope of supply other than BQ/ PO</t>
  </si>
  <si>
    <t>FC         (Equivalent Rs. Crore)</t>
  </si>
  <si>
    <t>LC (Rs. Crore)</t>
  </si>
  <si>
    <t>FC            (Equivt Rs. Cr)</t>
  </si>
  <si>
    <t>Sub total</t>
  </si>
  <si>
    <t>NA</t>
  </si>
  <si>
    <t>Engineering &amp; Construction</t>
  </si>
  <si>
    <t>Taxes &amp; Duties incl. Frt</t>
  </si>
  <si>
    <t>Other (IDC)</t>
  </si>
  <si>
    <t>@5%</t>
  </si>
  <si>
    <t>Net</t>
  </si>
  <si>
    <t>Cor. Tax</t>
  </si>
  <si>
    <t>Pay-back period:</t>
  </si>
  <si>
    <t>Operating year -----&gt;</t>
  </si>
  <si>
    <t>Yr1</t>
  </si>
  <si>
    <t>Yr2</t>
  </si>
  <si>
    <t>Yr3</t>
  </si>
  <si>
    <t>Yr4</t>
  </si>
  <si>
    <t>Yr5</t>
  </si>
  <si>
    <t>Yr6</t>
  </si>
  <si>
    <t>Yr7</t>
  </si>
  <si>
    <t>Yr8</t>
  </si>
  <si>
    <t>Capital cost net of cenvat, Rs Cr</t>
  </si>
  <si>
    <t>Gross margin, Rs Cr</t>
  </si>
  <si>
    <t>Interest on loan, Rs Cr</t>
  </si>
  <si>
    <t>Corporate tax, Rs Cr</t>
  </si>
  <si>
    <t>Profit after int. &amp; tax, Rs Cr</t>
  </si>
  <si>
    <t>Balance loan, Rs Cr</t>
  </si>
  <si>
    <t>Payback period, Yrs</t>
  </si>
  <si>
    <t>DSCR, Year-wise</t>
  </si>
  <si>
    <t>Minimum DSCR</t>
  </si>
  <si>
    <t>Maximum DSCR</t>
  </si>
  <si>
    <t>Avg. DSCR</t>
  </si>
  <si>
    <t>Capital Cost net of ITC</t>
  </si>
  <si>
    <t>Input Tax Credit (ITC)</t>
  </si>
  <si>
    <t xml:space="preserve">Capital Cost (Net of ITC) </t>
  </si>
  <si>
    <t>CC net of ITC</t>
  </si>
  <si>
    <t>ITC</t>
  </si>
  <si>
    <t>5. Proceedings of meeting:</t>
  </si>
  <si>
    <t>1EURO=</t>
  </si>
  <si>
    <t>(Forward Premium Rates)</t>
  </si>
  <si>
    <t>Total cost considered (Rs in Crore): Engg. Est.</t>
  </si>
  <si>
    <t xml:space="preserve">1) Details of BQs &amp; POs considered </t>
  </si>
  <si>
    <t>Complete scope:</t>
  </si>
  <si>
    <t>brought from the above</t>
  </si>
  <si>
    <t>6. Following officials were present:</t>
  </si>
  <si>
    <t>Contingency</t>
  </si>
  <si>
    <t>Based on the above considerations, capital cost estimate net of ITC for the subject project =</t>
  </si>
  <si>
    <t>Annexure 6.6.2-1</t>
  </si>
  <si>
    <t>CONFIDENTIAL</t>
  </si>
  <si>
    <t xml:space="preserve">Ref. No.: CET-17(4)/4004/  31       </t>
  </si>
  <si>
    <t>Date: 04.02.2015</t>
  </si>
  <si>
    <t>STEEL AUTHORITY OF INDIA LIMITED</t>
  </si>
  <si>
    <t>Augmentation of facilities to supply rails for Iran export order</t>
  </si>
  <si>
    <t>PACKAGE COST ESTIMATE</t>
  </si>
  <si>
    <t>TS NO.: CET/01/BH/4004/TS/ME/01/R=1</t>
  </si>
  <si>
    <t>1 EURO=Rs.</t>
  </si>
  <si>
    <t>Rs. Crore</t>
  </si>
  <si>
    <t>1 USD=Rs.</t>
  </si>
  <si>
    <t>Sl.No.</t>
  </si>
  <si>
    <t>Description of Item</t>
  </si>
  <si>
    <t xml:space="preserve">Design &amp; Engineering incl. drgs. &amp; doc. </t>
  </si>
  <si>
    <t>Supply of Plant &amp; Equipment Incl. Technological Structures</t>
  </si>
  <si>
    <t xml:space="preserve">Supply of Building steel structures including sheeting and glazing </t>
  </si>
  <si>
    <t>Supply of Refractories</t>
  </si>
  <si>
    <t>Civil Engineering Work including all related supplies- for equipment foundation</t>
  </si>
  <si>
    <t>Civil Engineering Work including all related supplies- Others including dismantling</t>
  </si>
  <si>
    <t xml:space="preserve">Storage, handling, Erection of Plant &amp; eqpt, Bldg. steel structure &amp; Refractories incl. Comm. &amp; PG tests of the facilities </t>
  </si>
  <si>
    <t>Foreign supervision charges in India during erection, startup, commissioning &amp; PG test for _____mandays</t>
  </si>
  <si>
    <t>Foreign Training charges for _____mandays</t>
  </si>
  <si>
    <t>Ocean Freight, Custom, port clearance &amp; inland transport for imported items</t>
  </si>
  <si>
    <t>Comprehensive Marine / transit &amp; Storage-cum-erection insurance</t>
  </si>
  <si>
    <t xml:space="preserve">Included above </t>
  </si>
  <si>
    <t>Sub-total (1 to 11)</t>
  </si>
  <si>
    <t>Purchaser's Scope:</t>
  </si>
  <si>
    <t>BCD @7.5%  on CIF</t>
  </si>
  <si>
    <t xml:space="preserve">Social welfare surcharge @ 10% on BCD </t>
  </si>
  <si>
    <t xml:space="preserve">GST @ 18 % on imported supply </t>
  </si>
  <si>
    <t>Income Tax  @ 10 % grossed-up on imported services</t>
  </si>
  <si>
    <t>GST @ 18 % on imported Services &amp; IT</t>
  </si>
  <si>
    <t>Sub-total (13)</t>
  </si>
  <si>
    <t xml:space="preserve">Total Package Cost </t>
  </si>
  <si>
    <t>Input tax credit (ITC) on GST</t>
  </si>
  <si>
    <t>Package cost net of ITC on GST</t>
  </si>
  <si>
    <t>SAIL/CET</t>
  </si>
  <si>
    <t>13.05.2016</t>
  </si>
  <si>
    <t>-do</t>
  </si>
  <si>
    <t>Erection for imported supply</t>
  </si>
  <si>
    <t>Erection for plant &amp; equipt</t>
  </si>
  <si>
    <t xml:space="preserve">Erection for structure </t>
  </si>
  <si>
    <t xml:space="preserve">Erection for refractory </t>
  </si>
  <si>
    <t>Basic cost</t>
  </si>
  <si>
    <t xml:space="preserve">                  Indigenous supplies &amp; services</t>
  </si>
  <si>
    <t>Imp. Items</t>
  </si>
  <si>
    <t>Indg. Items</t>
  </si>
  <si>
    <t>GST Ind. supply</t>
  </si>
  <si>
    <t>GST Ind. services</t>
  </si>
  <si>
    <t xml:space="preserve">Inland Frt &amp; Ins </t>
  </si>
  <si>
    <t>Purchaser's scope</t>
  </si>
  <si>
    <t>Design &amp; Engineering</t>
  </si>
  <si>
    <t xml:space="preserve">Supply of Plant &amp; eqpt  </t>
  </si>
  <si>
    <t>Supply of  SW</t>
  </si>
  <si>
    <t xml:space="preserve">Supply of  Tech Strs </t>
  </si>
  <si>
    <t>Building structures</t>
  </si>
  <si>
    <t>Civil work incl. all related supplies -Others</t>
  </si>
  <si>
    <t>Civil work incl. all related supplies - Equipment foundation</t>
  </si>
  <si>
    <t xml:space="preserve">Erection of Plant &amp; eqpt </t>
  </si>
  <si>
    <t xml:space="preserve">Erection of Tech Strs, </t>
  </si>
  <si>
    <t xml:space="preserve">Erection of  build. strs </t>
  </si>
  <si>
    <t>Erection of  Refractories</t>
  </si>
  <si>
    <t>Training</t>
  </si>
  <si>
    <t>a) Ocean Freight</t>
  </si>
  <si>
    <t>b) Custom, port clearance &amp; inland trasport</t>
  </si>
  <si>
    <t>(P. K. Mishra)</t>
  </si>
  <si>
    <t>AGM (Projects-CTEB)</t>
  </si>
  <si>
    <t>Basic</t>
  </si>
  <si>
    <t>All other items except above</t>
  </si>
  <si>
    <r>
      <rPr>
        <b/>
        <sz val="16"/>
        <rFont val="Times New Roman"/>
        <family val="1"/>
      </rPr>
      <t>v. </t>
    </r>
    <r>
      <rPr>
        <sz val="16"/>
        <rFont val="Times New Roman"/>
        <family val="1"/>
      </rPr>
      <t xml:space="preserve">       TFL confirmed that the BOQ considered for preparing capital cost is for the total scope of work for the subject project. </t>
    </r>
  </si>
  <si>
    <t>Estimate considered for the Equipment of the Project=</t>
  </si>
  <si>
    <t>Mr. Manoj Mishra</t>
  </si>
  <si>
    <t>Refractory</t>
  </si>
  <si>
    <t>Price trend considered (BQ is already Knocked off by 10%)</t>
  </si>
  <si>
    <t>viii</t>
  </si>
  <si>
    <t xml:space="preserve">Gross Margin </t>
  </si>
  <si>
    <t>Excavation</t>
  </si>
  <si>
    <t>1 USD=</t>
  </si>
  <si>
    <t>days</t>
  </si>
  <si>
    <t>tpd</t>
  </si>
  <si>
    <t>tpa</t>
  </si>
  <si>
    <t xml:space="preserve">Equivalent Pig Production </t>
  </si>
  <si>
    <t>kg/tHM</t>
  </si>
  <si>
    <t>Proposed</t>
  </si>
  <si>
    <t>2019-20</t>
  </si>
  <si>
    <t>2018-19</t>
  </si>
  <si>
    <t>Average</t>
  </si>
  <si>
    <t>Productivity</t>
  </si>
  <si>
    <t>Loss of contribution during addl. s/d period of 120 days</t>
  </si>
  <si>
    <t>HM prodn.in Base Case</t>
  </si>
  <si>
    <t>Duration of BF shutdown envisaged</t>
  </si>
  <si>
    <t xml:space="preserve">Addl. shutdown period reqd </t>
  </si>
  <si>
    <t>HM production loss during addl S/D</t>
  </si>
  <si>
    <t>tonnes</t>
  </si>
  <si>
    <t>Contribuion loss from hot metal</t>
  </si>
  <si>
    <t>Rs Cr.</t>
  </si>
  <si>
    <t>Base case</t>
  </si>
  <si>
    <t>Incr/ Decr</t>
  </si>
  <si>
    <t>Production</t>
  </si>
  <si>
    <t>Base Data</t>
  </si>
  <si>
    <t>2020-21</t>
  </si>
  <si>
    <t>Avg. 3 years</t>
  </si>
  <si>
    <t>HM production, tpd</t>
  </si>
  <si>
    <t>Coke Rate, kg/thm</t>
  </si>
  <si>
    <t>Kg/tHM</t>
  </si>
  <si>
    <t>NSR for PIG Iron (Rs./t)</t>
  </si>
  <si>
    <t>Rs./t</t>
  </si>
  <si>
    <t>t/m3/d (WV)</t>
  </si>
  <si>
    <t>In Proposed Case:</t>
  </si>
  <si>
    <t>Additional power consumption(net) :</t>
  </si>
  <si>
    <t>kW</t>
  </si>
  <si>
    <t>Additional nitrogen consumption:</t>
  </si>
  <si>
    <t>Nm3/h</t>
  </si>
  <si>
    <t>m3/h</t>
  </si>
  <si>
    <t>Mr. S Joardar</t>
  </si>
  <si>
    <t>DATA REQUIRED FOR GROSS  MARGIN  CALCULATIONS (Assgn No. 02/DE/4906)</t>
  </si>
  <si>
    <t>Hot Blast Temp.</t>
  </si>
  <si>
    <t xml:space="preserve"> oC</t>
  </si>
  <si>
    <t>Top Pressure, kg/cm2</t>
  </si>
  <si>
    <t>kg/cm2</t>
  </si>
  <si>
    <t>Steam, tph</t>
  </si>
  <si>
    <t>tph</t>
  </si>
  <si>
    <t>BF gas consumption in stoves, Nm3/h</t>
  </si>
  <si>
    <t>CO gas consumption in stoves, Nm3/h</t>
  </si>
  <si>
    <t>--</t>
  </si>
  <si>
    <r>
      <t>DM water in close loop for stoves valves (3 nos.), m</t>
    </r>
    <r>
      <rPr>
        <vertAlign val="superscript"/>
        <sz val="11"/>
        <color indexed="8"/>
        <rFont val="Arial"/>
        <family val="2"/>
      </rPr>
      <t>3</t>
    </r>
    <r>
      <rPr>
        <sz val="11"/>
        <color indexed="8"/>
        <rFont val="Arial"/>
        <family val="2"/>
      </rPr>
      <t>/h (Hot Blast Valve)</t>
    </r>
  </si>
  <si>
    <t>Received from BSL on whatsapp</t>
  </si>
  <si>
    <t>VC for PIG Iron (Rs./t)</t>
  </si>
  <si>
    <t>Actual cost data from BSL</t>
  </si>
  <si>
    <t>Benefits to be considered on account of  HBT rise:</t>
  </si>
  <si>
    <t>2% increase in production for every 100 oC HBT increase</t>
  </si>
  <si>
    <t>Coke Rate</t>
  </si>
  <si>
    <t>3.3% decrease in coke rate for every 100 oC HBT increase</t>
  </si>
  <si>
    <t>HBT</t>
  </si>
  <si>
    <t>Deg C</t>
  </si>
  <si>
    <t>Increase in HBT due to upgradation of stoves by globally reputed design</t>
  </si>
  <si>
    <t>Effect of top pressure</t>
  </si>
  <si>
    <t>Top Pressure (Base Case)</t>
  </si>
  <si>
    <t>Kg/cm2g</t>
  </si>
  <si>
    <t>Top Pressure (Proposed case)</t>
  </si>
  <si>
    <t>kg/cm2g</t>
  </si>
  <si>
    <t>Increase in productivity due to top pressure change</t>
  </si>
  <si>
    <t>1.1% increase in production for every 0.1 kg/cm2 increase in top pressure</t>
  </si>
  <si>
    <t>Decrease in coke rate due to top pressure change</t>
  </si>
  <si>
    <t>0.5% decrease in coke rate for every 0.1 kg/cm2 increase in top pressure</t>
  </si>
  <si>
    <t xml:space="preserve"> Additional secondary industrial water: </t>
  </si>
  <si>
    <t>Total Steam Consumption in proposed case</t>
  </si>
  <si>
    <t>Total BF gas consumption in stoves in proposed case</t>
  </si>
  <si>
    <t>Total CO gas consumption in stoves in proposed case</t>
  </si>
  <si>
    <r>
      <t xml:space="preserve">Total DM water in close loop for stoves valves (3 nos.) </t>
    </r>
    <r>
      <rPr>
        <sz val="11"/>
        <color indexed="8"/>
        <rFont val="Arial"/>
        <family val="2"/>
      </rPr>
      <t xml:space="preserve"> (Hot Blast Valve)</t>
    </r>
  </si>
  <si>
    <t>Year</t>
  </si>
  <si>
    <t>NSR(Rs/t)</t>
  </si>
  <si>
    <t xml:space="preserve">NSR of Pig iron </t>
  </si>
  <si>
    <t>3 years average Received from BSL on whatsapp</t>
  </si>
  <si>
    <t xml:space="preserve">VC of PI </t>
  </si>
  <si>
    <t>Rs/t</t>
  </si>
  <si>
    <t>Budgeted Contribution of PI</t>
  </si>
  <si>
    <t xml:space="preserve">VC of BF Coke </t>
  </si>
  <si>
    <t>Actual cost data from BSL Sept'21</t>
  </si>
  <si>
    <t>BF gas</t>
  </si>
  <si>
    <t>Rs/Gcal</t>
  </si>
  <si>
    <t>CO Gas</t>
  </si>
  <si>
    <t>DM Water (make-up Water)(Rs. 1000 extra to be added over Industrial water)</t>
  </si>
  <si>
    <r>
      <t>ThM</t>
    </r>
    <r>
      <rPr>
        <vertAlign val="superscript"/>
        <sz val="11"/>
        <rFont val="Arial"/>
        <family val="2"/>
      </rPr>
      <t>3</t>
    </r>
  </si>
  <si>
    <t>Power</t>
  </si>
  <si>
    <t>MW</t>
  </si>
  <si>
    <t>Secondary Industrial Water (Water Circ Cost)</t>
  </si>
  <si>
    <t>TC</t>
  </si>
  <si>
    <t>Secondary Industrial Water (Make up)</t>
  </si>
  <si>
    <t>Nitrogen</t>
  </si>
  <si>
    <t>Yield of Pig Iron from HM</t>
  </si>
  <si>
    <t>Actual data from BSL based on 3 years average</t>
  </si>
  <si>
    <t>Steam</t>
  </si>
  <si>
    <t>Sheduled Shutdown</t>
  </si>
  <si>
    <t>Working volume of the Furnace</t>
  </si>
  <si>
    <t>Cum</t>
  </si>
  <si>
    <t>Duration of Furnace operation/ year</t>
  </si>
  <si>
    <t>Note: Production loss due to shutdown will not be considered</t>
  </si>
  <si>
    <r>
      <rPr>
        <sz val="12"/>
        <rFont val="Calibri"/>
        <family val="2"/>
      </rPr>
      <t>°</t>
    </r>
    <r>
      <rPr>
        <sz val="12"/>
        <rFont val="Arial"/>
        <family val="2"/>
      </rPr>
      <t>C</t>
    </r>
  </si>
  <si>
    <t>Hot Blast Temp.(Proposed Case)</t>
  </si>
  <si>
    <t>Increase in Hot Metal production on account of increase in HBT</t>
  </si>
  <si>
    <t>Eqvt. Addl. Pig Iron (93% yield)</t>
  </si>
  <si>
    <t>Redn. in coke rate on account of increase in HBT</t>
  </si>
  <si>
    <t>Annexure -6.5.1-1</t>
  </si>
  <si>
    <t>GROSS  MARGIN  CALCULATIONS</t>
  </si>
  <si>
    <t>Technical Parameters:</t>
  </si>
  <si>
    <t>Days</t>
  </si>
  <si>
    <r>
      <t>Kg/cm</t>
    </r>
    <r>
      <rPr>
        <vertAlign val="superscript"/>
        <sz val="12"/>
        <rFont val="Arial"/>
        <family val="2"/>
      </rPr>
      <t>2</t>
    </r>
    <r>
      <rPr>
        <sz val="12"/>
        <rFont val="Arial"/>
        <family val="2"/>
      </rPr>
      <t>g</t>
    </r>
  </si>
  <si>
    <t>High Top Pressure (Proposed Case)</t>
  </si>
  <si>
    <t>Increase in Hot Metal production on account of increase in HTP</t>
  </si>
  <si>
    <t>Hot Metal Production (Proposed)</t>
  </si>
  <si>
    <t>Addl. Hot Metal prodn</t>
  </si>
  <si>
    <t>Tonne</t>
  </si>
  <si>
    <t>Redn. in coke rate on account of increase in HTP</t>
  </si>
  <si>
    <t>Avg. Coke Rate (Proposed Case)</t>
  </si>
  <si>
    <t>Redn. in Coke Rate</t>
  </si>
  <si>
    <t>Benefits :</t>
  </si>
  <si>
    <t>Quantity (t)</t>
  </si>
  <si>
    <t>Rate (Rs/t)</t>
  </si>
  <si>
    <t>Amount (Rs. Cr)</t>
  </si>
  <si>
    <t>Sub-total (B)</t>
  </si>
  <si>
    <t>Expenditure:</t>
  </si>
  <si>
    <t>Power @ 50kWh</t>
  </si>
  <si>
    <t>Sub-total (C)</t>
  </si>
  <si>
    <t>Gross  Margin (B-C)</t>
  </si>
  <si>
    <t>Basis for benefits considered due to HBT rise:</t>
  </si>
  <si>
    <t>Hot Blast Temp. Increase</t>
  </si>
  <si>
    <t>incr. in BF productivity for every 100 deg rise in HBT</t>
  </si>
  <si>
    <t>decr. in coke rate for every 100 deg rise in HBT</t>
  </si>
  <si>
    <t>Temp. Increase</t>
  </si>
  <si>
    <t>900-1000C</t>
  </si>
  <si>
    <t>1000-1100C</t>
  </si>
  <si>
    <t>My calculation</t>
  </si>
  <si>
    <t>1100-1200C</t>
  </si>
  <si>
    <t>Top Pressure Effect</t>
  </si>
  <si>
    <t>Resultant Value</t>
  </si>
  <si>
    <t>Existing</t>
  </si>
  <si>
    <t xml:space="preserve">Addl. Steam (6 tph) </t>
  </si>
  <si>
    <t>Addl. BF Gas (20000 Nm3/h)</t>
  </si>
  <si>
    <t xml:space="preserve">CO gas </t>
  </si>
  <si>
    <t>1NM3</t>
  </si>
  <si>
    <t>kCal</t>
  </si>
  <si>
    <t>1GCal=</t>
  </si>
  <si>
    <t>4.18*10^6</t>
  </si>
  <si>
    <t>KJ</t>
  </si>
  <si>
    <t>BF Gas</t>
  </si>
  <si>
    <t>Gcal</t>
  </si>
  <si>
    <t>Hot metal production (Base Case: 2020-21)</t>
  </si>
  <si>
    <t>Hot Blast Temp.(Base Case: 2020-21)</t>
  </si>
  <si>
    <t>High Top Pressure (Base Case: 2020-21)</t>
  </si>
  <si>
    <t>Avg. Coke Rate (Base Case: 2020-21)</t>
  </si>
  <si>
    <t>Contribution from Addl. Pig Iron (Avg NSR 2018-21 &amp; VC-H1, 2021-22)</t>
  </si>
  <si>
    <t>Savings in coke consumption (VC- H1, 2021-22)</t>
  </si>
  <si>
    <t>BOKARO STEEL PLANT</t>
  </si>
  <si>
    <t>Installation of 4th Stove and Revamping of existing  3 nos. of Stoves in BF#2</t>
  </si>
  <si>
    <t>Reinforcement</t>
  </si>
  <si>
    <t>NSR of Pig Iron for the period Apr'21 to Sept'21</t>
  </si>
  <si>
    <t>Actual variable cost of pig iron for the period of Apr'21 to Sep'21</t>
  </si>
  <si>
    <t>Data Received from mail dated 12.01.2022 from TFL</t>
  </si>
  <si>
    <t>average actual cost data from BSL  for Apr'21 to Sep'21</t>
  </si>
  <si>
    <t>Also committee decided to discount recent BQs by 5%. In addition to above, committee decided to load 10% of Equipment cost on equipment for Risks, Financial Charges, and Overheads of contractor.</t>
  </si>
  <si>
    <t>CER &amp; Env. Clearance</t>
  </si>
  <si>
    <r>
      <t>DM water make up for stove @ 73 M</t>
    </r>
    <r>
      <rPr>
        <vertAlign val="superscript"/>
        <sz val="12"/>
        <color rgb="FFFF0000"/>
        <rFont val="Arial"/>
        <family val="2"/>
      </rPr>
      <t>3</t>
    </r>
    <r>
      <rPr>
        <sz val="12"/>
        <color rgb="FFFF0000"/>
        <rFont val="Arial"/>
        <family val="2"/>
      </rPr>
      <t>/hr</t>
    </r>
  </si>
  <si>
    <r>
      <t>ThM</t>
    </r>
    <r>
      <rPr>
        <vertAlign val="superscript"/>
        <sz val="12"/>
        <color rgb="FFFF0000"/>
        <rFont val="Arial"/>
        <family val="2"/>
      </rPr>
      <t>3</t>
    </r>
  </si>
  <si>
    <r>
      <t>Secondary Industrial Water Make up @ 5M</t>
    </r>
    <r>
      <rPr>
        <vertAlign val="superscript"/>
        <sz val="12"/>
        <color rgb="FFFF0000"/>
        <rFont val="Arial"/>
        <family val="2"/>
      </rPr>
      <t>3</t>
    </r>
    <r>
      <rPr>
        <sz val="12"/>
        <color rgb="FFFF0000"/>
        <rFont val="Arial"/>
        <family val="2"/>
      </rPr>
      <t>/hr</t>
    </r>
  </si>
  <si>
    <r>
      <t>Nitrogen @ 25 NM</t>
    </r>
    <r>
      <rPr>
        <vertAlign val="superscript"/>
        <sz val="12"/>
        <color rgb="FFFF0000"/>
        <rFont val="Arial"/>
        <family val="2"/>
      </rPr>
      <t>3</t>
    </r>
    <r>
      <rPr>
        <sz val="12"/>
        <color rgb="FFFF0000"/>
        <rFont val="Arial"/>
        <family val="2"/>
      </rPr>
      <t>/hr</t>
    </r>
  </si>
  <si>
    <r>
      <t>ThNM</t>
    </r>
    <r>
      <rPr>
        <vertAlign val="superscript"/>
        <sz val="12"/>
        <color rgb="FFFF0000"/>
        <rFont val="Arial"/>
        <family val="2"/>
      </rPr>
      <t>3</t>
    </r>
  </si>
  <si>
    <t>Mr. Sanjay Kumar</t>
  </si>
  <si>
    <t>Repair &amp; Maint. @ 2.5% of CC net of ITC</t>
  </si>
  <si>
    <t>Qty</t>
  </si>
  <si>
    <t>Boulder Soling</t>
  </si>
  <si>
    <t>Sqm</t>
  </si>
  <si>
    <t>Nos</t>
  </si>
  <si>
    <t>Nos.</t>
  </si>
  <si>
    <t>a.</t>
  </si>
  <si>
    <t>b.</t>
  </si>
  <si>
    <t xml:space="preserve">2.5% for owner, 5.0% for contractor </t>
  </si>
  <si>
    <t>Mechanical</t>
  </si>
  <si>
    <t>Technological Equipments</t>
  </si>
  <si>
    <t>Utilities</t>
  </si>
  <si>
    <t>Electrical</t>
  </si>
  <si>
    <t>Process Control and Automation</t>
  </si>
  <si>
    <t>C&amp;IT</t>
  </si>
  <si>
    <t>Technological Structure</t>
  </si>
  <si>
    <t>Building Structure</t>
  </si>
  <si>
    <t>Civil Eq Foundation</t>
  </si>
  <si>
    <t>Civil others</t>
  </si>
  <si>
    <t>2) Details of  POs referred</t>
  </si>
  <si>
    <t>Contract of Acme automation at BSL-T&amp;C(M)/A6171/PP/476 for installation of 33 Electronic WF at Sinter plant dt. 17.01.2020</t>
  </si>
  <si>
    <t>33 electronic weigh feeder of different capacity. Individual cost of BWF of different capacity is not provided in contract.</t>
  </si>
  <si>
    <t>Not considered</t>
  </si>
  <si>
    <t>PO of M/s Schenk for beltweigh scale of 1000 TPH with PO no. 313103061140/0001 dt: 19.04.2014</t>
  </si>
  <si>
    <t>Beltweigh scale of 1000 TPH</t>
  </si>
  <si>
    <t>GM &amp; I/c (CTE)-Convenor</t>
  </si>
  <si>
    <t>ix</t>
  </si>
  <si>
    <t>Mr. R. Kashyap</t>
  </si>
  <si>
    <t>Sr. Mgr. (Proj-CTE)</t>
  </si>
  <si>
    <t>Bench Vice</t>
  </si>
  <si>
    <t>M</t>
  </si>
  <si>
    <t>Naphthalene Recovery Plant</t>
  </si>
  <si>
    <t>Tech. Structure</t>
  </si>
  <si>
    <t>PCC M10</t>
  </si>
  <si>
    <t>RCC-M25</t>
  </si>
  <si>
    <t>MT</t>
  </si>
  <si>
    <t>Inserts</t>
  </si>
  <si>
    <t>RCC/PCC Dismantling</t>
  </si>
  <si>
    <t>Rm</t>
  </si>
  <si>
    <t>Piling (600 dia)</t>
  </si>
  <si>
    <t>Non-Shrink Grout</t>
  </si>
  <si>
    <t>IPS Flooring</t>
  </si>
  <si>
    <t>Brickwork -full brick</t>
  </si>
  <si>
    <t>20mm thk plaster</t>
  </si>
  <si>
    <t>15mm thk plaster</t>
  </si>
  <si>
    <t>6mm thk plaster</t>
  </si>
  <si>
    <t>Weatherproof paint</t>
  </si>
  <si>
    <t>Whitewashing</t>
  </si>
  <si>
    <t>APP</t>
  </si>
  <si>
    <t>Steel Doors</t>
  </si>
  <si>
    <t>Windows</t>
  </si>
  <si>
    <t>False floor</t>
  </si>
  <si>
    <t>DPC</t>
  </si>
  <si>
    <t>Plinth Protection</t>
  </si>
  <si>
    <t>False Ceiling</t>
  </si>
  <si>
    <t>Diamond Wire Saw cutting</t>
  </si>
  <si>
    <t>Vibration Isolation System (Spring)</t>
  </si>
  <si>
    <t>Rupees</t>
  </si>
  <si>
    <t>PVC tiles</t>
  </si>
  <si>
    <t>SS inserts</t>
  </si>
  <si>
    <t>Annexure - 6.5.1-1</t>
  </si>
  <si>
    <t>Gross Margin Calculation</t>
  </si>
  <si>
    <t>Technical Parameters</t>
  </si>
  <si>
    <t>Coke price:</t>
  </si>
  <si>
    <t>BF Coke production envisaged from proposed Battery / year</t>
  </si>
  <si>
    <t>Freight</t>
  </si>
  <si>
    <t>Interest</t>
  </si>
  <si>
    <t>Cost of production of BF coke (Work cost)</t>
  </si>
  <si>
    <t>Corporate tax</t>
  </si>
  <si>
    <t>Rs.cr.</t>
  </si>
  <si>
    <t xml:space="preserve">Cost of purchased BF coke </t>
  </si>
  <si>
    <r>
      <rPr>
        <b/>
        <sz val="12"/>
        <rFont val="Arial"/>
        <family val="2"/>
      </rPr>
      <t>Benefit from proposed Battery</t>
    </r>
    <r>
      <rPr>
        <sz val="12"/>
        <rFont val="Arial"/>
        <family val="2"/>
      </rPr>
      <t xml:space="preserve"> : Avoidance of cost towards purchase of equivalent BF coke from external sources (A)</t>
    </r>
  </si>
  <si>
    <t>Rs Cr</t>
  </si>
  <si>
    <r>
      <rPr>
        <b/>
        <sz val="12"/>
        <rFont val="Arial"/>
        <family val="2"/>
      </rPr>
      <t>Total expenditure</t>
    </r>
    <r>
      <rPr>
        <sz val="12"/>
        <rFont val="Arial"/>
        <family val="2"/>
      </rPr>
      <t xml:space="preserve"> towards own production cost of BF coke (B) </t>
    </r>
  </si>
  <si>
    <t>VC of Tar</t>
  </si>
  <si>
    <t xml:space="preserve"> Std. cost 2011-12, DSP</t>
  </si>
  <si>
    <t>=36000kJ/kg*0.23884kcal/kg*1000/10^6*648</t>
  </si>
  <si>
    <t xml:space="preserve">Credit of CO gas </t>
  </si>
  <si>
    <t>=213814080 Nm3*4200kcal/Nm3/10^6*648</t>
  </si>
  <si>
    <t>Calorific Value of CO gas</t>
  </si>
  <si>
    <t>kcal/Nm3</t>
  </si>
  <si>
    <t>ANNUAL THROUGHPUT</t>
  </si>
  <si>
    <t>COAL THROUGH PUT</t>
  </si>
  <si>
    <t>T/DAY</t>
  </si>
  <si>
    <t>considered 90 pushing per day for TE. Coal charge of 19.5 t per oven considered, BF coke considered as 69 %.</t>
  </si>
  <si>
    <t xml:space="preserve">GROSS COKE </t>
  </si>
  <si>
    <t>BF COKE</t>
  </si>
  <si>
    <t>GAS</t>
  </si>
  <si>
    <t>nm^3/day</t>
  </si>
  <si>
    <t>Nm3</t>
  </si>
  <si>
    <t>As per actual cost sheet 2021-22 (9 month) of  DSP</t>
  </si>
  <si>
    <t>BF Coke purchased price as per steel mint</t>
  </si>
  <si>
    <t>Gross Margin (savings with proposed battery)/ annum) (A-B)</t>
  </si>
  <si>
    <t>Phasing of expenditure</t>
  </si>
  <si>
    <t>CASH  FLOW  STATEMENT</t>
  </si>
  <si>
    <t>Annexure - 6.6.1-1</t>
  </si>
  <si>
    <t>total</t>
  </si>
  <si>
    <t>incl. IDC</t>
  </si>
  <si>
    <t>net of ITC</t>
  </si>
  <si>
    <t xml:space="preserve"> Rs. in crore</t>
  </si>
  <si>
    <t xml:space="preserve">Depreciation based on WDV method @ 15% for 95% of the net of cenvat value </t>
  </si>
  <si>
    <t>Profit before Depr., Int. &amp; Tax</t>
  </si>
  <si>
    <t>Year of comm</t>
  </si>
  <si>
    <t>Cap cost</t>
  </si>
  <si>
    <t>Chk total</t>
  </si>
  <si>
    <t>Post Comm (10%)</t>
  </si>
  <si>
    <t>Dep @15%</t>
  </si>
  <si>
    <t>Net cost</t>
  </si>
  <si>
    <t>C. Loan</t>
  </si>
  <si>
    <t>IRR(Pre-tax)</t>
  </si>
  <si>
    <t>Total outflow</t>
  </si>
  <si>
    <t>Total inflow</t>
  </si>
  <si>
    <t>2nd (35%)</t>
  </si>
  <si>
    <t>3rd  (33%)</t>
  </si>
  <si>
    <t>4th Year (1 month) (4.5%)</t>
  </si>
  <si>
    <t>1 year (10%)</t>
  </si>
  <si>
    <t>ITC on GST + salvage Value</t>
  </si>
  <si>
    <t>SAIL/ DSP</t>
  </si>
  <si>
    <t>Annexure  - 6.6.2-1</t>
  </si>
  <si>
    <t xml:space="preserve">      FINANCIAL ANALYSIS</t>
  </si>
  <si>
    <t>Rs.Cr.</t>
  </si>
  <si>
    <t>NPV @ 10%  (Post tax)</t>
  </si>
  <si>
    <t>I R R (Post Tax)</t>
  </si>
  <si>
    <t>6 months</t>
  </si>
  <si>
    <t>1 yr</t>
  </si>
  <si>
    <t>1.5 Yr</t>
  </si>
  <si>
    <t>2 Yrs</t>
  </si>
  <si>
    <t>Purchase price of BF coke</t>
  </si>
  <si>
    <t>Sensitivity Analysis</t>
  </si>
  <si>
    <t>Combined effect of above</t>
  </si>
  <si>
    <t>Purchase price of BF coke (-) 5 %</t>
  </si>
  <si>
    <t>Purchase price of BF coke (-) 10 %</t>
  </si>
  <si>
    <t>Capital cost (+) 10%</t>
  </si>
  <si>
    <t>GM (-) 10%</t>
  </si>
  <si>
    <t>Landed cost based on Met Coke data (Apr-Dec) 2021 based on steel mint data</t>
  </si>
  <si>
    <t>(A) Cash-Inflow</t>
  </si>
  <si>
    <t>(B) Cash out-flow</t>
  </si>
  <si>
    <t>Interest payment (from 4th year onwards)</t>
  </si>
  <si>
    <t>Principal repayment (from 5th year and for 10 years)</t>
  </si>
  <si>
    <t>assumption:total loan spent for capital expenditure</t>
  </si>
  <si>
    <t>refrractory</t>
  </si>
  <si>
    <t>Rail</t>
  </si>
  <si>
    <t>Technological Structure Structure</t>
  </si>
  <si>
    <t>HR casting</t>
  </si>
  <si>
    <t>Utility</t>
  </si>
  <si>
    <t>MS Pipe (gas)</t>
  </si>
  <si>
    <t xml:space="preserve">MS Pipe (water) </t>
  </si>
  <si>
    <t>CI Pipe</t>
  </si>
  <si>
    <t>Steam Pipe</t>
  </si>
  <si>
    <t>Structure, support</t>
  </si>
  <si>
    <t>MS compensator, water seal</t>
  </si>
  <si>
    <t>Fabricated MS Item</t>
  </si>
  <si>
    <t>SS Item</t>
  </si>
  <si>
    <t>Quantity</t>
  </si>
  <si>
    <t>Rate</t>
  </si>
  <si>
    <t>Hydrojet Cleaner</t>
  </si>
  <si>
    <t>Battery operated vehicle</t>
  </si>
  <si>
    <t>Rail tracks Laying</t>
  </si>
  <si>
    <t>Rail tracks Dismantling</t>
  </si>
  <si>
    <t>Roughing and grinding machine</t>
  </si>
  <si>
    <t>Drilling Machine</t>
  </si>
  <si>
    <t>Pusher side &amp; Coke side service platform of Refractory Paving in place of Cast Iron Paving</t>
  </si>
  <si>
    <t>HRC M30</t>
  </si>
  <si>
    <t xml:space="preserve">Civil works </t>
  </si>
  <si>
    <t>Coveyor galleries  new fabrication</t>
  </si>
  <si>
    <t xml:space="preserve">NRU basis changed to BQ from Engg estimate resulting in differnce </t>
  </si>
  <si>
    <t xml:space="preserve">Conveyor galleries dismantling  </t>
  </si>
  <si>
    <t>Underslung crane inplace of manual winch</t>
  </si>
  <si>
    <t xml:space="preserve">Upgradation of rail </t>
  </si>
  <si>
    <t>Scope Change from R0 to R1</t>
  </si>
  <si>
    <t>Electrical Addition</t>
  </si>
  <si>
    <t>Electrical Deletion</t>
  </si>
  <si>
    <t>Sub Total (Equ.+ Structure + Refractory)</t>
  </si>
  <si>
    <t>Heating up &amp; commisioning (3600 mandays)</t>
  </si>
  <si>
    <t>Equipment erection</t>
  </si>
  <si>
    <t>Inspection (1940 mandays) ,</t>
  </si>
  <si>
    <t xml:space="preserve"> Post Commisioning(3600 mandays)</t>
  </si>
  <si>
    <t>Erection/Ton</t>
  </si>
  <si>
    <t>: 18.05.2022</t>
  </si>
  <si>
    <t>: Revised Capital Cost Estimate &amp; Techno-Economics</t>
  </si>
  <si>
    <t>: 04/DE/4747</t>
  </si>
  <si>
    <t>DSR 2021</t>
  </si>
  <si>
    <t>CGM &amp; I/ c (Projects and C&amp; S) -Chairman</t>
  </si>
  <si>
    <t>CGM (PC&amp;A, Elec., C&amp; IT)</t>
  </si>
  <si>
    <t>Mr. Anup Kumar</t>
  </si>
  <si>
    <t>Mr. M. Choudhary</t>
  </si>
  <si>
    <t xml:space="preserve">CGM  (I&amp;S, Steel, Rolling Mills and C.C &amp;C) </t>
  </si>
  <si>
    <t>Mr. Shalabh Sharma</t>
  </si>
  <si>
    <t>CGM (Projects-PFC, BE, CTE, C&amp;C &amp; IPSS)</t>
  </si>
  <si>
    <t>Mr. S. Bhattacharjee</t>
  </si>
  <si>
    <t>GM &amp; I/c (C.C.&amp;C.)</t>
  </si>
  <si>
    <t>Ms. Jyoti Dayal</t>
  </si>
  <si>
    <t>GM (C.C.&amp;C.)</t>
  </si>
  <si>
    <t>AGM (Proj-CTE)</t>
  </si>
  <si>
    <t>Equipment + Tech structure</t>
  </si>
  <si>
    <t xml:space="preserve"> Committee discussed on BOQ along with cost &amp; supporting documents submitted by TFL and concerned TFM members .</t>
  </si>
  <si>
    <t>a)</t>
  </si>
  <si>
    <t>b)</t>
  </si>
  <si>
    <t>c)</t>
  </si>
  <si>
    <t>d)</t>
  </si>
  <si>
    <t>e)</t>
  </si>
  <si>
    <t>Capital cost estimate net of ITC for the subject project during previous issue of capital cost (base date 3rd Quarter 2020) =</t>
  </si>
  <si>
    <t>(Rs. in Crore)</t>
  </si>
  <si>
    <t>Estimate considered during previous issue of capital cost (base date 3rd Quarter 2020)=</t>
  </si>
  <si>
    <t>Amount (Rs. in Lakh)</t>
  </si>
  <si>
    <t>Total (Rs. In Cr)</t>
  </si>
  <si>
    <t>Amt (Rs. in Lakh)</t>
  </si>
  <si>
    <t>Electrical exhauster of Howden make</t>
  </si>
  <si>
    <t>Spares for electrical exhauster</t>
  </si>
  <si>
    <t>BQ of M/s paul worth  dated 27.01.2022</t>
  </si>
  <si>
    <t>10% to civil</t>
  </si>
  <si>
    <t>BQ of M/s Hutni Projekt Frydek Mistek (HPFM) and HPIL dtd 18.11.2021</t>
  </si>
  <si>
    <t>BQ of M/s Hutni Projeckt India Ltd.  dtd 15.03.2023</t>
  </si>
  <si>
    <t>BQ of M/s Hutni Projeckt India Ltd.  dtd 15.03.2022</t>
  </si>
  <si>
    <t>12000000 Euro</t>
  </si>
  <si>
    <t>f)</t>
  </si>
  <si>
    <t>g)</t>
  </si>
  <si>
    <t>h)</t>
  </si>
  <si>
    <t>i)</t>
  </si>
  <si>
    <r>
      <rPr>
        <b/>
        <sz val="16"/>
        <rFont val="Times New Roman"/>
        <family val="1"/>
      </rPr>
      <t>vi. </t>
    </r>
    <r>
      <rPr>
        <sz val="16"/>
        <rFont val="Times New Roman"/>
        <family val="1"/>
      </rPr>
      <t>       Implementation schedule : 37 months (from stage-II approval). Cost committee noted that implementation schedule was 30 months from stage-II during previous capital cost estimation</t>
    </r>
  </si>
  <si>
    <t>Civil works cost has been prepared on the basis of DSR 2021. Cost committee noted that cost of civil works in previous capital cost estimation was based on DSR 2018.</t>
  </si>
  <si>
    <t>Refractory cost is based on various latest BQs with escalation for time lapse. Cost committee delibrated to knockdown  Silica bricks &amp; Mortar cost by 15% which is based on BQ of M/s OCL Dalmia Refractories dated 31.12.2021 as it's cost appeared on higher side.</t>
  </si>
  <si>
    <t xml:space="preserve">The committee noted that the previous Capital cost estimate for subject project was Rs. 390.46 Cr net of ITC ( base date of 3rd Quarter 2020) which was based primarily on Engineering estimates,  BQs/POs.  However, a large part of the engineering estimate was based on previous projects of rebuilding of COB with suitable escalations. </t>
  </si>
  <si>
    <t>Engineering Estimate /BQs/POs</t>
  </si>
  <si>
    <t xml:space="preserve"> For supply cost of equipment, BQ, PO &amp; engg estimates for the equipment mentioned at Sl. No. a ,b,c &amp; e have been considered.  Cost review committee noted that as per practice for coke oven battery, capital cost estimate for the subject project has been prepared primarily on the basis of engineering estimate. However, a large part of the engg est is based on recently ordered values of COB#2, RSP and capital cost estimate for COB#6 at BSL ( 02/4099, Cost Committee  on 08.09.2021) with suitable escalations. </t>
  </si>
  <si>
    <t>Erection cost of refractory is based on engineering estimate instead of normative provisions. Rate of Inspection of refractory is considered as Rs.10000/Manday for 1940 mandays and rate of refractory erection is considered Rs. 6500/Ton.</t>
  </si>
  <si>
    <t>J)</t>
  </si>
  <si>
    <t>k)</t>
  </si>
  <si>
    <t>Oven machines (Pkg-2) cost are based on  discussion of TFM (Mech.) held with M/s BEC. It concluded that rate should be about 35% raised over order price for COB#2, RSP Oven machines. As the order price of RSP is above 10% more than estimate hence, the cost committee decided to increase basic rate  for subject project  by 45%  over rate considered for  COB#2 RSP.</t>
  </si>
  <si>
    <t>l)</t>
  </si>
  <si>
    <t>m)</t>
  </si>
  <si>
    <t>Cost committee considered structure/pipes rate as prevailing market rate. Rate for Heat resistant casting is based on lead section discussion with M/s Mecon.</t>
  </si>
  <si>
    <t>Electrical cost estimation is based on engg estimate based on  BQs/Pos  and M/s. Havells price list of DEC-2021(with 20 % discount).</t>
  </si>
  <si>
    <t>P.C.&amp;A. cost estimation considered engg. Estimate , recent BQs with 10% discount and previous BQs/POs with suitable escalation on the basis of WPI (all commodities).</t>
  </si>
  <si>
    <t>Cost committee noted that  after accounting for change in scope and its associated cost, basic cost escalation due to time lapse is about 43% considering the current market scenario and location fator from previous issue of capital cost (base date 3rd Quarter 2020).</t>
  </si>
  <si>
    <t>Annexure to MOM dated 18.05.2021</t>
  </si>
  <si>
    <r>
      <t xml:space="preserve">vii.        </t>
    </r>
    <r>
      <rPr>
        <b/>
        <u/>
        <sz val="16"/>
        <color indexed="8"/>
        <rFont val="Times New Roman"/>
        <family val="1"/>
      </rPr>
      <t>Capital cost estimate:</t>
    </r>
  </si>
  <si>
    <t xml:space="preserve"> Based on BQs</t>
  </si>
  <si>
    <t>Mr. Ajay Kumar</t>
  </si>
  <si>
    <t>CGM (Mechanical and U&amp;S)</t>
  </si>
  <si>
    <t>Normative+add. Prov. for heating etc</t>
  </si>
  <si>
    <t>Impact on total basic cost due to change in scope of subject project from previous estimate of capital cost is Rs. 60.58 Cr. Details of change in scope and its impact on basic cost is attached.</t>
  </si>
  <si>
    <t>Rs. 5.04 Cr over and above normative provisions has been considered towards equipment erection for heating up, commissioning and post commissioning charges.</t>
  </si>
  <si>
    <t>IISCO STEEL PLANT</t>
  </si>
  <si>
    <t xml:space="preserve">INSTALLATION OF TWO NOS. OF LADLE TILTERS AT SMS, ISP </t>
  </si>
  <si>
    <t>Technological Equipment</t>
  </si>
  <si>
    <t>₹ Crore</t>
  </si>
  <si>
    <t xml:space="preserve">Design &amp; Engineering </t>
  </si>
  <si>
    <t xml:space="preserve">Supply of Building steel structures including Sheeting and Glazing </t>
  </si>
  <si>
    <t xml:space="preserve">Civil Engineering Work including all related supplies- Others </t>
  </si>
  <si>
    <t xml:space="preserve">Storage, Handling, Erection of Plant &amp; Equipments &amp; Refractories including Commisioning and PG tests of the facilities </t>
  </si>
  <si>
    <t>Storage, Handling and Erection of Building Steel Structures</t>
  </si>
  <si>
    <t>Training charges:                                                                    (a) For ___________ Foreign mandays,                                                   (b) For ___________Indian mandays</t>
  </si>
  <si>
    <t xml:space="preserve">Customs, Port clearance (excluding duties &amp; cess to be paid by Employer) and Inland transportation (for all items quoted in foreign currency) </t>
  </si>
  <si>
    <t>Comprehensive  / Transit Storage-cum-erection insurance</t>
  </si>
  <si>
    <t>Supply of 2 years O &amp; M spares</t>
  </si>
  <si>
    <t>Sub-total (1 to 13)</t>
  </si>
  <si>
    <t>Input tax credit (ITC) for GST</t>
  </si>
  <si>
    <t>Price Bid Evaluation</t>
  </si>
  <si>
    <t>Comparative statement w.r.t. estimate</t>
  </si>
  <si>
    <t>Estimate</t>
  </si>
  <si>
    <t>Total contract price net of ITC for GST (14-15)</t>
  </si>
  <si>
    <t>Variance w.r.t. estimate</t>
  </si>
  <si>
    <t>Ranking</t>
  </si>
  <si>
    <t>M/s Graduate Agro &amp; Mechanical Engineers</t>
  </si>
  <si>
    <t>Sole Bidder</t>
  </si>
  <si>
    <t>Note:-This is a computer generated document and it does not require signature.</t>
  </si>
  <si>
    <t>Original Price Dtd: 23.07.2024</t>
  </si>
  <si>
    <t>Revised Price Dtd:-11.09.2024</t>
  </si>
  <si>
    <t>Negotiation Price dtd:-23.08.2024</t>
  </si>
  <si>
    <t>(Package No. - II)</t>
  </si>
  <si>
    <t>Date: 15.10.2024</t>
  </si>
  <si>
    <t>Revised Price Dtd:- 14.10.2024</t>
  </si>
  <si>
    <t>Ref. No.: CET-17(4)/4991/213</t>
  </si>
  <si>
    <t>Foreign Supervision charges in India during erection, startup, commissioning and PG test for _____mandays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</si>
</sst>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quot;$&quot;#,##0_);[Red]\(&quot;$&quot;#,##0\)"/>
    <numFmt numFmtId="165" formatCode="_(&quot;$&quot;* #,##0.00_);_(&quot;$&quot;* \(#,##0.00\);_(&quot;$&quot;* &quot;-&quot;??_);_(@_)"/>
    <numFmt numFmtId="166" formatCode="_(* #,##0.00_);_(* \(#,##0.00\);_(* &quot;-&quot;??_);_(@_)"/>
    <numFmt numFmtId="167" formatCode="0.00_)"/>
    <numFmt numFmtId="168" formatCode="0_)"/>
    <numFmt numFmtId="169" formatCode="0.0%"/>
    <numFmt numFmtId="170" formatCode="0.000_)"/>
    <numFmt numFmtId="171" formatCode="0.0_)"/>
    <numFmt numFmtId="172" formatCode="0.0000_)"/>
    <numFmt numFmtId="173" formatCode="&quot;Rs&quot;#,##0.00_);[Red]\(&quot;Rs&quot;#,##0.00\)"/>
    <numFmt numFmtId="174" formatCode="0.00000_)"/>
    <numFmt numFmtId="175" formatCode="&quot;₹&quot;\ #,##0.00"/>
    <numFmt numFmtId="176" formatCode="[$€-2]\ #,##0"/>
    <numFmt numFmtId="177" formatCode="[$$-409]#,##0"/>
    <numFmt numFmtId="178" formatCode="0.000000_)"/>
    <numFmt numFmtId="179" formatCode="_-* #,##0_-;\-* #,##0_-;_-* &quot;-&quot;??_-;_-@_-"/>
    <numFmt numFmtId="180" formatCode="0.0"/>
    <numFmt numFmtId="181" formatCode="[$CAD]\ #,##0;\-[$CAD]\ #,##0"/>
    <numFmt numFmtId="182" formatCode="0.000"/>
    <numFmt numFmtId="183" formatCode="0.0000"/>
    <numFmt numFmtId="184" formatCode="#,##0.0000"/>
    <numFmt numFmtId="185" formatCode="_(* #,##0.0000_);_(* \(#,##0.0000\);_(* &quot;-&quot;????_);_(@_)"/>
    <numFmt numFmtId="186" formatCode="0.0000000_)"/>
  </numFmts>
  <fonts count="117"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2"/>
      <name val="Arial"/>
      <family val="2"/>
    </font>
    <font>
      <b/>
      <sz val="12"/>
      <name val="Arial"/>
      <family val="2"/>
    </font>
    <font>
      <b/>
      <sz val="12"/>
      <name val="Arial"/>
      <family val="2"/>
    </font>
    <font>
      <sz val="14"/>
      <name val="Arial"/>
      <family val="2"/>
    </font>
    <font>
      <sz val="12"/>
      <name val="Arial"/>
      <family val="2"/>
    </font>
    <font>
      <b/>
      <sz val="10"/>
      <name val="Arial"/>
      <family val="2"/>
    </font>
    <font>
      <b/>
      <u/>
      <sz val="12"/>
      <name val="Arial"/>
      <family val="2"/>
    </font>
    <font>
      <b/>
      <sz val="14"/>
      <name val="Arial"/>
      <family val="2"/>
    </font>
    <font>
      <b/>
      <sz val="12"/>
      <name val="Times New Roman"/>
      <family val="1"/>
    </font>
    <font>
      <sz val="12"/>
      <name val="Times New Roman"/>
      <family val="1"/>
    </font>
    <font>
      <b/>
      <i/>
      <sz val="12"/>
      <name val="Arial"/>
      <family val="2"/>
    </font>
    <font>
      <sz val="14"/>
      <color indexed="8"/>
      <name val="Arial"/>
      <family val="2"/>
    </font>
    <font>
      <b/>
      <sz val="10"/>
      <color indexed="8"/>
      <name val="Arial"/>
      <family val="2"/>
    </font>
    <font>
      <b/>
      <sz val="14"/>
      <color indexed="8"/>
      <name val="Arial"/>
      <family val="2"/>
    </font>
    <font>
      <sz val="12"/>
      <color indexed="8"/>
      <name val="Arial"/>
      <family val="2"/>
    </font>
    <font>
      <b/>
      <sz val="12"/>
      <color indexed="8"/>
      <name val="Arial"/>
      <family val="2"/>
    </font>
    <font>
      <sz val="8"/>
      <name val="Arial"/>
      <family val="2"/>
    </font>
    <font>
      <b/>
      <sz val="14"/>
      <name val="Times New Roman"/>
      <family val="1"/>
    </font>
    <font>
      <sz val="12"/>
      <name val="Arial"/>
      <family val="2"/>
    </font>
    <font>
      <sz val="12"/>
      <color rgb="FF00B050"/>
      <name val="Arial"/>
      <family val="2"/>
    </font>
    <font>
      <sz val="16"/>
      <name val="Times New Roman"/>
      <family val="1"/>
    </font>
    <font>
      <b/>
      <u/>
      <sz val="16"/>
      <name val="Times New Roman"/>
      <family val="1"/>
    </font>
    <font>
      <b/>
      <sz val="16"/>
      <name val="Times New Roman"/>
      <family val="1"/>
    </font>
    <font>
      <b/>
      <sz val="16"/>
      <color rgb="FF000000"/>
      <name val="Times New Roman"/>
      <family val="1"/>
    </font>
    <font>
      <b/>
      <u/>
      <sz val="16"/>
      <color indexed="8"/>
      <name val="Times New Roman"/>
      <family val="1"/>
    </font>
    <font>
      <b/>
      <sz val="12"/>
      <color rgb="FF000000"/>
      <name val="Times New Roman"/>
      <family val="1"/>
    </font>
    <font>
      <sz val="16"/>
      <color rgb="FF000000"/>
      <name val="Times New Roman"/>
      <family val="1"/>
    </font>
    <font>
      <sz val="10"/>
      <color theme="1"/>
      <name val="Arial"/>
      <family val="2"/>
    </font>
    <font>
      <sz val="14"/>
      <color rgb="FF000000"/>
      <name val="Times New Roman"/>
      <family val="1"/>
    </font>
    <font>
      <b/>
      <u/>
      <sz val="16"/>
      <color rgb="FF000000"/>
      <name val="Times New Roman"/>
      <family val="1"/>
    </font>
    <font>
      <sz val="11"/>
      <name val="Arial"/>
      <family val="2"/>
    </font>
    <font>
      <b/>
      <sz val="11"/>
      <name val="Arial"/>
      <family val="2"/>
    </font>
    <font>
      <sz val="16"/>
      <name val="Arial"/>
      <family val="2"/>
    </font>
    <font>
      <sz val="14"/>
      <color theme="1"/>
      <name val="Times New Roman"/>
      <family val="1"/>
    </font>
    <font>
      <sz val="14"/>
      <name val="Times New Roman"/>
      <family val="1"/>
    </font>
    <font>
      <sz val="10"/>
      <color theme="1"/>
      <name val="Times New Roman"/>
      <family val="1"/>
    </font>
    <font>
      <sz val="12"/>
      <color theme="1"/>
      <name val="Arial"/>
      <family val="2"/>
    </font>
    <font>
      <sz val="11"/>
      <color rgb="FFFF0000"/>
      <name val="Calibri"/>
      <family val="2"/>
      <scheme val="minor"/>
    </font>
    <font>
      <b/>
      <sz val="11"/>
      <color theme="1"/>
      <name val="Calibri"/>
      <family val="2"/>
      <scheme val="minor"/>
    </font>
    <font>
      <b/>
      <sz val="10"/>
      <color indexed="56"/>
      <name val="Arial"/>
      <family val="2"/>
    </font>
    <font>
      <sz val="10"/>
      <color indexed="10"/>
      <name val="Arial"/>
      <family val="2"/>
    </font>
    <font>
      <sz val="10"/>
      <name val="Times New Roman"/>
      <family val="1"/>
    </font>
    <font>
      <b/>
      <sz val="10"/>
      <name val="Times New Roman"/>
      <family val="1"/>
    </font>
    <font>
      <sz val="10"/>
      <color indexed="56"/>
      <name val="Arial"/>
      <family val="2"/>
    </font>
    <font>
      <sz val="11"/>
      <color theme="1"/>
      <name val="Arial"/>
      <family val="2"/>
    </font>
    <font>
      <sz val="11"/>
      <color indexed="8"/>
      <name val="Arial"/>
      <family val="2"/>
    </font>
    <font>
      <sz val="11"/>
      <color rgb="FFFF0000"/>
      <name val="Arial"/>
      <family val="2"/>
    </font>
    <font>
      <b/>
      <sz val="11"/>
      <color rgb="FF000000"/>
      <name val="Arial"/>
      <family val="2"/>
    </font>
    <font>
      <b/>
      <sz val="11"/>
      <color rgb="FFFF0000"/>
      <name val="Arial"/>
      <family val="2"/>
    </font>
    <font>
      <vertAlign val="superscript"/>
      <sz val="11"/>
      <name val="Arial"/>
      <family val="2"/>
    </font>
    <font>
      <sz val="11"/>
      <color rgb="FF000000"/>
      <name val="Arial"/>
      <family val="2"/>
    </font>
    <font>
      <sz val="10"/>
      <name val="Comic Sans MS"/>
      <family val="4"/>
    </font>
    <font>
      <sz val="12"/>
      <color rgb="FF000000"/>
      <name val="Arial"/>
      <family val="2"/>
    </font>
    <font>
      <b/>
      <sz val="11"/>
      <color theme="1"/>
      <name val="Arial"/>
      <family val="2"/>
    </font>
    <font>
      <vertAlign val="superscript"/>
      <sz val="12"/>
      <name val="Arial"/>
      <family val="2"/>
    </font>
    <font>
      <b/>
      <u/>
      <sz val="14"/>
      <name val="Arial"/>
      <family val="2"/>
    </font>
    <font>
      <b/>
      <u/>
      <sz val="11"/>
      <color theme="1"/>
      <name val="Arial"/>
      <family val="2"/>
    </font>
    <font>
      <u/>
      <sz val="11"/>
      <name val="Arial"/>
      <family val="2"/>
    </font>
    <font>
      <sz val="12"/>
      <color rgb="FFFF0000"/>
      <name val="Arial"/>
      <family val="2"/>
    </font>
    <font>
      <sz val="12"/>
      <name val="Arial"/>
      <family val="2"/>
    </font>
    <font>
      <vertAlign val="superscript"/>
      <sz val="11"/>
      <color indexed="8"/>
      <name val="Arial"/>
      <family val="2"/>
    </font>
    <font>
      <sz val="11"/>
      <color rgb="FF1F497D"/>
      <name val="Arial"/>
      <family val="2"/>
    </font>
    <font>
      <sz val="12"/>
      <name val="Calibri"/>
      <family val="2"/>
    </font>
    <font>
      <u/>
      <sz val="12"/>
      <name val="Arial"/>
      <family val="2"/>
    </font>
    <font>
      <b/>
      <sz val="12"/>
      <color rgb="FFFF0000"/>
      <name val="Arial"/>
      <family val="2"/>
    </font>
    <font>
      <sz val="12"/>
      <color rgb="FF000000"/>
      <name val="Times New Roman"/>
      <family val="1"/>
    </font>
    <font>
      <vertAlign val="superscript"/>
      <sz val="12"/>
      <color rgb="FFFF0000"/>
      <name val="Arial"/>
      <family val="2"/>
    </font>
    <font>
      <sz val="12"/>
      <name val="Segoe UI"/>
      <family val="2"/>
    </font>
    <font>
      <sz val="12"/>
      <color theme="1"/>
      <name val="Times New Roman"/>
      <family val="1"/>
    </font>
    <font>
      <b/>
      <sz val="9"/>
      <color rgb="FF000000"/>
      <name val="Times New Roman"/>
      <family val="1"/>
    </font>
    <font>
      <b/>
      <sz val="12"/>
      <name val="Calibri"/>
      <family val="2"/>
      <scheme val="minor"/>
    </font>
    <font>
      <sz val="12"/>
      <name val="Calibri"/>
      <family val="2"/>
      <scheme val="minor"/>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1"/>
      <color indexed="19"/>
      <name val="Calibri"/>
      <family val="2"/>
    </font>
    <font>
      <b/>
      <sz val="11"/>
      <color indexed="63"/>
      <name val="Calibri"/>
      <family val="2"/>
    </font>
    <font>
      <b/>
      <sz val="18"/>
      <color indexed="62"/>
      <name val="Cambria"/>
      <family val="2"/>
    </font>
    <font>
      <b/>
      <sz val="11"/>
      <color indexed="8"/>
      <name val="Calibri"/>
      <family val="2"/>
    </font>
    <font>
      <b/>
      <u/>
      <sz val="12"/>
      <color indexed="8"/>
      <name val="Arial"/>
      <family val="2"/>
    </font>
    <font>
      <b/>
      <u/>
      <sz val="16"/>
      <name val="Arial"/>
      <family val="2"/>
    </font>
    <font>
      <b/>
      <sz val="18"/>
      <name val="Arial"/>
      <family val="2"/>
    </font>
    <font>
      <sz val="11"/>
      <color rgb="FF000000"/>
      <name val="Times New Roman"/>
      <family val="1"/>
    </font>
    <font>
      <b/>
      <sz val="12"/>
      <color theme="1"/>
      <name val="Arial"/>
      <family val="2"/>
    </font>
    <font>
      <b/>
      <sz val="11"/>
      <name val="Segoe UI"/>
      <family val="2"/>
    </font>
    <font>
      <sz val="10"/>
      <color rgb="FF000000"/>
      <name val="Segoe UI"/>
      <family val="2"/>
    </font>
    <font>
      <b/>
      <sz val="10"/>
      <name val="Segoe UI"/>
      <family val="2"/>
    </font>
  </fonts>
  <fills count="26">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0"/>
        <bgColor indexed="64"/>
      </patternFill>
    </fill>
    <fill>
      <patternFill patternType="solid">
        <fgColor rgb="FFFFFFFF"/>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4"/>
        <bgColor indexed="64"/>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s>
  <borders count="6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style="medium">
        <color indexed="8"/>
      </left>
      <right/>
      <top/>
      <bottom style="medium">
        <color indexed="8"/>
      </bottom>
      <diagonal/>
    </border>
    <border>
      <left/>
      <right/>
      <top/>
      <bottom style="medium">
        <color indexed="8"/>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medium">
        <color indexed="8"/>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s>
  <cellStyleXfs count="309">
    <xf numFmtId="167" fontId="0" fillId="0" borderId="0"/>
    <xf numFmtId="167" fontId="38" fillId="0" borderId="0"/>
    <xf numFmtId="9"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9" fontId="19" fillId="0" borderId="0" applyFont="0" applyFill="0" applyBorder="0" applyAlignment="0" applyProtection="0"/>
    <xf numFmtId="0" fontId="17" fillId="0" borderId="0"/>
    <xf numFmtId="166" fontId="24" fillId="0" borderId="0"/>
    <xf numFmtId="0" fontId="16" fillId="0" borderId="0"/>
    <xf numFmtId="167" fontId="24" fillId="0" borderId="0"/>
    <xf numFmtId="0" fontId="15" fillId="0" borderId="0"/>
    <xf numFmtId="0" fontId="15" fillId="0" borderId="0"/>
    <xf numFmtId="167" fontId="24" fillId="0" borderId="0"/>
    <xf numFmtId="179" fontId="24" fillId="0" borderId="0"/>
    <xf numFmtId="181" fontId="19" fillId="0" borderId="0"/>
    <xf numFmtId="167" fontId="24" fillId="0" borderId="0"/>
    <xf numFmtId="0" fontId="19" fillId="0" borderId="0"/>
    <xf numFmtId="0" fontId="13" fillId="0" borderId="0"/>
    <xf numFmtId="167" fontId="24" fillId="0" borderId="0"/>
    <xf numFmtId="166" fontId="19" fillId="0" borderId="0" applyFont="0" applyFill="0" applyBorder="0" applyAlignment="0" applyProtection="0"/>
    <xf numFmtId="0" fontId="12" fillId="0" borderId="0"/>
    <xf numFmtId="0" fontId="12"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167" fontId="79" fillId="0" borderId="0"/>
    <xf numFmtId="9" fontId="1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6" fillId="0" borderId="0"/>
    <xf numFmtId="0" fontId="6" fillId="0" borderId="0"/>
    <xf numFmtId="0" fontId="6" fillId="0" borderId="0"/>
    <xf numFmtId="0" fontId="6" fillId="0" borderId="0"/>
    <xf numFmtId="0" fontId="6" fillId="0" borderId="0"/>
    <xf numFmtId="166" fontId="24" fillId="0" borderId="0" applyFont="0" applyFill="0" applyBorder="0" applyAlignment="0" applyProtection="0"/>
    <xf numFmtId="9" fontId="19" fillId="0" borderId="0" applyFont="0" applyFill="0" applyBorder="0" applyAlignment="0" applyProtection="0"/>
    <xf numFmtId="0" fontId="93" fillId="10" borderId="0" applyNumberFormat="0" applyBorder="0" applyAlignment="0" applyProtection="0"/>
    <xf numFmtId="0" fontId="93" fillId="11" borderId="0" applyNumberFormat="0" applyBorder="0" applyAlignment="0" applyProtection="0"/>
    <xf numFmtId="0" fontId="93" fillId="12" borderId="0" applyNumberFormat="0" applyBorder="0" applyAlignment="0" applyProtection="0"/>
    <xf numFmtId="0" fontId="93" fillId="13" borderId="0" applyNumberFormat="0" applyBorder="0" applyAlignment="0" applyProtection="0"/>
    <xf numFmtId="0" fontId="93" fillId="14" borderId="0" applyNumberFormat="0" applyBorder="0" applyAlignment="0" applyProtection="0"/>
    <xf numFmtId="0" fontId="93" fillId="12" borderId="0" applyNumberFormat="0" applyBorder="0" applyAlignment="0" applyProtection="0"/>
    <xf numFmtId="0" fontId="93" fillId="14" borderId="0" applyNumberFormat="0" applyBorder="0" applyAlignment="0" applyProtection="0"/>
    <xf numFmtId="0" fontId="93" fillId="11" borderId="0" applyNumberFormat="0" applyBorder="0" applyAlignment="0" applyProtection="0"/>
    <xf numFmtId="0" fontId="93" fillId="15" borderId="0" applyNumberFormat="0" applyBorder="0" applyAlignment="0" applyProtection="0"/>
    <xf numFmtId="0" fontId="93" fillId="16" borderId="0" applyNumberFormat="0" applyBorder="0" applyAlignment="0" applyProtection="0"/>
    <xf numFmtId="0" fontId="93" fillId="14" borderId="0" applyNumberFormat="0" applyBorder="0" applyAlignment="0" applyProtection="0"/>
    <xf numFmtId="0" fontId="93" fillId="12" borderId="0" applyNumberFormat="0" applyBorder="0" applyAlignment="0" applyProtection="0"/>
    <xf numFmtId="0" fontId="94" fillId="14" borderId="0" applyNumberFormat="0" applyBorder="0" applyAlignment="0" applyProtection="0"/>
    <xf numFmtId="0" fontId="94" fillId="17" borderId="0" applyNumberFormat="0" applyBorder="0" applyAlignment="0" applyProtection="0"/>
    <xf numFmtId="0" fontId="94" fillId="18" borderId="0" applyNumberFormat="0" applyBorder="0" applyAlignment="0" applyProtection="0"/>
    <xf numFmtId="0" fontId="94" fillId="16" borderId="0" applyNumberFormat="0" applyBorder="0" applyAlignment="0" applyProtection="0"/>
    <xf numFmtId="0" fontId="94" fillId="14" borderId="0" applyNumberFormat="0" applyBorder="0" applyAlignment="0" applyProtection="0"/>
    <xf numFmtId="0" fontId="94" fillId="11" borderId="0" applyNumberFormat="0" applyBorder="0" applyAlignment="0" applyProtection="0"/>
    <xf numFmtId="0" fontId="94" fillId="19" borderId="0" applyNumberFormat="0" applyBorder="0" applyAlignment="0" applyProtection="0"/>
    <xf numFmtId="0" fontId="94" fillId="17" borderId="0" applyNumberFormat="0" applyBorder="0" applyAlignment="0" applyProtection="0"/>
    <xf numFmtId="0" fontId="94" fillId="18" borderId="0" applyNumberFormat="0" applyBorder="0" applyAlignment="0" applyProtection="0"/>
    <xf numFmtId="0" fontId="94" fillId="20" borderId="0" applyNumberFormat="0" applyBorder="0" applyAlignment="0" applyProtection="0"/>
    <xf numFmtId="0" fontId="94" fillId="21" borderId="0" applyNumberFormat="0" applyBorder="0" applyAlignment="0" applyProtection="0"/>
    <xf numFmtId="0" fontId="94" fillId="22" borderId="0" applyNumberFormat="0" applyBorder="0" applyAlignment="0" applyProtection="0"/>
    <xf numFmtId="0" fontId="95" fillId="23" borderId="0" applyNumberFormat="0" applyBorder="0" applyAlignment="0" applyProtection="0"/>
    <xf numFmtId="0" fontId="96" fillId="24" borderId="44" applyNumberFormat="0" applyAlignment="0" applyProtection="0"/>
    <xf numFmtId="0" fontId="97" fillId="25" borderId="45" applyNumberFormat="0" applyAlignment="0" applyProtection="0"/>
    <xf numFmtId="0" fontId="98" fillId="0" borderId="0" applyNumberFormat="0" applyFill="0" applyBorder="0" applyAlignment="0" applyProtection="0"/>
    <xf numFmtId="0" fontId="99" fillId="14" borderId="0" applyNumberFormat="0" applyBorder="0" applyAlignment="0" applyProtection="0"/>
    <xf numFmtId="0" fontId="100" fillId="0" borderId="46" applyNumberFormat="0" applyFill="0" applyAlignment="0" applyProtection="0"/>
    <xf numFmtId="0" fontId="101" fillId="0" borderId="47" applyNumberFormat="0" applyFill="0" applyAlignment="0" applyProtection="0"/>
    <xf numFmtId="0" fontId="102" fillId="0" borderId="48" applyNumberFormat="0" applyFill="0" applyAlignment="0" applyProtection="0"/>
    <xf numFmtId="0" fontId="102" fillId="0" borderId="0" applyNumberFormat="0" applyFill="0" applyBorder="0" applyAlignment="0" applyProtection="0"/>
    <xf numFmtId="0" fontId="103" fillId="15" borderId="44" applyNumberFormat="0" applyAlignment="0" applyProtection="0"/>
    <xf numFmtId="0" fontId="104" fillId="0" borderId="49" applyNumberFormat="0" applyFill="0" applyAlignment="0" applyProtection="0"/>
    <xf numFmtId="0" fontId="105" fillId="15" borderId="0" applyNumberFormat="0" applyBorder="0" applyAlignment="0" applyProtection="0"/>
    <xf numFmtId="185" fontId="24" fillId="0" borderId="0"/>
    <xf numFmtId="0" fontId="19" fillId="12" borderId="50" applyNumberFormat="0" applyFont="0" applyAlignment="0" applyProtection="0"/>
    <xf numFmtId="0" fontId="106" fillId="24" borderId="51" applyNumberFormat="0" applyAlignment="0" applyProtection="0"/>
    <xf numFmtId="0" fontId="107" fillId="0" borderId="0" applyNumberFormat="0" applyFill="0" applyBorder="0" applyAlignment="0" applyProtection="0"/>
    <xf numFmtId="0" fontId="108" fillId="0" borderId="52" applyNumberFormat="0" applyFill="0" applyAlignment="0" applyProtection="0"/>
    <xf numFmtId="0" fontId="104" fillId="0" borderId="0" applyNumberFormat="0" applyFill="0" applyBorder="0" applyAlignment="0" applyProtection="0"/>
    <xf numFmtId="166"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4" fontId="24" fillId="0" borderId="0" applyFont="0" applyFill="0" applyBorder="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5" fillId="0" borderId="0"/>
    <xf numFmtId="0" fontId="19" fillId="0" borderId="0"/>
    <xf numFmtId="0" fontId="5" fillId="0" borderId="0"/>
    <xf numFmtId="0" fontId="61" fillId="0" borderId="0"/>
    <xf numFmtId="0" fontId="19" fillId="0" borderId="0"/>
    <xf numFmtId="0" fontId="19" fillId="0" borderId="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167" fontId="24" fillId="0" borderId="0"/>
    <xf numFmtId="174" fontId="24" fillId="0" borderId="0"/>
    <xf numFmtId="174" fontId="24" fillId="0" borderId="0"/>
    <xf numFmtId="174" fontId="24" fillId="0" borderId="0"/>
    <xf numFmtId="174" fontId="24" fillId="0" borderId="0"/>
    <xf numFmtId="169" fontId="24" fillId="0" borderId="0"/>
    <xf numFmtId="166" fontId="24" fillId="0" borderId="0"/>
    <xf numFmtId="173" fontId="24" fillId="0" borderId="0"/>
    <xf numFmtId="173" fontId="24" fillId="0" borderId="0"/>
    <xf numFmtId="173" fontId="24" fillId="0" borderId="0"/>
    <xf numFmtId="173" fontId="24" fillId="0" borderId="0"/>
    <xf numFmtId="9" fontId="19"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9" fillId="0" borderId="0"/>
    <xf numFmtId="166" fontId="24" fillId="0" borderId="0" applyFont="0" applyFill="0" applyBorder="0" applyAlignment="0" applyProtection="0"/>
    <xf numFmtId="0" fontId="4" fillId="0" borderId="0"/>
    <xf numFmtId="0" fontId="4" fillId="0" borderId="0"/>
    <xf numFmtId="0" fontId="4" fillId="0" borderId="0"/>
    <xf numFmtId="0" fontId="4" fillId="0" borderId="0"/>
    <xf numFmtId="167" fontId="24" fillId="0" borderId="0"/>
    <xf numFmtId="167"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7" fontId="24" fillId="0" borderId="0"/>
    <xf numFmtId="167" fontId="24" fillId="0" borderId="0"/>
    <xf numFmtId="0" fontId="3" fillId="0" borderId="0"/>
    <xf numFmtId="0" fontId="2" fillId="0" borderId="0"/>
    <xf numFmtId="174"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075">
    <xf numFmtId="167" fontId="0" fillId="0" borderId="0" xfId="0"/>
    <xf numFmtId="167" fontId="21" fillId="0" borderId="0" xfId="0" applyFont="1"/>
    <xf numFmtId="167" fontId="21" fillId="0" borderId="0" xfId="0" applyFont="1" applyAlignment="1">
      <alignment horizontal="center"/>
    </xf>
    <xf numFmtId="167" fontId="24" fillId="0" borderId="0" xfId="0" applyFont="1"/>
    <xf numFmtId="167" fontId="24" fillId="0" borderId="0" xfId="0" applyFont="1" applyAlignment="1">
      <alignment horizontal="right"/>
    </xf>
    <xf numFmtId="167" fontId="24" fillId="0" borderId="0" xfId="0" applyFont="1" applyAlignment="1">
      <alignment horizontal="center"/>
    </xf>
    <xf numFmtId="9" fontId="24" fillId="0" borderId="0" xfId="2" applyFont="1"/>
    <xf numFmtId="167" fontId="22" fillId="0" borderId="0" xfId="0" applyFont="1"/>
    <xf numFmtId="167" fontId="26" fillId="0" borderId="0" xfId="0" applyFont="1"/>
    <xf numFmtId="167" fontId="0" fillId="0" borderId="0" xfId="0" applyAlignment="1">
      <alignment horizontal="center"/>
    </xf>
    <xf numFmtId="167" fontId="23" fillId="0" borderId="0" xfId="0" applyFont="1"/>
    <xf numFmtId="168" fontId="0" fillId="0" borderId="0" xfId="0" applyNumberFormat="1"/>
    <xf numFmtId="167" fontId="24" fillId="0" borderId="2" xfId="0" applyFont="1" applyBorder="1"/>
    <xf numFmtId="167" fontId="24" fillId="0" borderId="4" xfId="0" applyFont="1" applyBorder="1"/>
    <xf numFmtId="167" fontId="24" fillId="0" borderId="5" xfId="0" applyFont="1" applyBorder="1"/>
    <xf numFmtId="167" fontId="24" fillId="0" borderId="10" xfId="0" applyFont="1" applyBorder="1" applyAlignment="1">
      <alignment horizontal="center"/>
    </xf>
    <xf numFmtId="167" fontId="24" fillId="0" borderId="4" xfId="0" applyFont="1" applyBorder="1" applyAlignment="1">
      <alignment horizontal="center"/>
    </xf>
    <xf numFmtId="167" fontId="23" fillId="0" borderId="0" xfId="0" applyFont="1" applyAlignment="1">
      <alignment horizontal="right"/>
    </xf>
    <xf numFmtId="167" fontId="25" fillId="0" borderId="0" xfId="0" applyFont="1"/>
    <xf numFmtId="167" fontId="30" fillId="0" borderId="0" xfId="0" applyFont="1"/>
    <xf numFmtId="9" fontId="30" fillId="0" borderId="0" xfId="2" applyFont="1" applyBorder="1"/>
    <xf numFmtId="167" fontId="0" fillId="0" borderId="4" xfId="0" applyBorder="1"/>
    <xf numFmtId="167" fontId="0" fillId="0" borderId="4" xfId="0" applyBorder="1" applyAlignment="1">
      <alignment horizontal="center"/>
    </xf>
    <xf numFmtId="167" fontId="31" fillId="0" borderId="0" xfId="0" applyFont="1"/>
    <xf numFmtId="167" fontId="32" fillId="0" borderId="0" xfId="0" applyFont="1"/>
    <xf numFmtId="171" fontId="31" fillId="0" borderId="0" xfId="0" applyNumberFormat="1" applyFont="1"/>
    <xf numFmtId="167" fontId="0" fillId="0" borderId="0" xfId="0" applyAlignment="1">
      <alignment horizontal="fill"/>
    </xf>
    <xf numFmtId="167" fontId="33" fillId="0" borderId="0" xfId="0" applyFont="1"/>
    <xf numFmtId="172" fontId="23" fillId="0" borderId="0" xfId="0" applyNumberFormat="1" applyFont="1"/>
    <xf numFmtId="167" fontId="31" fillId="0" borderId="0" xfId="0" applyFont="1" applyAlignment="1">
      <alignment horizontal="left"/>
    </xf>
    <xf numFmtId="2" fontId="24" fillId="0" borderId="0" xfId="0" applyNumberFormat="1" applyFont="1"/>
    <xf numFmtId="167" fontId="34" fillId="0" borderId="5" xfId="0" applyFont="1" applyBorder="1"/>
    <xf numFmtId="168" fontId="24" fillId="0" borderId="5" xfId="0" applyNumberFormat="1" applyFont="1" applyBorder="1" applyAlignment="1">
      <alignment horizontal="center"/>
    </xf>
    <xf numFmtId="168" fontId="23" fillId="0" borderId="0" xfId="0" applyNumberFormat="1" applyFont="1" applyAlignment="1">
      <alignment horizontal="right"/>
    </xf>
    <xf numFmtId="9" fontId="0" fillId="0" borderId="0" xfId="2" applyFont="1" applyBorder="1"/>
    <xf numFmtId="167" fontId="34" fillId="0" borderId="8" xfId="0" applyFont="1" applyBorder="1"/>
    <xf numFmtId="9" fontId="24" fillId="0" borderId="8" xfId="2" applyFont="1" applyBorder="1" applyAlignment="1" applyProtection="1">
      <alignment horizontal="right"/>
    </xf>
    <xf numFmtId="9" fontId="23" fillId="0" borderId="0" xfId="2" applyFont="1" applyBorder="1" applyAlignment="1" applyProtection="1">
      <alignment horizontal="right"/>
    </xf>
    <xf numFmtId="9" fontId="24" fillId="0" borderId="0" xfId="2" applyFont="1" applyBorder="1"/>
    <xf numFmtId="167" fontId="34" fillId="0" borderId="0" xfId="0" applyFont="1"/>
    <xf numFmtId="2" fontId="34" fillId="0" borderId="0" xfId="0" applyNumberFormat="1" applyFont="1"/>
    <xf numFmtId="167" fontId="0" fillId="0" borderId="8" xfId="0" applyBorder="1"/>
    <xf numFmtId="167" fontId="35" fillId="0" borderId="0" xfId="0" applyFont="1"/>
    <xf numFmtId="10" fontId="31" fillId="0" borderId="0" xfId="2" applyNumberFormat="1" applyFont="1" applyProtection="1"/>
    <xf numFmtId="168" fontId="0" fillId="0" borderId="0" xfId="0" applyNumberFormat="1" applyAlignment="1">
      <alignment horizontal="fill"/>
    </xf>
    <xf numFmtId="167" fontId="34" fillId="0" borderId="4" xfId="0" applyFont="1" applyBorder="1"/>
    <xf numFmtId="171" fontId="34" fillId="0" borderId="0" xfId="0" applyNumberFormat="1" applyFont="1"/>
    <xf numFmtId="9" fontId="35" fillId="0" borderId="0" xfId="0" applyNumberFormat="1" applyFont="1"/>
    <xf numFmtId="172" fontId="24" fillId="0" borderId="0" xfId="0" applyNumberFormat="1" applyFont="1"/>
    <xf numFmtId="167" fontId="34" fillId="0" borderId="14" xfId="0" applyFont="1" applyBorder="1"/>
    <xf numFmtId="168" fontId="34" fillId="0" borderId="8" xfId="0" applyNumberFormat="1" applyFont="1" applyBorder="1" applyAlignment="1">
      <alignment horizontal="center"/>
    </xf>
    <xf numFmtId="168" fontId="34" fillId="0" borderId="13" xfId="0" applyNumberFormat="1" applyFont="1" applyBorder="1" applyAlignment="1">
      <alignment horizontal="center"/>
    </xf>
    <xf numFmtId="168" fontId="31" fillId="0" borderId="0" xfId="0" applyNumberFormat="1" applyFont="1"/>
    <xf numFmtId="167" fontId="23" fillId="0" borderId="8" xfId="0" applyFont="1" applyBorder="1"/>
    <xf numFmtId="9" fontId="23" fillId="0" borderId="0" xfId="2" applyFont="1"/>
    <xf numFmtId="167" fontId="34" fillId="0" borderId="0" xfId="0" applyFont="1" applyAlignment="1">
      <alignment horizontal="right"/>
    </xf>
    <xf numFmtId="167" fontId="34" fillId="0" borderId="15" xfId="0" applyFont="1" applyBorder="1"/>
    <xf numFmtId="167" fontId="34" fillId="0" borderId="16" xfId="0" applyFont="1" applyBorder="1"/>
    <xf numFmtId="167" fontId="34" fillId="0" borderId="17" xfId="0" applyFont="1" applyBorder="1"/>
    <xf numFmtId="167" fontId="34" fillId="0" borderId="18" xfId="0" applyFont="1" applyBorder="1"/>
    <xf numFmtId="167" fontId="23" fillId="0" borderId="5" xfId="0" applyFont="1" applyBorder="1"/>
    <xf numFmtId="168" fontId="23" fillId="0" borderId="0" xfId="0" applyNumberFormat="1" applyFont="1" applyAlignment="1">
      <alignment horizontal="left"/>
    </xf>
    <xf numFmtId="167" fontId="27" fillId="0" borderId="0" xfId="0" applyFont="1" applyAlignment="1">
      <alignment horizontal="right"/>
    </xf>
    <xf numFmtId="168" fontId="24" fillId="0" borderId="0" xfId="0" applyNumberFormat="1" applyFont="1" applyAlignment="1">
      <alignment horizontal="right"/>
    </xf>
    <xf numFmtId="168" fontId="23" fillId="0" borderId="0" xfId="0" applyNumberFormat="1" applyFont="1"/>
    <xf numFmtId="10" fontId="24" fillId="0" borderId="0" xfId="2" applyNumberFormat="1" applyFont="1" applyFill="1" applyBorder="1" applyAlignment="1" applyProtection="1"/>
    <xf numFmtId="10" fontId="24" fillId="0" borderId="0" xfId="2" applyNumberFormat="1" applyFont="1"/>
    <xf numFmtId="167" fontId="0" fillId="0" borderId="0" xfId="0" quotePrefix="1"/>
    <xf numFmtId="168" fontId="23" fillId="0" borderId="4" xfId="0" applyNumberFormat="1" applyFont="1" applyBorder="1"/>
    <xf numFmtId="10" fontId="24" fillId="0" borderId="0" xfId="2" applyNumberFormat="1" applyFont="1" applyBorder="1"/>
    <xf numFmtId="168" fontId="23" fillId="0" borderId="0" xfId="0" applyNumberFormat="1" applyFont="1" applyAlignment="1">
      <alignment horizontal="center"/>
    </xf>
    <xf numFmtId="168" fontId="24" fillId="0" borderId="0" xfId="0" applyNumberFormat="1" applyFont="1" applyAlignment="1">
      <alignment horizontal="left"/>
    </xf>
    <xf numFmtId="168" fontId="24" fillId="0" borderId="0" xfId="0" applyNumberFormat="1" applyFont="1" applyAlignment="1">
      <alignment horizontal="center"/>
    </xf>
    <xf numFmtId="167" fontId="29" fillId="0" borderId="0" xfId="0" applyFont="1"/>
    <xf numFmtId="167" fontId="28" fillId="0" borderId="0" xfId="0" applyFont="1"/>
    <xf numFmtId="167" fontId="29" fillId="0" borderId="0" xfId="0" applyFont="1" applyAlignment="1">
      <alignment horizontal="center"/>
    </xf>
    <xf numFmtId="167" fontId="28" fillId="0" borderId="0" xfId="0" applyFont="1" applyAlignment="1">
      <alignment horizontal="center"/>
    </xf>
    <xf numFmtId="168" fontId="29" fillId="0" borderId="5" xfId="0" applyNumberFormat="1" applyFont="1" applyBorder="1" applyAlignment="1">
      <alignment horizontal="center"/>
    </xf>
    <xf numFmtId="167" fontId="29" fillId="0" borderId="5" xfId="0" applyFont="1" applyBorder="1" applyAlignment="1">
      <alignment horizontal="left"/>
    </xf>
    <xf numFmtId="2" fontId="22" fillId="0" borderId="0" xfId="0" applyNumberFormat="1" applyFont="1"/>
    <xf numFmtId="167" fontId="24" fillId="0" borderId="5" xfId="0" applyFont="1" applyBorder="1" applyAlignment="1">
      <alignment vertical="top" wrapText="1"/>
    </xf>
    <xf numFmtId="167" fontId="37" fillId="0" borderId="0" xfId="0" applyFont="1"/>
    <xf numFmtId="0" fontId="0" fillId="0" borderId="0" xfId="0" applyNumberFormat="1"/>
    <xf numFmtId="0" fontId="30" fillId="0" borderId="0" xfId="0" applyNumberFormat="1" applyFont="1"/>
    <xf numFmtId="0" fontId="24" fillId="0" borderId="0" xfId="0" applyNumberFormat="1" applyFont="1"/>
    <xf numFmtId="0" fontId="25" fillId="0" borderId="0" xfId="0" applyNumberFormat="1" applyFont="1"/>
    <xf numFmtId="2" fontId="0" fillId="0" borderId="0" xfId="0" applyNumberFormat="1"/>
    <xf numFmtId="167" fontId="21" fillId="0" borderId="0" xfId="0" applyFont="1" applyAlignment="1">
      <alignment horizontal="left"/>
    </xf>
    <xf numFmtId="10" fontId="24" fillId="0" borderId="0" xfId="2" applyNumberFormat="1" applyFont="1" applyAlignment="1">
      <alignment horizontal="center"/>
    </xf>
    <xf numFmtId="10" fontId="24" fillId="0" borderId="4" xfId="2" applyNumberFormat="1" applyFont="1" applyBorder="1" applyAlignment="1">
      <alignment horizontal="center"/>
    </xf>
    <xf numFmtId="167" fontId="24" fillId="0" borderId="5" xfId="0" applyFont="1" applyBorder="1" applyAlignment="1">
      <alignment horizontal="center"/>
    </xf>
    <xf numFmtId="167" fontId="21" fillId="0" borderId="0" xfId="0" applyFont="1" applyAlignment="1">
      <alignment vertical="top"/>
    </xf>
    <xf numFmtId="167" fontId="29" fillId="0" borderId="5" xfId="0" applyFont="1" applyBorder="1" applyAlignment="1">
      <alignment horizontal="center"/>
    </xf>
    <xf numFmtId="49" fontId="29" fillId="0" borderId="5" xfId="0" applyNumberFormat="1" applyFont="1" applyBorder="1" applyAlignment="1">
      <alignment horizontal="center"/>
    </xf>
    <xf numFmtId="168" fontId="24" fillId="0" borderId="5" xfId="0" applyNumberFormat="1" applyFont="1" applyBorder="1" applyAlignment="1">
      <alignment horizontal="center" vertical="top"/>
    </xf>
    <xf numFmtId="10" fontId="24" fillId="0" borderId="5" xfId="2" applyNumberFormat="1" applyFont="1" applyBorder="1" applyAlignment="1">
      <alignment horizontal="right" vertical="top"/>
    </xf>
    <xf numFmtId="167" fontId="24" fillId="0" borderId="5" xfId="0" applyFont="1" applyBorder="1" applyAlignment="1">
      <alignment horizontal="left" vertical="top" wrapText="1"/>
    </xf>
    <xf numFmtId="167" fontId="19" fillId="0" borderId="0" xfId="0" applyFont="1"/>
    <xf numFmtId="170" fontId="0" fillId="0" borderId="0" xfId="0" applyNumberFormat="1"/>
    <xf numFmtId="174" fontId="23" fillId="0" borderId="0" xfId="0" applyNumberFormat="1" applyFont="1"/>
    <xf numFmtId="174" fontId="23" fillId="0" borderId="0" xfId="2" applyNumberFormat="1" applyFont="1"/>
    <xf numFmtId="10" fontId="24" fillId="0" borderId="4" xfId="2" applyNumberFormat="1" applyFont="1" applyBorder="1"/>
    <xf numFmtId="167" fontId="39" fillId="0" borderId="0" xfId="0" applyFont="1"/>
    <xf numFmtId="167" fontId="39" fillId="0" borderId="8" xfId="0" applyFont="1" applyBorder="1"/>
    <xf numFmtId="167" fontId="37" fillId="0" borderId="0" xfId="0" applyFont="1" applyAlignment="1">
      <alignment horizontal="right"/>
    </xf>
    <xf numFmtId="167" fontId="24" fillId="0" borderId="4" xfId="0" quotePrefix="1" applyFont="1" applyBorder="1"/>
    <xf numFmtId="0" fontId="46" fillId="0" borderId="14" xfId="5" applyFont="1" applyBorder="1" applyAlignment="1">
      <alignment horizontal="center" vertical="top" wrapText="1"/>
    </xf>
    <xf numFmtId="0" fontId="40" fillId="0" borderId="0" xfId="5" applyFont="1" applyAlignment="1">
      <alignment vertical="top"/>
    </xf>
    <xf numFmtId="167" fontId="21" fillId="0" borderId="5" xfId="0" applyFont="1" applyBorder="1" applyAlignment="1">
      <alignment vertical="center"/>
    </xf>
    <xf numFmtId="167" fontId="24" fillId="0" borderId="5" xfId="0" applyFont="1" applyBorder="1" applyAlignment="1">
      <alignment vertical="center"/>
    </xf>
    <xf numFmtId="167" fontId="24" fillId="0" borderId="0" xfId="0" applyFont="1" applyAlignment="1">
      <alignment vertical="center"/>
    </xf>
    <xf numFmtId="167" fontId="21" fillId="0" borderId="0" xfId="0" applyFont="1" applyAlignment="1">
      <alignment horizontal="right"/>
    </xf>
    <xf numFmtId="167" fontId="24" fillId="0" borderId="0" xfId="0" applyFont="1" applyAlignment="1">
      <alignment vertical="top"/>
    </xf>
    <xf numFmtId="10" fontId="0" fillId="0" borderId="4" xfId="2" applyNumberFormat="1" applyFont="1" applyBorder="1"/>
    <xf numFmtId="174" fontId="0" fillId="0" borderId="0" xfId="0" applyNumberFormat="1"/>
    <xf numFmtId="174" fontId="0" fillId="0" borderId="4" xfId="0" applyNumberFormat="1" applyBorder="1"/>
    <xf numFmtId="167" fontId="52" fillId="0" borderId="0" xfId="0" applyFont="1"/>
    <xf numFmtId="0" fontId="26" fillId="0" borderId="0" xfId="0" applyNumberFormat="1" applyFont="1"/>
    <xf numFmtId="0" fontId="24" fillId="0" borderId="5" xfId="0" applyNumberFormat="1" applyFont="1" applyBorder="1"/>
    <xf numFmtId="167" fontId="0" fillId="0" borderId="5" xfId="0" applyBorder="1" applyAlignment="1">
      <alignment horizontal="center"/>
    </xf>
    <xf numFmtId="0" fontId="34" fillId="0" borderId="0" xfId="0" applyNumberFormat="1" applyFont="1"/>
    <xf numFmtId="0" fontId="34" fillId="0" borderId="4" xfId="0" applyNumberFormat="1" applyFont="1" applyBorder="1"/>
    <xf numFmtId="0" fontId="24" fillId="0" borderId="4" xfId="0" applyNumberFormat="1" applyFont="1" applyBorder="1"/>
    <xf numFmtId="170" fontId="24" fillId="0" borderId="0" xfId="0" applyNumberFormat="1" applyFont="1"/>
    <xf numFmtId="0" fontId="41" fillId="0" borderId="0" xfId="5" applyFont="1" applyAlignment="1">
      <alignment horizontal="left" vertical="center"/>
    </xf>
    <xf numFmtId="0" fontId="40" fillId="0" borderId="0" xfId="5" applyFont="1"/>
    <xf numFmtId="0" fontId="40" fillId="0" borderId="0" xfId="5" applyFont="1" applyAlignment="1">
      <alignment horizontal="left" vertical="center" indent="1"/>
    </xf>
    <xf numFmtId="0" fontId="42" fillId="0" borderId="0" xfId="5" applyFont="1" applyAlignment="1">
      <alignment horizontal="left" vertical="center" indent="1"/>
    </xf>
    <xf numFmtId="0" fontId="40" fillId="0" borderId="0" xfId="5" applyFont="1" applyAlignment="1">
      <alignment horizontal="left" vertical="center" indent="8"/>
    </xf>
    <xf numFmtId="0" fontId="43" fillId="0" borderId="0" xfId="5" applyFont="1" applyAlignment="1">
      <alignment vertical="center"/>
    </xf>
    <xf numFmtId="0" fontId="45" fillId="0" borderId="5" xfId="5" applyFont="1" applyBorder="1" applyAlignment="1">
      <alignment horizontal="center" vertical="top" wrapText="1"/>
    </xf>
    <xf numFmtId="0" fontId="45" fillId="0" borderId="8" xfId="5" applyFont="1" applyBorder="1" applyAlignment="1">
      <alignment horizontal="center" vertical="top" wrapText="1"/>
    </xf>
    <xf numFmtId="0" fontId="45" fillId="0" borderId="14" xfId="5" applyFont="1" applyBorder="1" applyAlignment="1">
      <alignment vertical="top" wrapText="1"/>
    </xf>
    <xf numFmtId="0" fontId="29" fillId="0" borderId="0" xfId="5" applyFont="1" applyAlignment="1">
      <alignment vertical="top"/>
    </xf>
    <xf numFmtId="0" fontId="45" fillId="0" borderId="14" xfId="5" applyFont="1" applyBorder="1" applyAlignment="1">
      <alignment horizontal="center" vertical="top" wrapText="1"/>
    </xf>
    <xf numFmtId="9" fontId="45" fillId="0" borderId="14" xfId="2" applyFont="1" applyFill="1" applyBorder="1" applyAlignment="1">
      <alignment horizontal="center" vertical="top" wrapText="1"/>
    </xf>
    <xf numFmtId="0" fontId="45" fillId="0" borderId="13" xfId="5" applyFont="1" applyBorder="1" applyAlignment="1">
      <alignment vertical="top" wrapText="1"/>
    </xf>
    <xf numFmtId="0" fontId="42" fillId="0" borderId="14" xfId="5" applyFont="1" applyBorder="1" applyAlignment="1">
      <alignment vertical="center"/>
    </xf>
    <xf numFmtId="0" fontId="42" fillId="0" borderId="8" xfId="5" applyFont="1" applyBorder="1" applyAlignment="1">
      <alignment vertical="center"/>
    </xf>
    <xf numFmtId="0" fontId="42" fillId="0" borderId="13" xfId="5" applyFont="1" applyBorder="1" applyAlignment="1">
      <alignment vertical="center"/>
    </xf>
    <xf numFmtId="0" fontId="46" fillId="0" borderId="1" xfId="5" applyFont="1" applyBorder="1" applyAlignment="1">
      <alignment horizontal="center" vertical="top" wrapText="1"/>
    </xf>
    <xf numFmtId="176" fontId="43" fillId="0" borderId="5" xfId="5" applyNumberFormat="1" applyFont="1" applyBorder="1" applyAlignment="1">
      <alignment horizontal="center" vertical="top" wrapText="1"/>
    </xf>
    <xf numFmtId="4" fontId="43" fillId="0" borderId="5" xfId="5" applyNumberFormat="1" applyFont="1" applyBorder="1" applyAlignment="1">
      <alignment horizontal="center" vertical="top" wrapText="1"/>
    </xf>
    <xf numFmtId="0" fontId="43" fillId="0" borderId="5" xfId="5" applyFont="1" applyBorder="1" applyAlignment="1">
      <alignment horizontal="center" vertical="top" wrapText="1"/>
    </xf>
    <xf numFmtId="2" fontId="43" fillId="0" borderId="5" xfId="5" applyNumberFormat="1" applyFont="1" applyBorder="1" applyAlignment="1">
      <alignment horizontal="center" vertical="top" wrapText="1"/>
    </xf>
    <xf numFmtId="2" fontId="40" fillId="0" borderId="0" xfId="5" applyNumberFormat="1" applyFont="1" applyAlignment="1">
      <alignment vertical="top"/>
    </xf>
    <xf numFmtId="0" fontId="46" fillId="0" borderId="11" xfId="5" applyFont="1" applyBorder="1" applyAlignment="1">
      <alignment horizontal="center" vertical="top" wrapText="1"/>
    </xf>
    <xf numFmtId="177" fontId="43" fillId="0" borderId="11" xfId="5" applyNumberFormat="1" applyFont="1" applyBorder="1" applyAlignment="1">
      <alignment horizontal="center" vertical="top" wrapText="1"/>
    </xf>
    <xf numFmtId="0" fontId="43" fillId="0" borderId="11" xfId="5" applyFont="1" applyBorder="1" applyAlignment="1">
      <alignment horizontal="center" vertical="top" wrapText="1"/>
    </xf>
    <xf numFmtId="0" fontId="46" fillId="0" borderId="5" xfId="5" applyFont="1" applyBorder="1" applyAlignment="1">
      <alignment horizontal="center" vertical="top" wrapText="1"/>
    </xf>
    <xf numFmtId="0" fontId="47" fillId="0" borderId="5" xfId="0" applyNumberFormat="1" applyFont="1" applyBorder="1" applyAlignment="1">
      <alignment horizontal="left" vertical="top" wrapText="1"/>
    </xf>
    <xf numFmtId="0" fontId="19" fillId="0" borderId="5" xfId="0" applyNumberFormat="1" applyFont="1" applyBorder="1" applyAlignment="1">
      <alignment horizontal="justify" vertical="top" wrapText="1"/>
    </xf>
    <xf numFmtId="167" fontId="43" fillId="0" borderId="5" xfId="5" applyNumberFormat="1" applyFont="1" applyBorder="1" applyAlignment="1">
      <alignment horizontal="center" vertical="top" wrapText="1"/>
    </xf>
    <xf numFmtId="0" fontId="46" fillId="0" borderId="0" xfId="5" applyFont="1" applyAlignment="1">
      <alignment horizontal="justify" vertical="top"/>
    </xf>
    <xf numFmtId="0" fontId="46" fillId="0" borderId="0" xfId="5" applyFont="1" applyAlignment="1">
      <alignment horizontal="center" vertical="top" wrapText="1"/>
    </xf>
    <xf numFmtId="0" fontId="43" fillId="0" borderId="0" xfId="5" applyFont="1" applyAlignment="1">
      <alignment vertical="top" wrapText="1"/>
    </xf>
    <xf numFmtId="2" fontId="43" fillId="0" borderId="26" xfId="5" applyNumberFormat="1" applyFont="1" applyBorder="1" applyAlignment="1">
      <alignment horizontal="center" vertical="top" wrapText="1"/>
    </xf>
    <xf numFmtId="0" fontId="46" fillId="0" borderId="0" xfId="5" applyFont="1" applyAlignment="1">
      <alignment vertical="top" wrapText="1"/>
    </xf>
    <xf numFmtId="0" fontId="43" fillId="0" borderId="0" xfId="5" applyFont="1" applyAlignment="1">
      <alignment horizontal="left" vertical="top" wrapText="1"/>
    </xf>
    <xf numFmtId="0" fontId="46" fillId="0" borderId="0" xfId="5" applyFont="1" applyAlignment="1">
      <alignment vertical="center"/>
    </xf>
    <xf numFmtId="9" fontId="40" fillId="0" borderId="0" xfId="5" applyNumberFormat="1" applyFont="1" applyAlignment="1">
      <alignment horizontal="center"/>
    </xf>
    <xf numFmtId="0" fontId="40" fillId="0" borderId="0" xfId="5" applyFont="1" applyAlignment="1">
      <alignment horizontal="center"/>
    </xf>
    <xf numFmtId="0" fontId="41" fillId="0" borderId="0" xfId="5" applyFont="1"/>
    <xf numFmtId="0" fontId="43" fillId="0" borderId="26" xfId="5" applyFont="1" applyBorder="1" applyAlignment="1">
      <alignment horizontal="center" vertical="top" wrapText="1"/>
    </xf>
    <xf numFmtId="0" fontId="42" fillId="0" borderId="29" xfId="5" applyFont="1" applyBorder="1" applyAlignment="1">
      <alignment horizontal="center" vertical="top" wrapText="1"/>
    </xf>
    <xf numFmtId="0" fontId="43" fillId="0" borderId="12" xfId="5" applyFont="1" applyBorder="1" applyAlignment="1">
      <alignment horizontal="center" vertical="top" wrapText="1"/>
    </xf>
    <xf numFmtId="0" fontId="42" fillId="0" borderId="29" xfId="5" applyFont="1" applyBorder="1" applyAlignment="1">
      <alignment horizontal="center" vertical="center" wrapText="1"/>
    </xf>
    <xf numFmtId="2" fontId="42" fillId="0" borderId="24" xfId="5" applyNumberFormat="1" applyFont="1" applyBorder="1" applyAlignment="1">
      <alignment horizontal="center" vertical="top" wrapText="1"/>
    </xf>
    <xf numFmtId="0" fontId="43" fillId="0" borderId="0" xfId="5" applyFont="1" applyAlignment="1">
      <alignment horizontal="center" vertical="top" wrapText="1"/>
    </xf>
    <xf numFmtId="2" fontId="42" fillId="0" borderId="26" xfId="5" applyNumberFormat="1" applyFont="1" applyBorder="1" applyAlignment="1">
      <alignment horizontal="center" vertical="top" wrapText="1"/>
    </xf>
    <xf numFmtId="168" fontId="42" fillId="0" borderId="29" xfId="5" applyNumberFormat="1" applyFont="1" applyBorder="1" applyAlignment="1">
      <alignment horizontal="center" vertical="top" wrapText="1"/>
    </xf>
    <xf numFmtId="0" fontId="42" fillId="0" borderId="24" xfId="5" applyFont="1" applyBorder="1" applyAlignment="1">
      <alignment horizontal="left" vertical="top" wrapText="1"/>
    </xf>
    <xf numFmtId="0" fontId="42" fillId="0" borderId="24" xfId="5" applyFont="1" applyBorder="1" applyAlignment="1">
      <alignment horizontal="center" vertical="top" wrapText="1"/>
    </xf>
    <xf numFmtId="0" fontId="42" fillId="0" borderId="26" xfId="5" applyFont="1" applyBorder="1" applyAlignment="1">
      <alignment horizontal="center" vertical="top" wrapText="1"/>
    </xf>
    <xf numFmtId="0" fontId="42" fillId="0" borderId="26" xfId="5" applyFont="1" applyBorder="1" applyAlignment="1">
      <alignment vertical="top" wrapText="1"/>
    </xf>
    <xf numFmtId="0" fontId="42" fillId="0" borderId="31" xfId="5" applyFont="1" applyBorder="1" applyAlignment="1">
      <alignment horizontal="center" vertical="top" wrapText="1"/>
    </xf>
    <xf numFmtId="0" fontId="46" fillId="0" borderId="28" xfId="5" applyFont="1" applyBorder="1" applyAlignment="1">
      <alignment vertical="center"/>
    </xf>
    <xf numFmtId="0" fontId="42" fillId="0" borderId="26" xfId="5" applyFont="1" applyBorder="1" applyAlignment="1">
      <alignment vertical="top"/>
    </xf>
    <xf numFmtId="2" fontId="42" fillId="0" borderId="31" xfId="5" applyNumberFormat="1" applyFont="1" applyBorder="1" applyAlignment="1">
      <alignment horizontal="center" vertical="center"/>
    </xf>
    <xf numFmtId="9" fontId="40" fillId="0" borderId="31" xfId="5" applyNumberFormat="1" applyFont="1" applyBorder="1" applyAlignment="1">
      <alignment horizontal="center"/>
    </xf>
    <xf numFmtId="2" fontId="42" fillId="0" borderId="26" xfId="5" applyNumberFormat="1" applyFont="1" applyBorder="1" applyAlignment="1">
      <alignment horizontal="center" vertical="top"/>
    </xf>
    <xf numFmtId="0" fontId="40" fillId="0" borderId="0" xfId="5" applyFont="1" applyAlignment="1">
      <alignment horizontal="left" vertical="center"/>
    </xf>
    <xf numFmtId="175" fontId="42" fillId="0" borderId="26" xfId="5" applyNumberFormat="1" applyFont="1" applyBorder="1" applyAlignment="1">
      <alignment horizontal="left" vertical="top"/>
    </xf>
    <xf numFmtId="0" fontId="40" fillId="0" borderId="0" xfId="5" applyFont="1" applyAlignment="1">
      <alignment horizontal="justify" vertical="center"/>
    </xf>
    <xf numFmtId="2" fontId="34" fillId="0" borderId="4" xfId="0" applyNumberFormat="1" applyFont="1" applyBorder="1"/>
    <xf numFmtId="167" fontId="21" fillId="0" borderId="2" xfId="0" applyFont="1" applyBorder="1" applyAlignment="1">
      <alignment horizontal="center"/>
    </xf>
    <xf numFmtId="167" fontId="24" fillId="0" borderId="0" xfId="22" applyNumberFormat="1"/>
    <xf numFmtId="167" fontId="26" fillId="0" borderId="0" xfId="22" applyNumberFormat="1" applyFont="1" applyAlignment="1">
      <alignment horizontal="right"/>
    </xf>
    <xf numFmtId="0" fontId="17" fillId="0" borderId="0" xfId="15"/>
    <xf numFmtId="167" fontId="24" fillId="0" borderId="0" xfId="22" applyNumberFormat="1" applyAlignment="1">
      <alignment vertical="top"/>
    </xf>
    <xf numFmtId="167" fontId="24" fillId="2" borderId="0" xfId="22" applyNumberFormat="1" applyFill="1" applyAlignment="1">
      <alignment horizontal="right"/>
    </xf>
    <xf numFmtId="167" fontId="24" fillId="0" borderId="0" xfId="22" applyNumberFormat="1" applyAlignment="1">
      <alignment horizontal="right"/>
    </xf>
    <xf numFmtId="167" fontId="24" fillId="0" borderId="0" xfId="22" applyNumberFormat="1" applyAlignment="1">
      <alignment horizontal="left" vertical="top"/>
    </xf>
    <xf numFmtId="167" fontId="24" fillId="0" borderId="0" xfId="22" applyNumberFormat="1" applyAlignment="1">
      <alignment horizontal="left"/>
    </xf>
    <xf numFmtId="167" fontId="23" fillId="0" borderId="0" xfId="22" applyNumberFormat="1" applyFont="1" applyAlignment="1">
      <alignment horizontal="center"/>
    </xf>
    <xf numFmtId="167" fontId="24" fillId="0" borderId="0" xfId="22" applyNumberFormat="1" applyAlignment="1">
      <alignment horizontal="center"/>
    </xf>
    <xf numFmtId="167" fontId="21" fillId="0" borderId="0" xfId="22" applyNumberFormat="1" applyFont="1" applyAlignment="1">
      <alignment horizontal="center"/>
    </xf>
    <xf numFmtId="3" fontId="21" fillId="0" borderId="19" xfId="15" applyNumberFormat="1" applyFont="1" applyBorder="1"/>
    <xf numFmtId="178" fontId="24" fillId="2" borderId="19" xfId="15" applyNumberFormat="1" applyFont="1" applyFill="1" applyBorder="1" applyAlignment="1">
      <alignment horizontal="right"/>
    </xf>
    <xf numFmtId="167" fontId="24" fillId="0" borderId="19" xfId="15" applyNumberFormat="1" applyFont="1" applyBorder="1" applyAlignment="1">
      <alignment horizontal="left"/>
    </xf>
    <xf numFmtId="167" fontId="24" fillId="0" borderId="19" xfId="22" applyNumberFormat="1" applyBorder="1"/>
    <xf numFmtId="167" fontId="21" fillId="0" borderId="19" xfId="15" applyNumberFormat="1" applyFont="1" applyBorder="1" applyAlignment="1">
      <alignment horizontal="left"/>
    </xf>
    <xf numFmtId="167" fontId="21" fillId="0" borderId="0" xfId="22" applyNumberFormat="1" applyFont="1" applyAlignment="1">
      <alignment horizontal="right"/>
    </xf>
    <xf numFmtId="167" fontId="21" fillId="0" borderId="0" xfId="15" applyNumberFormat="1" applyFont="1"/>
    <xf numFmtId="167" fontId="17" fillId="0" borderId="0" xfId="15" applyNumberFormat="1"/>
    <xf numFmtId="168" fontId="17" fillId="0" borderId="0" xfId="15" applyNumberFormat="1"/>
    <xf numFmtId="3" fontId="21" fillId="0" borderId="35" xfId="15" applyNumberFormat="1" applyFont="1" applyBorder="1" applyAlignment="1">
      <alignment horizontal="center" vertical="top"/>
    </xf>
    <xf numFmtId="178" fontId="21" fillId="0" borderId="38" xfId="15" applyNumberFormat="1" applyFont="1" applyBorder="1" applyAlignment="1">
      <alignment horizontal="center" vertical="top"/>
    </xf>
    <xf numFmtId="167" fontId="21" fillId="0" borderId="38" xfId="22" applyNumberFormat="1" applyFont="1" applyBorder="1" applyAlignment="1">
      <alignment horizontal="center" vertical="top"/>
    </xf>
    <xf numFmtId="178" fontId="21" fillId="0" borderId="35" xfId="15" applyNumberFormat="1" applyFont="1" applyBorder="1" applyAlignment="1">
      <alignment horizontal="center" vertical="top"/>
    </xf>
    <xf numFmtId="167" fontId="21" fillId="0" borderId="0" xfId="22" applyNumberFormat="1" applyFont="1" applyAlignment="1">
      <alignment vertical="top" wrapText="1"/>
    </xf>
    <xf numFmtId="167" fontId="24" fillId="0" borderId="0" xfId="22" applyNumberFormat="1" applyAlignment="1">
      <alignment horizontal="center" vertical="center"/>
    </xf>
    <xf numFmtId="167" fontId="21" fillId="0" borderId="0" xfId="15" applyNumberFormat="1" applyFont="1" applyAlignment="1">
      <alignment horizontal="left"/>
    </xf>
    <xf numFmtId="180" fontId="24" fillId="0" borderId="0" xfId="22" applyNumberFormat="1" applyAlignment="1">
      <alignment horizontal="center"/>
    </xf>
    <xf numFmtId="167" fontId="25" fillId="0" borderId="0" xfId="15" applyNumberFormat="1" applyFont="1" applyAlignment="1">
      <alignment horizontal="right"/>
    </xf>
    <xf numFmtId="3" fontId="24" fillId="0" borderId="2" xfId="15" applyNumberFormat="1" applyFont="1" applyBorder="1" applyAlignment="1">
      <alignment horizontal="center" vertical="top"/>
    </xf>
    <xf numFmtId="178" fontId="24" fillId="0" borderId="2" xfId="15" applyNumberFormat="1" applyFont="1" applyBorder="1" applyAlignment="1">
      <alignment horizontal="left" vertical="top" wrapText="1"/>
    </xf>
    <xf numFmtId="167" fontId="24" fillId="0" borderId="9" xfId="15" applyNumberFormat="1" applyFont="1" applyBorder="1" applyAlignment="1">
      <alignment vertical="top"/>
    </xf>
    <xf numFmtId="167" fontId="24" fillId="0" borderId="9" xfId="22" applyNumberFormat="1" applyBorder="1" applyAlignment="1">
      <alignment vertical="top" wrapText="1"/>
    </xf>
    <xf numFmtId="167" fontId="24" fillId="0" borderId="2" xfId="22" applyNumberFormat="1" applyBorder="1" applyAlignment="1">
      <alignment vertical="top" wrapText="1"/>
    </xf>
    <xf numFmtId="0" fontId="56" fillId="0" borderId="0" xfId="15" applyFont="1" applyAlignment="1">
      <alignment vertical="top"/>
    </xf>
    <xf numFmtId="167" fontId="21" fillId="0" borderId="0" xfId="22" applyNumberFormat="1" applyFont="1" applyAlignment="1">
      <alignment horizontal="center" vertical="center"/>
    </xf>
    <xf numFmtId="167" fontId="24" fillId="0" borderId="0" xfId="22" applyNumberFormat="1" applyAlignment="1">
      <alignment horizontal="center" vertical="top"/>
    </xf>
    <xf numFmtId="167" fontId="24" fillId="0" borderId="0" xfId="22" applyNumberFormat="1" applyAlignment="1">
      <alignment vertical="top" wrapText="1"/>
    </xf>
    <xf numFmtId="2" fontId="24" fillId="0" borderId="0" xfId="22" applyNumberFormat="1" applyAlignment="1">
      <alignment vertical="top"/>
    </xf>
    <xf numFmtId="167" fontId="26" fillId="0" borderId="0" xfId="15" applyNumberFormat="1" applyFont="1"/>
    <xf numFmtId="1" fontId="17" fillId="0" borderId="0" xfId="15" applyNumberFormat="1" applyAlignment="1">
      <alignment vertical="top"/>
    </xf>
    <xf numFmtId="167" fontId="17" fillId="0" borderId="0" xfId="15" applyNumberFormat="1" applyAlignment="1">
      <alignment vertical="top"/>
    </xf>
    <xf numFmtId="174" fontId="24" fillId="0" borderId="2" xfId="16" applyNumberFormat="1" applyBorder="1" applyAlignment="1">
      <alignment vertical="top" wrapText="1"/>
    </xf>
    <xf numFmtId="167" fontId="24" fillId="0" borderId="9" xfId="22" applyNumberFormat="1" applyBorder="1" applyAlignment="1">
      <alignment vertical="top"/>
    </xf>
    <xf numFmtId="2" fontId="24" fillId="0" borderId="0" xfId="15" applyNumberFormat="1" applyFont="1" applyAlignment="1">
      <alignment vertical="top"/>
    </xf>
    <xf numFmtId="167" fontId="24" fillId="0" borderId="0" xfId="22" applyNumberFormat="1" applyAlignment="1">
      <alignment horizontal="right" vertical="top"/>
    </xf>
    <xf numFmtId="1" fontId="17" fillId="0" borderId="0" xfId="15" applyNumberFormat="1" applyAlignment="1">
      <alignment horizontal="center" vertical="top"/>
    </xf>
    <xf numFmtId="167" fontId="21" fillId="0" borderId="0" xfId="15" applyNumberFormat="1" applyFont="1" applyAlignment="1">
      <alignment horizontal="center" vertical="top"/>
    </xf>
    <xf numFmtId="167" fontId="17" fillId="0" borderId="0" xfId="15" applyNumberFormat="1" applyAlignment="1">
      <alignment horizontal="center" vertical="top"/>
    </xf>
    <xf numFmtId="167" fontId="17" fillId="0" borderId="0" xfId="15" applyNumberFormat="1" applyAlignment="1">
      <alignment horizontal="right" vertical="top"/>
    </xf>
    <xf numFmtId="167" fontId="17" fillId="0" borderId="0" xfId="15" applyNumberFormat="1" applyAlignment="1">
      <alignment horizontal="left"/>
    </xf>
    <xf numFmtId="2" fontId="24" fillId="0" borderId="9" xfId="22" applyNumberFormat="1" applyBorder="1" applyAlignment="1">
      <alignment vertical="top"/>
    </xf>
    <xf numFmtId="2" fontId="24" fillId="0" borderId="0" xfId="22" applyNumberFormat="1"/>
    <xf numFmtId="2" fontId="24" fillId="0" borderId="0" xfId="22" applyNumberFormat="1" applyAlignment="1">
      <alignment vertical="top" wrapText="1"/>
    </xf>
    <xf numFmtId="168" fontId="24" fillId="0" borderId="0" xfId="22" applyNumberFormat="1" applyAlignment="1">
      <alignment horizontal="center" vertical="top" wrapText="1"/>
    </xf>
    <xf numFmtId="167" fontId="17" fillId="0" borderId="0" xfId="15" applyNumberFormat="1" applyAlignment="1">
      <alignment horizontal="left" vertical="top" wrapText="1"/>
    </xf>
    <xf numFmtId="178" fontId="24" fillId="0" borderId="2" xfId="15" applyNumberFormat="1" applyFont="1" applyBorder="1" applyAlignment="1">
      <alignment vertical="top"/>
    </xf>
    <xf numFmtId="167" fontId="24" fillId="0" borderId="0" xfId="15" applyNumberFormat="1" applyFont="1" applyAlignment="1">
      <alignment vertical="top"/>
    </xf>
    <xf numFmtId="167" fontId="25" fillId="0" borderId="0" xfId="15" applyNumberFormat="1" applyFont="1" applyAlignment="1">
      <alignment horizontal="center"/>
    </xf>
    <xf numFmtId="167" fontId="25" fillId="0" borderId="0" xfId="15" applyNumberFormat="1" applyFont="1"/>
    <xf numFmtId="167" fontId="19" fillId="0" borderId="0" xfId="15" applyNumberFormat="1" applyFont="1" applyAlignment="1">
      <alignment horizontal="center"/>
    </xf>
    <xf numFmtId="167" fontId="59" fillId="0" borderId="0" xfId="15" applyNumberFormat="1" applyFont="1" applyAlignment="1">
      <alignment vertical="top"/>
    </xf>
    <xf numFmtId="0" fontId="17" fillId="0" borderId="0" xfId="15" applyAlignment="1">
      <alignment vertical="top"/>
    </xf>
    <xf numFmtId="178" fontId="24" fillId="0" borderId="2" xfId="15" applyNumberFormat="1" applyFont="1" applyBorder="1" applyAlignment="1">
      <alignment vertical="top" wrapText="1"/>
    </xf>
    <xf numFmtId="167" fontId="24" fillId="0" borderId="9" xfId="15" applyNumberFormat="1" applyFont="1" applyBorder="1" applyAlignment="1">
      <alignment vertical="top" wrapText="1"/>
    </xf>
    <xf numFmtId="2" fontId="24" fillId="0" borderId="9" xfId="22" applyNumberFormat="1" applyBorder="1" applyAlignment="1">
      <alignment vertical="top" wrapText="1"/>
    </xf>
    <xf numFmtId="171" fontId="24" fillId="0" borderId="0" xfId="22" applyNumberFormat="1" applyAlignment="1">
      <alignment horizontal="center" vertical="top"/>
    </xf>
    <xf numFmtId="1" fontId="19" fillId="0" borderId="0" xfId="15" applyNumberFormat="1" applyFont="1" applyAlignment="1">
      <alignment horizontal="center" vertical="top"/>
    </xf>
    <xf numFmtId="167" fontId="29" fillId="0" borderId="0" xfId="15" applyNumberFormat="1" applyFont="1" applyAlignment="1">
      <alignment vertical="top" wrapText="1"/>
    </xf>
    <xf numFmtId="167" fontId="29" fillId="0" borderId="0" xfId="15" applyNumberFormat="1" applyFont="1" applyAlignment="1">
      <alignment horizontal="center" vertical="top" wrapText="1"/>
    </xf>
    <xf numFmtId="168" fontId="29" fillId="0" borderId="0" xfId="15" applyNumberFormat="1" applyFont="1" applyAlignment="1">
      <alignment horizontal="center" vertical="top" wrapText="1"/>
    </xf>
    <xf numFmtId="168" fontId="29" fillId="0" borderId="0" xfId="15" applyNumberFormat="1" applyFont="1" applyAlignment="1">
      <alignment vertical="top" wrapText="1"/>
    </xf>
    <xf numFmtId="168" fontId="17" fillId="0" borderId="0" xfId="15" applyNumberFormat="1" applyAlignment="1">
      <alignment horizontal="center"/>
    </xf>
    <xf numFmtId="0" fontId="17" fillId="0" borderId="0" xfId="15" applyAlignment="1">
      <alignment horizontal="center" vertical="top"/>
    </xf>
    <xf numFmtId="2" fontId="24" fillId="0" borderId="9" xfId="15" applyNumberFormat="1" applyFont="1" applyBorder="1" applyAlignment="1">
      <alignment vertical="top"/>
    </xf>
    <xf numFmtId="167" fontId="24" fillId="0" borderId="0" xfId="22" applyNumberFormat="1" applyAlignment="1">
      <alignment wrapText="1"/>
    </xf>
    <xf numFmtId="1" fontId="19" fillId="0" borderId="0" xfId="15" applyNumberFormat="1" applyFont="1" applyAlignment="1">
      <alignment horizontal="center"/>
    </xf>
    <xf numFmtId="0" fontId="17" fillId="0" borderId="0" xfId="15" applyAlignment="1">
      <alignment horizontal="center"/>
    </xf>
    <xf numFmtId="2" fontId="56" fillId="0" borderId="0" xfId="15" applyNumberFormat="1" applyFont="1" applyAlignment="1">
      <alignment horizontal="center" vertical="top"/>
    </xf>
    <xf numFmtId="167" fontId="19" fillId="0" borderId="0" xfId="15" applyNumberFormat="1" applyFont="1" applyAlignment="1">
      <alignment horizontal="right"/>
    </xf>
    <xf numFmtId="3" fontId="24" fillId="0" borderId="10" xfId="15" applyNumberFormat="1" applyFont="1" applyBorder="1" applyAlignment="1">
      <alignment horizontal="center" vertical="top"/>
    </xf>
    <xf numFmtId="178" fontId="24" fillId="0" borderId="10" xfId="15" applyNumberFormat="1" applyFont="1" applyBorder="1" applyAlignment="1">
      <alignment vertical="top" wrapText="1"/>
    </xf>
    <xf numFmtId="167" fontId="21" fillId="0" borderId="0" xfId="22" applyNumberFormat="1" applyFont="1" applyAlignment="1">
      <alignment horizontal="center" vertical="top"/>
    </xf>
    <xf numFmtId="167" fontId="21" fillId="0" borderId="0" xfId="22" applyNumberFormat="1" applyFont="1" applyAlignment="1">
      <alignment vertical="top"/>
    </xf>
    <xf numFmtId="167" fontId="19" fillId="0" borderId="0" xfId="15" applyNumberFormat="1" applyFont="1" applyAlignment="1">
      <alignment horizontal="left" vertical="top" wrapText="1"/>
    </xf>
    <xf numFmtId="168" fontId="17" fillId="0" borderId="0" xfId="15" applyNumberFormat="1" applyAlignment="1">
      <alignment horizontal="center" vertical="top"/>
    </xf>
    <xf numFmtId="167" fontId="19" fillId="0" borderId="0" xfId="15" applyNumberFormat="1" applyFont="1" applyAlignment="1">
      <alignment horizontal="right" vertical="top"/>
    </xf>
    <xf numFmtId="178" fontId="21" fillId="0" borderId="10" xfId="15" applyNumberFormat="1" applyFont="1" applyBorder="1" applyAlignment="1">
      <alignment horizontal="right" vertical="top" wrapText="1"/>
    </xf>
    <xf numFmtId="167" fontId="21" fillId="0" borderId="9" xfId="15" applyNumberFormat="1" applyFont="1" applyBorder="1" applyAlignment="1">
      <alignment vertical="top"/>
    </xf>
    <xf numFmtId="167" fontId="21" fillId="0" borderId="2" xfId="22" applyNumberFormat="1" applyFont="1" applyBorder="1" applyAlignment="1">
      <alignment vertical="top" wrapText="1"/>
    </xf>
    <xf numFmtId="2" fontId="24" fillId="0" borderId="0" xfId="22" applyNumberFormat="1" applyAlignment="1">
      <alignment horizontal="right"/>
    </xf>
    <xf numFmtId="168" fontId="21" fillId="0" borderId="0" xfId="22" applyNumberFormat="1" applyFont="1" applyAlignment="1">
      <alignment horizontal="center"/>
    </xf>
    <xf numFmtId="167" fontId="21" fillId="0" borderId="0" xfId="22" applyNumberFormat="1" applyFont="1" applyAlignment="1">
      <alignment horizontal="left"/>
    </xf>
    <xf numFmtId="167" fontId="21" fillId="0" borderId="0" xfId="22" applyNumberFormat="1" applyFont="1"/>
    <xf numFmtId="178" fontId="21" fillId="0" borderId="9" xfId="15" applyNumberFormat="1" applyFont="1" applyBorder="1" applyAlignment="1">
      <alignment vertical="top"/>
    </xf>
    <xf numFmtId="167" fontId="21" fillId="0" borderId="25" xfId="15" applyNumberFormat="1" applyFont="1" applyBorder="1" applyAlignment="1">
      <alignment vertical="top"/>
    </xf>
    <xf numFmtId="2" fontId="21" fillId="0" borderId="25" xfId="22" applyNumberFormat="1" applyFont="1" applyBorder="1" applyAlignment="1">
      <alignment vertical="top"/>
    </xf>
    <xf numFmtId="167" fontId="24" fillId="0" borderId="9" xfId="22" applyNumberFormat="1" applyBorder="1"/>
    <xf numFmtId="1" fontId="19" fillId="0" borderId="0" xfId="15" applyNumberFormat="1" applyFont="1" applyAlignment="1">
      <alignment horizontal="right"/>
    </xf>
    <xf numFmtId="167" fontId="25" fillId="0" borderId="0" xfId="15" applyNumberFormat="1" applyFont="1" applyAlignment="1">
      <alignment horizontal="right" wrapText="1"/>
    </xf>
    <xf numFmtId="168" fontId="25" fillId="0" borderId="0" xfId="15" applyNumberFormat="1" applyFont="1" applyAlignment="1">
      <alignment horizontal="right"/>
    </xf>
    <xf numFmtId="3" fontId="24" fillId="0" borderId="2" xfId="15" applyNumberFormat="1" applyFont="1" applyBorder="1" applyAlignment="1">
      <alignment horizontal="right" vertical="top"/>
    </xf>
    <xf numFmtId="178" fontId="24" fillId="0" borderId="0" xfId="15" applyNumberFormat="1" applyFont="1" applyAlignment="1">
      <alignment vertical="top"/>
    </xf>
    <xf numFmtId="167" fontId="24" fillId="0" borderId="2" xfId="16" applyNumberFormat="1" applyBorder="1" applyAlignment="1">
      <alignment vertical="top"/>
    </xf>
    <xf numFmtId="167" fontId="25" fillId="0" borderId="0" xfId="15" applyNumberFormat="1" applyFont="1" applyAlignment="1">
      <alignment horizontal="left"/>
    </xf>
    <xf numFmtId="167" fontId="19" fillId="0" borderId="0" xfId="15" applyNumberFormat="1" applyFont="1" applyAlignment="1">
      <alignment horizontal="left"/>
    </xf>
    <xf numFmtId="3" fontId="14" fillId="0" borderId="2" xfId="15" applyNumberFormat="1" applyFont="1" applyBorder="1" applyAlignment="1">
      <alignment horizontal="right" vertical="top"/>
    </xf>
    <xf numFmtId="167" fontId="58" fillId="0" borderId="0" xfId="15" applyNumberFormat="1" applyFont="1"/>
    <xf numFmtId="167" fontId="24" fillId="0" borderId="12" xfId="15" applyNumberFormat="1" applyFont="1" applyBorder="1" applyAlignment="1">
      <alignment vertical="top"/>
    </xf>
    <xf numFmtId="167" fontId="24" fillId="0" borderId="10" xfId="16" applyNumberFormat="1" applyBorder="1" applyAlignment="1">
      <alignment vertical="top"/>
    </xf>
    <xf numFmtId="167" fontId="24" fillId="0" borderId="10" xfId="22" applyNumberFormat="1" applyBorder="1" applyAlignment="1">
      <alignment vertical="top" wrapText="1"/>
    </xf>
    <xf numFmtId="167" fontId="19" fillId="0" borderId="0" xfId="15" applyNumberFormat="1" applyFont="1"/>
    <xf numFmtId="3" fontId="17" fillId="0" borderId="12" xfId="15" applyNumberFormat="1" applyBorder="1" applyAlignment="1">
      <alignment horizontal="right" vertical="top"/>
    </xf>
    <xf numFmtId="178" fontId="21" fillId="0" borderId="5" xfId="15" applyNumberFormat="1" applyFont="1" applyBorder="1" applyAlignment="1">
      <alignment horizontal="right" vertical="top" wrapText="1"/>
    </xf>
    <xf numFmtId="172" fontId="24" fillId="0" borderId="2" xfId="16" applyNumberFormat="1" applyBorder="1" applyAlignment="1">
      <alignment vertical="top"/>
    </xf>
    <xf numFmtId="180" fontId="24" fillId="0" borderId="0" xfId="22" applyNumberFormat="1"/>
    <xf numFmtId="167" fontId="19" fillId="0" borderId="0" xfId="15" applyNumberFormat="1" applyFont="1" applyAlignment="1">
      <alignment wrapText="1"/>
    </xf>
    <xf numFmtId="167" fontId="19" fillId="0" borderId="0" xfId="15" applyNumberFormat="1" applyFont="1" applyAlignment="1">
      <alignment horizontal="center" vertical="top"/>
    </xf>
    <xf numFmtId="3" fontId="24" fillId="0" borderId="5" xfId="15" applyNumberFormat="1" applyFont="1" applyBorder="1" applyAlignment="1">
      <alignment horizontal="center" vertical="top"/>
    </xf>
    <xf numFmtId="178" fontId="21" fillId="0" borderId="5" xfId="15" applyNumberFormat="1" applyFont="1" applyBorder="1" applyAlignment="1">
      <alignment vertical="top"/>
    </xf>
    <xf numFmtId="167" fontId="21" fillId="0" borderId="5" xfId="15" applyNumberFormat="1" applyFont="1" applyBorder="1" applyAlignment="1">
      <alignment vertical="top"/>
    </xf>
    <xf numFmtId="168" fontId="19" fillId="0" borderId="0" xfId="15" applyNumberFormat="1" applyFont="1" applyAlignment="1">
      <alignment horizontal="right"/>
    </xf>
    <xf numFmtId="3" fontId="24" fillId="0" borderId="1" xfId="15" applyNumberFormat="1" applyFont="1" applyBorder="1" applyAlignment="1">
      <alignment horizontal="center" vertical="top"/>
    </xf>
    <xf numFmtId="178" fontId="24" fillId="0" borderId="3" xfId="15" applyNumberFormat="1" applyFont="1" applyBorder="1" applyAlignment="1">
      <alignment vertical="top"/>
    </xf>
    <xf numFmtId="167" fontId="24" fillId="0" borderId="2" xfId="15" applyNumberFormat="1" applyFont="1" applyBorder="1" applyAlignment="1">
      <alignment vertical="top"/>
    </xf>
    <xf numFmtId="167" fontId="24" fillId="0" borderId="1" xfId="15" applyNumberFormat="1" applyFont="1" applyBorder="1" applyAlignment="1">
      <alignment vertical="top"/>
    </xf>
    <xf numFmtId="167" fontId="21" fillId="0" borderId="5" xfId="22" applyNumberFormat="1" applyFont="1" applyBorder="1" applyAlignment="1">
      <alignment vertical="top"/>
    </xf>
    <xf numFmtId="180" fontId="19" fillId="0" borderId="0" xfId="13" applyNumberFormat="1" applyAlignment="1">
      <alignment horizontal="right" vertical="top" wrapText="1"/>
    </xf>
    <xf numFmtId="2" fontId="25" fillId="0" borderId="0" xfId="22" applyNumberFormat="1" applyFont="1"/>
    <xf numFmtId="167" fontId="25" fillId="0" borderId="0" xfId="22" applyNumberFormat="1" applyFont="1" applyAlignment="1">
      <alignment wrapText="1"/>
    </xf>
    <xf numFmtId="167" fontId="60" fillId="0" borderId="0" xfId="22" applyNumberFormat="1" applyFont="1"/>
    <xf numFmtId="167" fontId="24" fillId="2" borderId="0" xfId="15" applyNumberFormat="1" applyFont="1" applyFill="1" applyAlignment="1">
      <alignment horizontal="right"/>
    </xf>
    <xf numFmtId="167" fontId="24" fillId="0" borderId="0" xfId="15" applyNumberFormat="1" applyFont="1" applyAlignment="1">
      <alignment horizontal="right"/>
    </xf>
    <xf numFmtId="178" fontId="24" fillId="0" borderId="5" xfId="15" applyNumberFormat="1" applyFont="1" applyBorder="1" applyAlignment="1">
      <alignment horizontal="right"/>
    </xf>
    <xf numFmtId="167" fontId="24" fillId="2" borderId="5" xfId="22" applyNumberFormat="1" applyFill="1" applyBorder="1" applyAlignment="1">
      <alignment horizontal="left" vertical="top"/>
    </xf>
    <xf numFmtId="167" fontId="24" fillId="2" borderId="5" xfId="15" applyNumberFormat="1" applyFont="1" applyFill="1" applyBorder="1" applyAlignment="1">
      <alignment horizontal="right" vertical="top"/>
    </xf>
    <xf numFmtId="0" fontId="55" fillId="5" borderId="0" xfId="16" applyNumberFormat="1" applyFont="1" applyFill="1" applyAlignment="1">
      <alignment horizontal="left" vertical="top" wrapText="1"/>
    </xf>
    <xf numFmtId="0" fontId="58" fillId="0" borderId="0" xfId="15" applyFont="1" applyAlignment="1">
      <alignment vertical="top"/>
    </xf>
    <xf numFmtId="167" fontId="24" fillId="2" borderId="5" xfId="15" quotePrefix="1" applyNumberFormat="1" applyFont="1" applyFill="1" applyBorder="1" applyAlignment="1">
      <alignment horizontal="right" vertical="top"/>
    </xf>
    <xf numFmtId="0" fontId="57" fillId="0" borderId="0" xfId="15" applyFont="1" applyAlignment="1">
      <alignment vertical="top" wrapText="1"/>
    </xf>
    <xf numFmtId="0" fontId="57" fillId="0" borderId="0" xfId="15" applyFont="1" applyAlignment="1">
      <alignment vertical="top"/>
    </xf>
    <xf numFmtId="1" fontId="57" fillId="0" borderId="0" xfId="15" applyNumberFormat="1" applyFont="1" applyAlignment="1">
      <alignment vertical="top"/>
    </xf>
    <xf numFmtId="167" fontId="24" fillId="0" borderId="5" xfId="22" applyNumberFormat="1" applyBorder="1" applyAlignment="1">
      <alignment horizontal="right" vertical="top" wrapText="1"/>
    </xf>
    <xf numFmtId="169" fontId="24" fillId="2" borderId="5" xfId="2" applyNumberFormat="1" applyFont="1" applyFill="1" applyBorder="1" applyAlignment="1">
      <alignment horizontal="left" vertical="top" wrapText="1"/>
    </xf>
    <xf numFmtId="167" fontId="24" fillId="0" borderId="5" xfId="15" quotePrefix="1" applyNumberFormat="1" applyFont="1" applyBorder="1" applyAlignment="1">
      <alignment horizontal="right"/>
    </xf>
    <xf numFmtId="167" fontId="24" fillId="0" borderId="5" xfId="22" applyNumberFormat="1" applyBorder="1"/>
    <xf numFmtId="167" fontId="24" fillId="0" borderId="0" xfId="15" quotePrefix="1" applyNumberFormat="1" applyFont="1" applyAlignment="1">
      <alignment horizontal="right"/>
    </xf>
    <xf numFmtId="167" fontId="24" fillId="0" borderId="14" xfId="22" applyNumberFormat="1" applyBorder="1" applyAlignment="1">
      <alignment horizontal="right" vertical="top" wrapText="1"/>
    </xf>
    <xf numFmtId="3" fontId="24" fillId="0" borderId="1" xfId="15" applyNumberFormat="1" applyFont="1" applyBorder="1" applyAlignment="1">
      <alignment horizontal="center"/>
    </xf>
    <xf numFmtId="178" fontId="24" fillId="0" borderId="14" xfId="15" applyNumberFormat="1" applyFont="1" applyBorder="1"/>
    <xf numFmtId="167" fontId="19" fillId="0" borderId="5" xfId="15" applyNumberFormat="1" applyFont="1" applyBorder="1"/>
    <xf numFmtId="0" fontId="61" fillId="0" borderId="0" xfId="16" applyNumberFormat="1" applyFont="1" applyAlignment="1">
      <alignment vertical="top" wrapText="1"/>
    </xf>
    <xf numFmtId="3" fontId="24" fillId="0" borderId="10" xfId="15" applyNumberFormat="1" applyFont="1" applyBorder="1" applyAlignment="1">
      <alignment horizontal="center"/>
    </xf>
    <xf numFmtId="167" fontId="17" fillId="0" borderId="12" xfId="15" applyNumberFormat="1" applyBorder="1" applyAlignment="1">
      <alignment horizontal="center"/>
    </xf>
    <xf numFmtId="167" fontId="19" fillId="0" borderId="5" xfId="15" applyNumberFormat="1" applyFont="1" applyBorder="1" applyAlignment="1">
      <alignment horizontal="center" vertical="center" wrapText="1"/>
    </xf>
    <xf numFmtId="167" fontId="19" fillId="0" borderId="5" xfId="15" applyNumberFormat="1" applyFont="1" applyBorder="1" applyAlignment="1">
      <alignment vertical="center" wrapText="1"/>
    </xf>
    <xf numFmtId="167" fontId="24" fillId="0" borderId="5" xfId="0" applyFont="1" applyBorder="1" applyAlignment="1">
      <alignment horizontal="center" vertical="center" wrapText="1"/>
    </xf>
    <xf numFmtId="167" fontId="19" fillId="0" borderId="5" xfId="15" applyNumberFormat="1" applyFont="1" applyBorder="1" applyAlignment="1">
      <alignment horizontal="center" vertical="top" wrapText="1"/>
    </xf>
    <xf numFmtId="167" fontId="19" fillId="0" borderId="5" xfId="15" applyNumberFormat="1" applyFont="1" applyBorder="1" applyAlignment="1">
      <alignment horizontal="center" vertical="center"/>
    </xf>
    <xf numFmtId="0" fontId="17" fillId="0" borderId="0" xfId="15" applyAlignment="1">
      <alignment vertical="top" wrapText="1"/>
    </xf>
    <xf numFmtId="169" fontId="14" fillId="2" borderId="12" xfId="2" applyNumberFormat="1" applyFont="1" applyFill="1" applyBorder="1" applyAlignment="1">
      <alignment horizontal="right"/>
    </xf>
    <xf numFmtId="169" fontId="19" fillId="2" borderId="5" xfId="2" applyNumberFormat="1" applyFont="1" applyFill="1" applyBorder="1" applyAlignment="1">
      <alignment horizontal="center" vertical="center" wrapText="1"/>
    </xf>
    <xf numFmtId="169" fontId="19" fillId="0" borderId="5" xfId="2" applyNumberFormat="1" applyFont="1" applyBorder="1" applyAlignment="1">
      <alignment horizontal="center" vertical="center" wrapText="1"/>
    </xf>
    <xf numFmtId="169" fontId="20" fillId="0" borderId="5" xfId="2" applyNumberFormat="1" applyFont="1" applyFill="1" applyBorder="1" applyAlignment="1" applyProtection="1">
      <alignment horizontal="center" vertical="center" wrapText="1"/>
    </xf>
    <xf numFmtId="9" fontId="19" fillId="2" borderId="5" xfId="2" applyFont="1" applyFill="1" applyBorder="1" applyAlignment="1">
      <alignment horizontal="center" vertical="center"/>
    </xf>
    <xf numFmtId="178" fontId="24" fillId="0" borderId="14" xfId="15" applyNumberFormat="1" applyFont="1" applyBorder="1" applyAlignment="1">
      <alignment vertical="top"/>
    </xf>
    <xf numFmtId="167" fontId="24" fillId="0" borderId="5" xfId="15" applyNumberFormat="1" applyFont="1" applyBorder="1" applyAlignment="1">
      <alignment horizontal="right" vertical="top"/>
    </xf>
    <xf numFmtId="2" fontId="56" fillId="0" borderId="5" xfId="15" applyNumberFormat="1" applyFont="1" applyBorder="1" applyAlignment="1">
      <alignment vertical="top"/>
    </xf>
    <xf numFmtId="167" fontId="21" fillId="0" borderId="5" xfId="15" applyNumberFormat="1" applyFont="1" applyBorder="1" applyAlignment="1">
      <alignment horizontal="center"/>
    </xf>
    <xf numFmtId="2" fontId="24" fillId="0" borderId="5" xfId="15" applyNumberFormat="1" applyFont="1" applyBorder="1" applyAlignment="1">
      <alignment horizontal="right" vertical="top"/>
    </xf>
    <xf numFmtId="3" fontId="24" fillId="0" borderId="5" xfId="15" applyNumberFormat="1" applyFont="1" applyBorder="1" applyAlignment="1">
      <alignment horizontal="center"/>
    </xf>
    <xf numFmtId="178" fontId="24" fillId="0" borderId="14" xfId="15" applyNumberFormat="1" applyFont="1" applyBorder="1" applyAlignment="1">
      <alignment wrapText="1"/>
    </xf>
    <xf numFmtId="167" fontId="24" fillId="0" borderId="5" xfId="15" applyNumberFormat="1" applyFont="1" applyBorder="1" applyAlignment="1">
      <alignment horizontal="right"/>
    </xf>
    <xf numFmtId="2" fontId="24" fillId="0" borderId="5" xfId="15" applyNumberFormat="1" applyFont="1" applyBorder="1" applyAlignment="1">
      <alignment horizontal="right"/>
    </xf>
    <xf numFmtId="0" fontId="61" fillId="0" borderId="0" xfId="16" applyNumberFormat="1" applyFont="1" applyAlignment="1">
      <alignment horizontal="left" vertical="top" wrapText="1"/>
    </xf>
    <xf numFmtId="0" fontId="24" fillId="0" borderId="0" xfId="16" applyNumberFormat="1" applyAlignment="1">
      <alignment vertical="top"/>
    </xf>
    <xf numFmtId="178" fontId="24" fillId="0" borderId="0" xfId="15" applyNumberFormat="1" applyFont="1" applyAlignment="1">
      <alignment vertical="top" wrapText="1"/>
    </xf>
    <xf numFmtId="178" fontId="24" fillId="0" borderId="5" xfId="15" applyNumberFormat="1" applyFont="1" applyBorder="1" applyAlignment="1">
      <alignment vertical="top" wrapText="1"/>
    </xf>
    <xf numFmtId="178" fontId="24" fillId="0" borderId="14" xfId="15" applyNumberFormat="1" applyFont="1" applyBorder="1" applyAlignment="1">
      <alignment vertical="top" wrapText="1"/>
    </xf>
    <xf numFmtId="2" fontId="24" fillId="0" borderId="5" xfId="15" applyNumberFormat="1" applyFont="1" applyBorder="1" applyAlignment="1">
      <alignment vertical="top"/>
    </xf>
    <xf numFmtId="167" fontId="21" fillId="0" borderId="5" xfId="15" applyNumberFormat="1" applyFont="1" applyBorder="1" applyAlignment="1">
      <alignment horizontal="right" vertical="top"/>
    </xf>
    <xf numFmtId="0" fontId="55" fillId="0" borderId="0" xfId="16" applyNumberFormat="1" applyFont="1" applyAlignment="1">
      <alignment horizontal="left" vertical="top" wrapText="1"/>
    </xf>
    <xf numFmtId="167" fontId="21" fillId="0" borderId="5" xfId="15" applyNumberFormat="1" applyFont="1" applyBorder="1" applyAlignment="1">
      <alignment horizontal="center" vertical="top"/>
    </xf>
    <xf numFmtId="0" fontId="62" fillId="0" borderId="0" xfId="16" applyNumberFormat="1" applyFont="1" applyAlignment="1">
      <alignment horizontal="left" vertical="top"/>
    </xf>
    <xf numFmtId="178" fontId="24" fillId="0" borderId="2" xfId="15" applyNumberFormat="1" applyFont="1" applyBorder="1" applyAlignment="1">
      <alignment horizontal="left" vertical="center" wrapText="1"/>
    </xf>
    <xf numFmtId="2" fontId="56" fillId="0" borderId="5" xfId="15" applyNumberFormat="1" applyFont="1" applyBorder="1"/>
    <xf numFmtId="167" fontId="21" fillId="0" borderId="13" xfId="15" applyNumberFormat="1" applyFont="1" applyBorder="1" applyAlignment="1">
      <alignment horizontal="center"/>
    </xf>
    <xf numFmtId="167" fontId="24" fillId="0" borderId="13" xfId="15" applyNumberFormat="1" applyFont="1" applyBorder="1" applyAlignment="1">
      <alignment horizontal="center"/>
    </xf>
    <xf numFmtId="178" fontId="24" fillId="0" borderId="5" xfId="15" applyNumberFormat="1" applyFont="1" applyBorder="1" applyAlignment="1">
      <alignment horizontal="left" vertical="top" wrapText="1"/>
    </xf>
    <xf numFmtId="167" fontId="21" fillId="0" borderId="13" xfId="15" applyNumberFormat="1" applyFont="1" applyBorder="1" applyAlignment="1">
      <alignment horizontal="center" vertical="top"/>
    </xf>
    <xf numFmtId="178" fontId="24" fillId="0" borderId="14" xfId="15" applyNumberFormat="1" applyFont="1" applyBorder="1" applyAlignment="1">
      <alignment horizontal="left" vertical="top" wrapText="1"/>
    </xf>
    <xf numFmtId="167" fontId="24" fillId="0" borderId="13" xfId="15" applyNumberFormat="1" applyFont="1" applyBorder="1" applyAlignment="1">
      <alignment horizontal="center" vertical="top"/>
    </xf>
    <xf numFmtId="178" fontId="21" fillId="0" borderId="14" xfId="15" applyNumberFormat="1" applyFont="1" applyBorder="1"/>
    <xf numFmtId="2" fontId="21" fillId="0" borderId="5" xfId="15" applyNumberFormat="1" applyFont="1" applyBorder="1" applyAlignment="1">
      <alignment horizontal="right"/>
    </xf>
    <xf numFmtId="2" fontId="17" fillId="0" borderId="0" xfId="15" applyNumberFormat="1"/>
    <xf numFmtId="3" fontId="17" fillId="0" borderId="0" xfId="15" applyNumberFormat="1"/>
    <xf numFmtId="167" fontId="17" fillId="0" borderId="0" xfId="15" applyNumberFormat="1" applyAlignment="1">
      <alignment horizontal="right"/>
    </xf>
    <xf numFmtId="167" fontId="21" fillId="0" borderId="0" xfId="15" applyNumberFormat="1" applyFont="1" applyAlignment="1">
      <alignment horizontal="center" vertical="top" wrapText="1"/>
    </xf>
    <xf numFmtId="1" fontId="59" fillId="0" borderId="0" xfId="15" applyNumberFormat="1" applyFont="1" applyAlignment="1">
      <alignment horizontal="center"/>
    </xf>
    <xf numFmtId="167" fontId="59" fillId="0" borderId="0" xfId="15" applyNumberFormat="1" applyFont="1" applyAlignment="1">
      <alignment horizontal="left" wrapText="1"/>
    </xf>
    <xf numFmtId="167" fontId="17" fillId="0" borderId="0" xfId="15" applyNumberFormat="1" applyAlignment="1">
      <alignment horizontal="center"/>
    </xf>
    <xf numFmtId="167" fontId="19" fillId="0" borderId="0" xfId="15" applyNumberFormat="1" applyFont="1" applyAlignment="1">
      <alignment horizontal="left" wrapText="1"/>
    </xf>
    <xf numFmtId="167" fontId="19" fillId="0" borderId="0" xfId="15" applyNumberFormat="1" applyFont="1" applyAlignment="1">
      <alignment vertical="top"/>
    </xf>
    <xf numFmtId="167" fontId="19" fillId="0" borderId="0" xfId="15" applyNumberFormat="1" applyFont="1" applyAlignment="1">
      <alignment horizontal="center" vertical="center"/>
    </xf>
    <xf numFmtId="167" fontId="19" fillId="0" borderId="0" xfId="15" quotePrefix="1" applyNumberFormat="1" applyFont="1" applyAlignment="1">
      <alignment horizontal="center" vertical="center"/>
    </xf>
    <xf numFmtId="167" fontId="25" fillId="0" borderId="0" xfId="15" applyNumberFormat="1" applyFont="1" applyAlignment="1">
      <alignment horizontal="center" vertical="center" wrapText="1"/>
    </xf>
    <xf numFmtId="167" fontId="19" fillId="0" borderId="0" xfId="15" quotePrefix="1" applyNumberFormat="1" applyFont="1" applyAlignment="1">
      <alignment horizontal="center"/>
    </xf>
    <xf numFmtId="0" fontId="17" fillId="0" borderId="0" xfId="15" applyAlignment="1">
      <alignment wrapText="1"/>
    </xf>
    <xf numFmtId="167" fontId="19" fillId="0" borderId="0" xfId="15" applyNumberFormat="1" applyFont="1" applyAlignment="1">
      <alignment vertical="center" wrapText="1"/>
    </xf>
    <xf numFmtId="168" fontId="19" fillId="0" borderId="0" xfId="15" applyNumberFormat="1" applyFont="1" applyAlignment="1">
      <alignment horizontal="right" vertical="center"/>
    </xf>
    <xf numFmtId="167" fontId="19" fillId="0" borderId="0" xfId="15" applyNumberFormat="1" applyFont="1" applyAlignment="1">
      <alignment horizontal="right" vertical="center"/>
    </xf>
    <xf numFmtId="168" fontId="19" fillId="0" borderId="0" xfId="15" applyNumberFormat="1" applyFont="1" applyAlignment="1">
      <alignment horizontal="center" vertical="top"/>
    </xf>
    <xf numFmtId="168" fontId="19" fillId="0" borderId="0" xfId="15" applyNumberFormat="1" applyFont="1" applyAlignment="1">
      <alignment horizontal="center" vertical="center"/>
    </xf>
    <xf numFmtId="167" fontId="17" fillId="0" borderId="0" xfId="15" applyNumberFormat="1" applyAlignment="1">
      <alignment wrapText="1"/>
    </xf>
    <xf numFmtId="167" fontId="17" fillId="0" borderId="0" xfId="15" applyNumberFormat="1" applyAlignment="1">
      <alignment horizontal="center" vertical="center"/>
    </xf>
    <xf numFmtId="0" fontId="17" fillId="0" borderId="0" xfId="15" applyAlignment="1">
      <alignment horizontal="center" vertical="center"/>
    </xf>
    <xf numFmtId="0" fontId="17" fillId="0" borderId="0" xfId="15" applyAlignment="1">
      <alignment horizontal="left" vertical="center"/>
    </xf>
    <xf numFmtId="167" fontId="19" fillId="0" borderId="0" xfId="15" quotePrefix="1" applyNumberFormat="1" applyFont="1" applyAlignment="1">
      <alignment horizontal="left"/>
    </xf>
    <xf numFmtId="1" fontId="63" fillId="0" borderId="0" xfId="15" applyNumberFormat="1" applyFont="1" applyAlignment="1">
      <alignment horizontal="right"/>
    </xf>
    <xf numFmtId="167" fontId="25" fillId="0" borderId="0" xfId="15" applyNumberFormat="1" applyFont="1" applyAlignment="1">
      <alignment horizontal="left" wrapText="1"/>
    </xf>
    <xf numFmtId="0" fontId="46" fillId="0" borderId="25" xfId="5" applyFont="1" applyBorder="1" applyAlignment="1">
      <alignment horizontal="center" vertical="top" wrapText="1"/>
    </xf>
    <xf numFmtId="167" fontId="42" fillId="0" borderId="5" xfId="5" applyNumberFormat="1" applyFont="1" applyBorder="1" applyAlignment="1">
      <alignment horizontal="center" vertical="center" wrapText="1"/>
    </xf>
    <xf numFmtId="167" fontId="42" fillId="0" borderId="5" xfId="5" applyNumberFormat="1" applyFont="1" applyBorder="1" applyAlignment="1">
      <alignment horizontal="left" vertical="center" wrapText="1"/>
    </xf>
    <xf numFmtId="0" fontId="42" fillId="0" borderId="5" xfId="5" applyFont="1" applyBorder="1" applyAlignment="1">
      <alignment horizontal="center" vertical="center"/>
    </xf>
    <xf numFmtId="0" fontId="42" fillId="0" borderId="0" xfId="5" applyFont="1" applyAlignment="1">
      <alignment vertical="center"/>
    </xf>
    <xf numFmtId="168" fontId="29" fillId="0" borderId="1" xfId="0" applyNumberFormat="1" applyFont="1" applyBorder="1" applyAlignment="1">
      <alignment horizontal="center" vertical="top"/>
    </xf>
    <xf numFmtId="167" fontId="29" fillId="0" borderId="1" xfId="0" applyFont="1" applyBorder="1" applyAlignment="1">
      <alignment horizontal="left" vertical="top"/>
    </xf>
    <xf numFmtId="49" fontId="29" fillId="0" borderId="11" xfId="0" applyNumberFormat="1" applyFont="1" applyBorder="1" applyAlignment="1">
      <alignment horizontal="center" vertical="top"/>
    </xf>
    <xf numFmtId="2" fontId="29" fillId="0" borderId="1" xfId="0" applyNumberFormat="1" applyFont="1" applyBorder="1" applyAlignment="1">
      <alignment horizontal="right" vertical="top"/>
    </xf>
    <xf numFmtId="168" fontId="29" fillId="0" borderId="2" xfId="0" applyNumberFormat="1" applyFont="1" applyBorder="1" applyAlignment="1">
      <alignment horizontal="center" vertical="top"/>
    </xf>
    <xf numFmtId="167" fontId="29" fillId="0" borderId="2" xfId="0" applyFont="1" applyBorder="1" applyAlignment="1">
      <alignment horizontal="left" vertical="top"/>
    </xf>
    <xf numFmtId="49" fontId="29" fillId="0" borderId="0" xfId="0" applyNumberFormat="1" applyFont="1" applyAlignment="1">
      <alignment horizontal="center" vertical="top"/>
    </xf>
    <xf numFmtId="2" fontId="29" fillId="0" borderId="2" xfId="0" applyNumberFormat="1" applyFont="1" applyBorder="1" applyAlignment="1">
      <alignment horizontal="right" vertical="top"/>
    </xf>
    <xf numFmtId="167" fontId="29" fillId="0" borderId="2" xfId="0" applyFont="1" applyBorder="1" applyAlignment="1">
      <alignment vertical="top" wrapText="1"/>
    </xf>
    <xf numFmtId="167" fontId="29" fillId="0" borderId="0" xfId="0" applyFont="1" applyAlignment="1">
      <alignment horizontal="center" vertical="top"/>
    </xf>
    <xf numFmtId="167" fontId="29" fillId="0" borderId="2" xfId="0" applyFont="1" applyBorder="1" applyAlignment="1">
      <alignment vertical="top"/>
    </xf>
    <xf numFmtId="168" fontId="29" fillId="0" borderId="9" xfId="0" applyNumberFormat="1" applyFont="1" applyBorder="1" applyAlignment="1">
      <alignment horizontal="center" vertical="top"/>
    </xf>
    <xf numFmtId="167" fontId="29" fillId="0" borderId="9" xfId="0" applyFont="1" applyBorder="1" applyAlignment="1">
      <alignment horizontal="left" vertical="top"/>
    </xf>
    <xf numFmtId="167" fontId="29" fillId="0" borderId="2" xfId="0" applyFont="1" applyBorder="1" applyAlignment="1">
      <alignment horizontal="center" vertical="top"/>
    </xf>
    <xf numFmtId="167" fontId="29" fillId="0" borderId="9" xfId="0" applyFont="1" applyBorder="1" applyAlignment="1">
      <alignment vertical="top"/>
    </xf>
    <xf numFmtId="167" fontId="29" fillId="0" borderId="9" xfId="0" applyFont="1" applyBorder="1" applyAlignment="1">
      <alignment horizontal="center" vertical="top"/>
    </xf>
    <xf numFmtId="10" fontId="29" fillId="0" borderId="2" xfId="2" applyNumberFormat="1" applyFont="1" applyBorder="1" applyAlignment="1" applyProtection="1">
      <alignment horizontal="right" vertical="top"/>
    </xf>
    <xf numFmtId="168" fontId="29" fillId="0" borderId="10" xfId="0" applyNumberFormat="1" applyFont="1" applyBorder="1" applyAlignment="1">
      <alignment horizontal="center" vertical="top"/>
    </xf>
    <xf numFmtId="167" fontId="29" fillId="0" borderId="12" xfId="0" applyFont="1" applyBorder="1" applyAlignment="1">
      <alignment horizontal="left" vertical="top"/>
    </xf>
    <xf numFmtId="167" fontId="29" fillId="0" borderId="12" xfId="0" applyFont="1" applyBorder="1" applyAlignment="1">
      <alignment horizontal="center" vertical="top"/>
    </xf>
    <xf numFmtId="2" fontId="29" fillId="0" borderId="10" xfId="0" applyNumberFormat="1" applyFont="1" applyBorder="1" applyAlignment="1">
      <alignment horizontal="right" vertical="top"/>
    </xf>
    <xf numFmtId="9" fontId="40" fillId="0" borderId="0" xfId="2" applyFont="1" applyFill="1" applyAlignment="1">
      <alignment vertical="top"/>
    </xf>
    <xf numFmtId="167" fontId="24" fillId="0" borderId="0" xfId="0" applyFont="1" applyAlignment="1">
      <alignment wrapText="1"/>
    </xf>
    <xf numFmtId="167" fontId="50" fillId="0" borderId="5" xfId="0" applyFont="1" applyBorder="1" applyAlignment="1">
      <alignment vertical="top"/>
    </xf>
    <xf numFmtId="0" fontId="40" fillId="0" borderId="0" xfId="5" applyFont="1" applyAlignment="1">
      <alignment horizontal="right"/>
    </xf>
    <xf numFmtId="175" fontId="40" fillId="0" borderId="4" xfId="5" applyNumberFormat="1" applyFont="1" applyBorder="1" applyAlignment="1">
      <alignment horizontal="left" vertical="top"/>
    </xf>
    <xf numFmtId="175" fontId="40" fillId="0" borderId="0" xfId="5" applyNumberFormat="1" applyFont="1" applyAlignment="1">
      <alignment horizontal="left" vertical="top"/>
    </xf>
    <xf numFmtId="167" fontId="50" fillId="0" borderId="5" xfId="0" applyFont="1" applyBorder="1"/>
    <xf numFmtId="167" fontId="0" fillId="0" borderId="11" xfId="0" applyBorder="1"/>
    <xf numFmtId="167" fontId="50" fillId="0" borderId="0" xfId="0" applyFont="1"/>
    <xf numFmtId="167" fontId="76" fillId="0" borderId="0" xfId="0" applyFont="1" applyAlignment="1">
      <alignment vertical="top"/>
    </xf>
    <xf numFmtId="167" fontId="50" fillId="0" borderId="0" xfId="0" applyFont="1" applyAlignment="1">
      <alignment vertical="top"/>
    </xf>
    <xf numFmtId="167" fontId="67" fillId="0" borderId="26" xfId="0" applyFont="1" applyBorder="1" applyAlignment="1">
      <alignment horizontal="center" vertical="top"/>
    </xf>
    <xf numFmtId="167" fontId="67" fillId="0" borderId="27" xfId="0" applyFont="1" applyBorder="1" applyAlignment="1">
      <alignment horizontal="center" vertical="top"/>
    </xf>
    <xf numFmtId="167" fontId="50" fillId="0" borderId="0" xfId="0" applyFont="1" applyAlignment="1">
      <alignment horizontal="center"/>
    </xf>
    <xf numFmtId="167" fontId="70" fillId="0" borderId="5" xfId="0" applyFont="1" applyBorder="1" applyAlignment="1">
      <alignment vertical="top"/>
    </xf>
    <xf numFmtId="167" fontId="70" fillId="0" borderId="5" xfId="0" applyFont="1" applyBorder="1" applyAlignment="1">
      <alignment horizontal="center" vertical="top"/>
    </xf>
    <xf numFmtId="167" fontId="50" fillId="0" borderId="5" xfId="0" applyFont="1" applyBorder="1" applyAlignment="1">
      <alignment horizontal="left"/>
    </xf>
    <xf numFmtId="167" fontId="51" fillId="0" borderId="25" xfId="0" applyFont="1" applyBorder="1"/>
    <xf numFmtId="167" fontId="77" fillId="0" borderId="11" xfId="0" applyFont="1" applyBorder="1"/>
    <xf numFmtId="167" fontId="50" fillId="0" borderId="11" xfId="0" applyFont="1" applyBorder="1"/>
    <xf numFmtId="167" fontId="50" fillId="0" borderId="7" xfId="0" applyFont="1" applyBorder="1"/>
    <xf numFmtId="167" fontId="50" fillId="0" borderId="5" xfId="0" applyFont="1" applyBorder="1" applyAlignment="1">
      <alignment horizontal="center"/>
    </xf>
    <xf numFmtId="168" fontId="50" fillId="0" borderId="5" xfId="0" applyNumberFormat="1" applyFont="1" applyBorder="1"/>
    <xf numFmtId="167" fontId="51" fillId="0" borderId="0" xfId="0" applyFont="1"/>
    <xf numFmtId="167" fontId="73" fillId="0" borderId="0" xfId="0" applyFont="1" applyAlignment="1">
      <alignment vertical="top"/>
    </xf>
    <xf numFmtId="167" fontId="50" fillId="0" borderId="5" xfId="0" applyFont="1" applyBorder="1" applyAlignment="1">
      <alignment horizontal="left" vertical="center"/>
    </xf>
    <xf numFmtId="167" fontId="50" fillId="0" borderId="0" xfId="0" applyFont="1" applyAlignment="1">
      <alignment horizontal="left" vertical="top"/>
    </xf>
    <xf numFmtId="168" fontId="29" fillId="2" borderId="5" xfId="0" applyNumberFormat="1" applyFont="1" applyFill="1" applyBorder="1" applyAlignment="1">
      <alignment horizontal="center"/>
    </xf>
    <xf numFmtId="167" fontId="29" fillId="2" borderId="5" xfId="0" applyFont="1" applyFill="1" applyBorder="1"/>
    <xf numFmtId="10" fontId="24" fillId="2" borderId="5" xfId="2" applyNumberFormat="1" applyFont="1" applyFill="1" applyBorder="1" applyAlignment="1">
      <alignment horizontal="right" vertical="top"/>
    </xf>
    <xf numFmtId="167" fontId="29" fillId="2" borderId="0" xfId="0" applyFont="1" applyFill="1"/>
    <xf numFmtId="167" fontId="50" fillId="0" borderId="5" xfId="0" applyFont="1" applyBorder="1" applyAlignment="1">
      <alignment horizontal="center" vertical="top"/>
    </xf>
    <xf numFmtId="167" fontId="70" fillId="0" borderId="5" xfId="0" applyFont="1" applyBorder="1" applyAlignment="1">
      <alignment vertical="top" wrapText="1"/>
    </xf>
    <xf numFmtId="167" fontId="67" fillId="0" borderId="5" xfId="0" applyFont="1" applyBorder="1" applyAlignment="1">
      <alignment vertical="top"/>
    </xf>
    <xf numFmtId="167" fontId="67" fillId="0" borderId="31" xfId="0" applyFont="1" applyBorder="1" applyAlignment="1">
      <alignment horizontal="center" vertical="top"/>
    </xf>
    <xf numFmtId="167" fontId="51" fillId="0" borderId="0" xfId="0" applyFont="1" applyAlignment="1">
      <alignment wrapText="1"/>
    </xf>
    <xf numFmtId="167" fontId="70" fillId="0" borderId="10" xfId="0" applyFont="1" applyBorder="1" applyAlignment="1">
      <alignment vertical="top"/>
    </xf>
    <xf numFmtId="167" fontId="70" fillId="0" borderId="10" xfId="0" applyFont="1" applyBorder="1" applyAlignment="1">
      <alignment horizontal="center" vertical="top"/>
    </xf>
    <xf numFmtId="168" fontId="70" fillId="4" borderId="10" xfId="0" applyNumberFormat="1" applyFont="1" applyFill="1" applyBorder="1" applyAlignment="1">
      <alignment horizontal="center" vertical="top"/>
    </xf>
    <xf numFmtId="168" fontId="50" fillId="4" borderId="12" xfId="0" applyNumberFormat="1" applyFont="1" applyFill="1" applyBorder="1" applyAlignment="1">
      <alignment horizontal="center" vertical="top"/>
    </xf>
    <xf numFmtId="168" fontId="67" fillId="4" borderId="5" xfId="0" applyNumberFormat="1" applyFont="1" applyFill="1" applyBorder="1" applyAlignment="1">
      <alignment horizontal="center" vertical="top" wrapText="1"/>
    </xf>
    <xf numFmtId="167" fontId="50" fillId="0" borderId="0" xfId="0" applyFont="1" applyAlignment="1">
      <alignment horizontal="left" wrapText="1"/>
    </xf>
    <xf numFmtId="168" fontId="70" fillId="4" borderId="5" xfId="0" applyNumberFormat="1" applyFont="1" applyFill="1" applyBorder="1" applyAlignment="1">
      <alignment horizontal="center" vertical="top"/>
    </xf>
    <xf numFmtId="168" fontId="50" fillId="4" borderId="14" xfId="0" applyNumberFormat="1" applyFont="1" applyFill="1" applyBorder="1" applyAlignment="1">
      <alignment horizontal="center" vertical="top"/>
    </xf>
    <xf numFmtId="167" fontId="70" fillId="4" borderId="5" xfId="0" applyFont="1" applyFill="1" applyBorder="1" applyAlignment="1">
      <alignment horizontal="center" vertical="top"/>
    </xf>
    <xf numFmtId="167" fontId="66" fillId="4" borderId="14" xfId="0" applyFont="1" applyFill="1" applyBorder="1" applyAlignment="1">
      <alignment horizontal="center" vertical="top"/>
    </xf>
    <xf numFmtId="167" fontId="67" fillId="4" borderId="5" xfId="0" applyFont="1" applyFill="1" applyBorder="1" applyAlignment="1">
      <alignment horizontal="center" vertical="top" wrapText="1"/>
    </xf>
    <xf numFmtId="168" fontId="50" fillId="0" borderId="0" xfId="0" applyNumberFormat="1" applyFont="1" applyAlignment="1">
      <alignment horizontal="center" vertical="top"/>
    </xf>
    <xf numFmtId="168" fontId="66" fillId="0" borderId="0" xfId="0" applyNumberFormat="1" applyFont="1" applyAlignment="1">
      <alignment horizontal="center" vertical="top" wrapText="1"/>
    </xf>
    <xf numFmtId="168" fontId="50" fillId="4" borderId="5" xfId="0" applyNumberFormat="1" applyFont="1" applyFill="1" applyBorder="1" applyAlignment="1">
      <alignment horizontal="center" vertical="top" wrapText="1"/>
    </xf>
    <xf numFmtId="168" fontId="50" fillId="4" borderId="14" xfId="0" applyNumberFormat="1" applyFont="1" applyFill="1" applyBorder="1" applyAlignment="1">
      <alignment horizontal="center" vertical="top" wrapText="1"/>
    </xf>
    <xf numFmtId="168" fontId="51" fillId="4" borderId="5" xfId="0" applyNumberFormat="1" applyFont="1" applyFill="1" applyBorder="1" applyAlignment="1">
      <alignment horizontal="center" vertical="top" wrapText="1"/>
    </xf>
    <xf numFmtId="168" fontId="50" fillId="0" borderId="0" xfId="0" applyNumberFormat="1" applyFont="1" applyAlignment="1">
      <alignment horizontal="center" vertical="top" wrapText="1"/>
    </xf>
    <xf numFmtId="167" fontId="70" fillId="4" borderId="5" xfId="0" quotePrefix="1" applyFont="1" applyFill="1" applyBorder="1" applyAlignment="1">
      <alignment horizontal="center" vertical="top"/>
    </xf>
    <xf numFmtId="167" fontId="50" fillId="4" borderId="14" xfId="0" quotePrefix="1" applyFont="1" applyFill="1" applyBorder="1" applyAlignment="1">
      <alignment horizontal="center" vertical="top"/>
    </xf>
    <xf numFmtId="167" fontId="70" fillId="0" borderId="0" xfId="0" quotePrefix="1" applyFont="1" applyAlignment="1">
      <alignment horizontal="center" vertical="top"/>
    </xf>
    <xf numFmtId="167" fontId="70" fillId="4" borderId="5" xfId="0" applyFont="1" applyFill="1" applyBorder="1" applyAlignment="1">
      <alignment horizontal="center"/>
    </xf>
    <xf numFmtId="167" fontId="50" fillId="4" borderId="14" xfId="0" applyFont="1" applyFill="1" applyBorder="1" applyAlignment="1">
      <alignment horizontal="center"/>
    </xf>
    <xf numFmtId="168" fontId="67" fillId="4" borderId="5" xfId="0" applyNumberFormat="1" applyFont="1" applyFill="1" applyBorder="1" applyAlignment="1">
      <alignment horizontal="center"/>
    </xf>
    <xf numFmtId="167" fontId="50" fillId="4" borderId="5" xfId="0" applyFont="1" applyFill="1" applyBorder="1" applyAlignment="1">
      <alignment horizontal="center" vertical="center"/>
    </xf>
    <xf numFmtId="167" fontId="50" fillId="4" borderId="14" xfId="0" applyFont="1" applyFill="1" applyBorder="1" applyAlignment="1">
      <alignment horizontal="center" vertical="center"/>
    </xf>
    <xf numFmtId="167" fontId="51" fillId="4" borderId="5" xfId="0" applyFont="1" applyFill="1" applyBorder="1" applyAlignment="1">
      <alignment horizontal="center"/>
    </xf>
    <xf numFmtId="168" fontId="50" fillId="4" borderId="5" xfId="0" applyNumberFormat="1" applyFont="1" applyFill="1" applyBorder="1"/>
    <xf numFmtId="168" fontId="68" fillId="2" borderId="5" xfId="0" applyNumberFormat="1" applyFont="1" applyFill="1" applyBorder="1"/>
    <xf numFmtId="168" fontId="50" fillId="2" borderId="5" xfId="0" applyNumberFormat="1" applyFont="1" applyFill="1" applyBorder="1"/>
    <xf numFmtId="168" fontId="50" fillId="0" borderId="5" xfId="0" applyNumberFormat="1" applyFont="1" applyBorder="1" applyAlignment="1">
      <alignment horizontal="center"/>
    </xf>
    <xf numFmtId="167" fontId="50" fillId="0" borderId="5" xfId="0" applyFont="1" applyBorder="1" applyAlignment="1">
      <alignment wrapText="1"/>
    </xf>
    <xf numFmtId="167" fontId="50" fillId="4" borderId="5" xfId="0" applyFont="1" applyFill="1" applyBorder="1" applyAlignment="1">
      <alignment vertical="top"/>
    </xf>
    <xf numFmtId="167" fontId="50" fillId="2" borderId="5" xfId="0" applyFont="1" applyFill="1" applyBorder="1" applyAlignment="1">
      <alignment vertical="top"/>
    </xf>
    <xf numFmtId="169" fontId="50" fillId="2" borderId="5" xfId="2" applyNumberFormat="1" applyFont="1" applyFill="1" applyBorder="1" applyAlignment="1" applyProtection="1">
      <alignment vertical="top"/>
    </xf>
    <xf numFmtId="10" fontId="50" fillId="2" borderId="5" xfId="2" applyNumberFormat="1" applyFont="1" applyFill="1" applyBorder="1" applyAlignment="1" applyProtection="1">
      <alignment horizontal="right" vertical="top"/>
    </xf>
    <xf numFmtId="167" fontId="81" fillId="2" borderId="5" xfId="0" applyFont="1" applyFill="1" applyBorder="1"/>
    <xf numFmtId="167" fontId="70" fillId="0" borderId="5" xfId="0" applyFont="1" applyBorder="1" applyAlignment="1">
      <alignment vertical="center"/>
    </xf>
    <xf numFmtId="168" fontId="70" fillId="2" borderId="5" xfId="0" applyNumberFormat="1" applyFont="1" applyFill="1" applyBorder="1" applyAlignment="1">
      <alignment horizontal="center" vertical="center"/>
    </xf>
    <xf numFmtId="167" fontId="70" fillId="2" borderId="5" xfId="0" applyFont="1" applyFill="1" applyBorder="1" applyAlignment="1">
      <alignment horizontal="center" vertical="center"/>
    </xf>
    <xf numFmtId="1" fontId="70" fillId="2" borderId="5" xfId="0" applyNumberFormat="1" applyFont="1" applyFill="1" applyBorder="1" applyAlignment="1">
      <alignment horizontal="center" vertical="center"/>
    </xf>
    <xf numFmtId="167" fontId="50" fillId="0" borderId="5" xfId="0" applyFont="1" applyBorder="1" applyAlignment="1">
      <alignment horizontal="left" vertical="top"/>
    </xf>
    <xf numFmtId="168" fontId="50" fillId="0" borderId="5" xfId="0" applyNumberFormat="1" applyFont="1" applyBorder="1" applyAlignment="1">
      <alignment horizontal="right" vertical="top"/>
    </xf>
    <xf numFmtId="167" fontId="50" fillId="0" borderId="5" xfId="0" quotePrefix="1" applyFont="1" applyBorder="1" applyAlignment="1">
      <alignment horizontal="center" vertical="top"/>
    </xf>
    <xf numFmtId="168" fontId="50" fillId="4" borderId="5" xfId="0" applyNumberFormat="1" applyFont="1" applyFill="1" applyBorder="1" applyAlignment="1">
      <alignment vertical="top"/>
    </xf>
    <xf numFmtId="167" fontId="70" fillId="6" borderId="5" xfId="0" applyFont="1" applyFill="1" applyBorder="1" applyAlignment="1">
      <alignment vertical="top" wrapText="1"/>
    </xf>
    <xf numFmtId="168" fontId="50" fillId="0" borderId="5" xfId="0" applyNumberFormat="1" applyFont="1" applyBorder="1" applyAlignment="1">
      <alignment vertical="top"/>
    </xf>
    <xf numFmtId="167" fontId="51" fillId="0" borderId="5" xfId="0" applyFont="1" applyBorder="1" applyAlignment="1">
      <alignment horizontal="right" vertical="top"/>
    </xf>
    <xf numFmtId="2" fontId="71" fillId="4" borderId="5" xfId="19" quotePrefix="1" applyNumberFormat="1" applyFont="1" applyFill="1" applyBorder="1" applyAlignment="1">
      <alignment horizontal="right"/>
    </xf>
    <xf numFmtId="167" fontId="51" fillId="0" borderId="0" xfId="0" applyFont="1" applyAlignment="1">
      <alignment horizontal="right"/>
    </xf>
    <xf numFmtId="2" fontId="50" fillId="2" borderId="5" xfId="0" quotePrefix="1" applyNumberFormat="1" applyFont="1" applyFill="1" applyBorder="1" applyAlignment="1">
      <alignment horizontal="center" vertical="top"/>
    </xf>
    <xf numFmtId="167" fontId="70" fillId="6" borderId="5" xfId="0" quotePrefix="1" applyFont="1" applyFill="1" applyBorder="1" applyAlignment="1">
      <alignment vertical="top"/>
    </xf>
    <xf numFmtId="2" fontId="71" fillId="4" borderId="2" xfId="19" quotePrefix="1" applyNumberFormat="1" applyFont="1" applyFill="1" applyBorder="1" applyAlignment="1">
      <alignment horizontal="right"/>
    </xf>
    <xf numFmtId="167" fontId="50" fillId="0" borderId="5" xfId="0" applyFont="1" applyBorder="1" applyAlignment="1">
      <alignment horizontal="center" vertical="top" wrapText="1"/>
    </xf>
    <xf numFmtId="9" fontId="70" fillId="4" borderId="5" xfId="2" applyFont="1" applyFill="1" applyBorder="1" applyAlignment="1">
      <alignment vertical="top"/>
    </xf>
    <xf numFmtId="2" fontId="71" fillId="0" borderId="5" xfId="19" quotePrefix="1" applyNumberFormat="1" applyFont="1" applyBorder="1" applyAlignment="1">
      <alignment horizontal="right"/>
    </xf>
    <xf numFmtId="167" fontId="70" fillId="6" borderId="0" xfId="0" applyFont="1" applyFill="1" applyAlignment="1">
      <alignment vertical="top" wrapText="1"/>
    </xf>
    <xf numFmtId="167" fontId="50" fillId="0" borderId="5" xfId="3" applyNumberFormat="1" applyFont="1" applyBorder="1" applyAlignment="1">
      <alignment horizontal="left" vertical="top"/>
    </xf>
    <xf numFmtId="167" fontId="64" fillId="0" borderId="5" xfId="3" applyNumberFormat="1" applyFont="1" applyBorder="1" applyAlignment="1">
      <alignment horizontal="center" vertical="top"/>
    </xf>
    <xf numFmtId="168" fontId="64" fillId="2" borderId="5" xfId="3" applyNumberFormat="1" applyFont="1" applyFill="1" applyBorder="1" applyAlignment="1">
      <alignment vertical="top"/>
    </xf>
    <xf numFmtId="167" fontId="50" fillId="2" borderId="5" xfId="0" applyFont="1" applyFill="1" applyBorder="1"/>
    <xf numFmtId="167" fontId="51" fillId="0" borderId="0" xfId="0" applyFont="1" applyAlignment="1">
      <alignment horizontal="left"/>
    </xf>
    <xf numFmtId="167" fontId="24" fillId="0" borderId="2" xfId="0" applyFont="1" applyBorder="1" applyAlignment="1">
      <alignment horizontal="center" vertical="top"/>
    </xf>
    <xf numFmtId="167" fontId="24" fillId="0" borderId="2" xfId="0" applyFont="1" applyBorder="1" applyAlignment="1">
      <alignment vertical="top"/>
    </xf>
    <xf numFmtId="167" fontId="24" fillId="0" borderId="2" xfId="0" applyFont="1" applyBorder="1" applyAlignment="1">
      <alignment vertical="top" wrapText="1"/>
    </xf>
    <xf numFmtId="167" fontId="21" fillId="0" borderId="5" xfId="0" applyFont="1" applyBorder="1" applyAlignment="1">
      <alignment horizontal="center" vertical="top"/>
    </xf>
    <xf numFmtId="168" fontId="24" fillId="0" borderId="1" xfId="0" applyNumberFormat="1" applyFont="1" applyBorder="1" applyAlignment="1">
      <alignment horizontal="center" vertical="top"/>
    </xf>
    <xf numFmtId="168" fontId="24" fillId="0" borderId="3" xfId="0" applyNumberFormat="1" applyFont="1" applyBorder="1" applyAlignment="1">
      <alignment vertical="top"/>
    </xf>
    <xf numFmtId="168" fontId="24" fillId="0" borderId="2" xfId="0" applyNumberFormat="1" applyFont="1" applyBorder="1" applyAlignment="1">
      <alignment horizontal="center" vertical="top"/>
    </xf>
    <xf numFmtId="167" fontId="24" fillId="0" borderId="3" xfId="0" applyFont="1" applyBorder="1" applyAlignment="1">
      <alignment vertical="top"/>
    </xf>
    <xf numFmtId="168" fontId="24" fillId="0" borderId="3" xfId="2" applyNumberFormat="1" applyFont="1" applyFill="1" applyBorder="1" applyAlignment="1" applyProtection="1">
      <alignment vertical="top"/>
    </xf>
    <xf numFmtId="172" fontId="0" fillId="0" borderId="0" xfId="0" applyNumberFormat="1"/>
    <xf numFmtId="182" fontId="0" fillId="0" borderId="0" xfId="0" applyNumberFormat="1"/>
    <xf numFmtId="167" fontId="0" fillId="0" borderId="3" xfId="0" applyBorder="1" applyAlignment="1">
      <alignment horizontal="center" vertical="top" wrapText="1"/>
    </xf>
    <xf numFmtId="10" fontId="0" fillId="0" borderId="0" xfId="2" applyNumberFormat="1" applyFont="1"/>
    <xf numFmtId="168" fontId="24" fillId="0" borderId="10" xfId="0" applyNumberFormat="1" applyFont="1" applyBorder="1" applyAlignment="1">
      <alignment horizontal="center" vertical="top"/>
    </xf>
    <xf numFmtId="167" fontId="24" fillId="0" borderId="10" xfId="0" applyFont="1" applyBorder="1" applyAlignment="1">
      <alignment vertical="top"/>
    </xf>
    <xf numFmtId="167" fontId="24" fillId="0" borderId="10" xfId="0" applyFont="1" applyBorder="1" applyAlignment="1">
      <alignment horizontal="center" vertical="top"/>
    </xf>
    <xf numFmtId="168" fontId="24" fillId="0" borderId="6" xfId="0" applyNumberFormat="1" applyFont="1" applyBorder="1" applyAlignment="1">
      <alignment vertical="top"/>
    </xf>
    <xf numFmtId="168" fontId="21" fillId="0" borderId="0" xfId="0" applyNumberFormat="1" applyFont="1" applyAlignment="1">
      <alignment horizontal="center"/>
    </xf>
    <xf numFmtId="167" fontId="21" fillId="0" borderId="4" xfId="0" applyFont="1" applyBorder="1" applyAlignment="1">
      <alignment horizontal="left"/>
    </xf>
    <xf numFmtId="167" fontId="0" fillId="0" borderId="5" xfId="0" applyBorder="1" applyAlignment="1">
      <alignment horizontal="center" vertical="top" wrapText="1"/>
    </xf>
    <xf numFmtId="167" fontId="24" fillId="0" borderId="5" xfId="0" applyFont="1" applyBorder="1" applyAlignment="1">
      <alignment horizontal="center" vertical="top" wrapText="1"/>
    </xf>
    <xf numFmtId="167" fontId="0" fillId="0" borderId="9" xfId="0" applyBorder="1" applyAlignment="1">
      <alignment horizontal="center"/>
    </xf>
    <xf numFmtId="168" fontId="24" fillId="0" borderId="2" xfId="0" applyNumberFormat="1" applyFont="1" applyBorder="1" applyAlignment="1">
      <alignment horizontal="center"/>
    </xf>
    <xf numFmtId="168" fontId="0" fillId="0" borderId="3" xfId="0" applyNumberFormat="1" applyBorder="1" applyAlignment="1">
      <alignment horizontal="right" vertical="top" wrapText="1"/>
    </xf>
    <xf numFmtId="167" fontId="0" fillId="0" borderId="3" xfId="0" applyBorder="1" applyAlignment="1">
      <alignment horizontal="right" vertical="top" wrapText="1"/>
    </xf>
    <xf numFmtId="167" fontId="0" fillId="0" borderId="0" xfId="0" applyAlignment="1">
      <alignment horizontal="right" vertical="top" wrapText="1"/>
    </xf>
    <xf numFmtId="168" fontId="24" fillId="0" borderId="2" xfId="0" applyNumberFormat="1" applyFont="1" applyBorder="1" applyAlignment="1">
      <alignment horizontal="center" vertical="top" wrapText="1"/>
    </xf>
    <xf numFmtId="167" fontId="24" fillId="0" borderId="10" xfId="0" applyFont="1" applyBorder="1" applyAlignment="1">
      <alignment horizontal="left" vertical="top"/>
    </xf>
    <xf numFmtId="167" fontId="0" fillId="0" borderId="10" xfId="0" applyBorder="1" applyAlignment="1">
      <alignment horizontal="center" vertical="top" wrapText="1"/>
    </xf>
    <xf numFmtId="168" fontId="0" fillId="0" borderId="6" xfId="0" applyNumberFormat="1" applyBorder="1" applyAlignment="1">
      <alignment horizontal="right" vertical="top" wrapText="1"/>
    </xf>
    <xf numFmtId="167" fontId="0" fillId="0" borderId="10" xfId="0" applyBorder="1" applyAlignment="1">
      <alignment horizontal="right" vertical="top" wrapText="1"/>
    </xf>
    <xf numFmtId="167" fontId="21" fillId="0" borderId="2" xfId="0" applyFont="1" applyBorder="1" applyAlignment="1">
      <alignment horizontal="right"/>
    </xf>
    <xf numFmtId="167" fontId="21" fillId="0" borderId="3" xfId="0" applyFont="1" applyBorder="1" applyAlignment="1">
      <alignment horizontal="right"/>
    </xf>
    <xf numFmtId="168" fontId="21" fillId="0" borderId="2" xfId="0" applyNumberFormat="1" applyFont="1" applyBorder="1" applyAlignment="1">
      <alignment horizontal="right"/>
    </xf>
    <xf numFmtId="167" fontId="21" fillId="0" borderId="1" xfId="0" applyFont="1" applyBorder="1" applyAlignment="1">
      <alignment horizontal="right" vertical="top" wrapText="1"/>
    </xf>
    <xf numFmtId="167" fontId="21" fillId="0" borderId="1" xfId="0" applyFont="1" applyBorder="1" applyAlignment="1">
      <alignment horizontal="center"/>
    </xf>
    <xf numFmtId="167" fontId="21" fillId="0" borderId="1" xfId="0" applyFont="1" applyBorder="1" applyAlignment="1">
      <alignment horizontal="left"/>
    </xf>
    <xf numFmtId="167" fontId="25" fillId="0" borderId="7" xfId="0" applyFont="1" applyBorder="1" applyAlignment="1">
      <alignment horizontal="center"/>
    </xf>
    <xf numFmtId="167" fontId="25" fillId="0" borderId="11" xfId="0" applyFont="1" applyBorder="1" applyAlignment="1">
      <alignment horizontal="right"/>
    </xf>
    <xf numFmtId="167" fontId="25" fillId="0" borderId="1" xfId="0" applyFont="1" applyBorder="1" applyAlignment="1">
      <alignment horizontal="right"/>
    </xf>
    <xf numFmtId="167" fontId="0" fillId="0" borderId="3" xfId="0" applyBorder="1" applyAlignment="1">
      <alignment horizontal="center"/>
    </xf>
    <xf numFmtId="168" fontId="0" fillId="0" borderId="0" xfId="0" applyNumberFormat="1" applyAlignment="1">
      <alignment horizontal="right" vertical="top" wrapText="1"/>
    </xf>
    <xf numFmtId="168" fontId="0" fillId="0" borderId="2" xfId="0" applyNumberFormat="1" applyBorder="1" applyAlignment="1">
      <alignment horizontal="right" vertical="top" wrapText="1"/>
    </xf>
    <xf numFmtId="167" fontId="0" fillId="0" borderId="2" xfId="0" applyBorder="1" applyAlignment="1">
      <alignment horizontal="right" vertical="top" wrapText="1"/>
    </xf>
    <xf numFmtId="168" fontId="0" fillId="0" borderId="2" xfId="0" applyNumberFormat="1" applyBorder="1" applyAlignment="1">
      <alignment horizontal="center"/>
    </xf>
    <xf numFmtId="167" fontId="24" fillId="0" borderId="3" xfId="0" applyFont="1" applyBorder="1" applyAlignment="1">
      <alignment horizontal="center"/>
    </xf>
    <xf numFmtId="172" fontId="0" fillId="0" borderId="2" xfId="0" applyNumberFormat="1" applyBorder="1" applyAlignment="1">
      <alignment horizontal="right" vertical="top" wrapText="1"/>
    </xf>
    <xf numFmtId="167" fontId="0" fillId="0" borderId="0" xfId="0" applyAlignment="1">
      <alignment horizontal="right"/>
    </xf>
    <xf numFmtId="168" fontId="0" fillId="0" borderId="10" xfId="0" applyNumberFormat="1" applyBorder="1" applyAlignment="1">
      <alignment horizontal="center"/>
    </xf>
    <xf numFmtId="167" fontId="24" fillId="0" borderId="10" xfId="0" quotePrefix="1" applyFont="1" applyBorder="1" applyAlignment="1">
      <alignment horizontal="left"/>
    </xf>
    <xf numFmtId="167" fontId="0" fillId="0" borderId="6" xfId="0" applyBorder="1" applyAlignment="1">
      <alignment horizontal="center"/>
    </xf>
    <xf numFmtId="168" fontId="0" fillId="0" borderId="4" xfId="0" applyNumberFormat="1" applyBorder="1" applyAlignment="1">
      <alignment horizontal="right"/>
    </xf>
    <xf numFmtId="168" fontId="0" fillId="0" borderId="10" xfId="0" applyNumberFormat="1" applyBorder="1" applyAlignment="1">
      <alignment horizontal="right"/>
    </xf>
    <xf numFmtId="167" fontId="0" fillId="0" borderId="10" xfId="0" applyBorder="1" applyAlignment="1">
      <alignment horizontal="right"/>
    </xf>
    <xf numFmtId="167" fontId="25" fillId="0" borderId="10" xfId="0" applyFont="1" applyBorder="1" applyAlignment="1">
      <alignment horizontal="center"/>
    </xf>
    <xf numFmtId="167" fontId="21" fillId="0" borderId="6" xfId="0" applyFont="1" applyBorder="1" applyAlignment="1">
      <alignment horizontal="right"/>
    </xf>
    <xf numFmtId="168" fontId="25" fillId="0" borderId="10" xfId="0" applyNumberFormat="1" applyFont="1" applyBorder="1" applyAlignment="1">
      <alignment horizontal="right"/>
    </xf>
    <xf numFmtId="167" fontId="21" fillId="0" borderId="10" xfId="0" applyFont="1" applyBorder="1" applyAlignment="1">
      <alignment horizontal="center"/>
    </xf>
    <xf numFmtId="167" fontId="21" fillId="0" borderId="10" xfId="0" applyFont="1" applyBorder="1" applyAlignment="1">
      <alignment horizontal="left"/>
    </xf>
    <xf numFmtId="168" fontId="21" fillId="0" borderId="10" xfId="0" applyNumberFormat="1" applyFont="1" applyBorder="1" applyAlignment="1">
      <alignment horizontal="right"/>
    </xf>
    <xf numFmtId="168" fontId="21" fillId="0" borderId="10" xfId="0" applyNumberFormat="1" applyFont="1" applyBorder="1" applyAlignment="1">
      <alignment horizontal="center"/>
    </xf>
    <xf numFmtId="167" fontId="72" fillId="6" borderId="0" xfId="0" applyFont="1" applyFill="1"/>
    <xf numFmtId="167" fontId="25" fillId="0" borderId="0" xfId="0" applyFont="1" applyAlignment="1">
      <alignment horizontal="right"/>
    </xf>
    <xf numFmtId="167" fontId="21" fillId="0" borderId="25" xfId="0" applyFont="1" applyBorder="1"/>
    <xf numFmtId="167" fontId="83" fillId="0" borderId="11" xfId="0" applyFont="1" applyBorder="1"/>
    <xf numFmtId="167" fontId="0" fillId="0" borderId="7" xfId="0" applyBorder="1"/>
    <xf numFmtId="167" fontId="0" fillId="0" borderId="5" xfId="0" applyBorder="1"/>
    <xf numFmtId="168" fontId="0" fillId="2" borderId="5" xfId="0" applyNumberFormat="1" applyFill="1" applyBorder="1"/>
    <xf numFmtId="168" fontId="84" fillId="0" borderId="5" xfId="0" applyNumberFormat="1" applyFont="1" applyBorder="1"/>
    <xf numFmtId="168" fontId="0" fillId="0" borderId="5" xfId="0" applyNumberFormat="1" applyBorder="1"/>
    <xf numFmtId="172" fontId="0" fillId="0" borderId="0" xfId="0" applyNumberFormat="1" applyAlignment="1">
      <alignment horizontal="left"/>
    </xf>
    <xf numFmtId="167" fontId="0" fillId="0" borderId="9" xfId="0" applyBorder="1"/>
    <xf numFmtId="167" fontId="0" fillId="0" borderId="3" xfId="0" applyBorder="1"/>
    <xf numFmtId="167" fontId="24" fillId="0" borderId="5" xfId="0" applyFont="1" applyBorder="1" applyAlignment="1">
      <alignment vertical="top"/>
    </xf>
    <xf numFmtId="167" fontId="0" fillId="0" borderId="0" xfId="0" applyAlignment="1">
      <alignment wrapText="1"/>
    </xf>
    <xf numFmtId="10" fontId="0" fillId="0" borderId="5" xfId="2" applyNumberFormat="1" applyFont="1" applyBorder="1" applyAlignment="1">
      <alignment vertical="top"/>
    </xf>
    <xf numFmtId="167" fontId="78" fillId="0" borderId="0" xfId="0" applyFont="1"/>
    <xf numFmtId="167" fontId="84" fillId="0" borderId="0" xfId="0" applyFont="1" applyAlignment="1">
      <alignment wrapText="1"/>
    </xf>
    <xf numFmtId="10" fontId="0" fillId="0" borderId="0" xfId="2" applyNumberFormat="1" applyFont="1" applyBorder="1" applyAlignment="1">
      <alignment vertical="top"/>
    </xf>
    <xf numFmtId="167" fontId="84" fillId="0" borderId="0" xfId="0" applyFont="1"/>
    <xf numFmtId="168" fontId="0" fillId="0" borderId="5" xfId="0" applyNumberFormat="1" applyBorder="1" applyAlignment="1">
      <alignment horizontal="center"/>
    </xf>
    <xf numFmtId="167" fontId="78" fillId="0" borderId="5" xfId="0" applyFont="1" applyBorder="1" applyAlignment="1">
      <alignment wrapText="1"/>
    </xf>
    <xf numFmtId="167" fontId="78" fillId="0" borderId="5" xfId="0" applyFont="1" applyBorder="1" applyAlignment="1">
      <alignment horizontal="center"/>
    </xf>
    <xf numFmtId="167" fontId="78" fillId="0" borderId="5" xfId="0" applyFont="1" applyBorder="1" applyAlignment="1">
      <alignment vertical="top"/>
    </xf>
    <xf numFmtId="169" fontId="78" fillId="0" borderId="5" xfId="2" applyNumberFormat="1" applyFont="1" applyFill="1" applyBorder="1" applyAlignment="1" applyProtection="1">
      <alignment vertical="top"/>
    </xf>
    <xf numFmtId="10" fontId="78" fillId="0" borderId="5" xfId="2" applyNumberFormat="1" applyFont="1" applyFill="1" applyBorder="1" applyAlignment="1" applyProtection="1">
      <alignment horizontal="right" vertical="top"/>
    </xf>
    <xf numFmtId="167" fontId="0" fillId="0" borderId="0" xfId="0" applyAlignment="1">
      <alignment vertical="top"/>
    </xf>
    <xf numFmtId="167" fontId="26" fillId="0" borderId="0" xfId="3" applyNumberFormat="1" applyFont="1" applyAlignment="1">
      <alignment horizontal="left" vertical="top"/>
    </xf>
    <xf numFmtId="167" fontId="18" fillId="0" borderId="0" xfId="3" applyNumberFormat="1" applyAlignment="1">
      <alignment vertical="top"/>
    </xf>
    <xf numFmtId="168" fontId="18" fillId="0" borderId="0" xfId="3" applyNumberFormat="1" applyAlignment="1">
      <alignment horizontal="right" vertical="top"/>
    </xf>
    <xf numFmtId="168" fontId="18" fillId="0" borderId="0" xfId="3" applyNumberFormat="1" applyAlignment="1">
      <alignment horizontal="center" vertical="top"/>
    </xf>
    <xf numFmtId="167" fontId="24" fillId="0" borderId="0" xfId="3" applyNumberFormat="1" applyFont="1" applyAlignment="1">
      <alignment horizontal="left" vertical="top"/>
    </xf>
    <xf numFmtId="167" fontId="8" fillId="0" borderId="0" xfId="3" applyNumberFormat="1" applyFont="1" applyAlignment="1">
      <alignment horizontal="center" vertical="top"/>
    </xf>
    <xf numFmtId="167" fontId="18" fillId="0" borderId="0" xfId="3" applyNumberFormat="1" applyAlignment="1">
      <alignment horizontal="center" vertical="top"/>
    </xf>
    <xf numFmtId="168" fontId="18" fillId="4" borderId="0" xfId="3" applyNumberFormat="1" applyFill="1" applyAlignment="1">
      <alignment vertical="top"/>
    </xf>
    <xf numFmtId="168" fontId="18" fillId="0" borderId="0" xfId="3" applyNumberFormat="1" applyAlignment="1">
      <alignment vertical="top"/>
    </xf>
    <xf numFmtId="167" fontId="24" fillId="0" borderId="0" xfId="3" applyNumberFormat="1" applyFont="1" applyAlignment="1">
      <alignment horizontal="left" vertical="top" wrapText="1"/>
    </xf>
    <xf numFmtId="183" fontId="18" fillId="0" borderId="0" xfId="3" applyNumberFormat="1" applyAlignment="1">
      <alignment horizontal="center" vertical="top"/>
    </xf>
    <xf numFmtId="167" fontId="8" fillId="0" borderId="0" xfId="3" applyNumberFormat="1" applyFont="1" applyAlignment="1">
      <alignment vertical="top"/>
    </xf>
    <xf numFmtId="167" fontId="24" fillId="0" borderId="0" xfId="3" applyNumberFormat="1" applyFont="1" applyAlignment="1">
      <alignment vertical="top"/>
    </xf>
    <xf numFmtId="167" fontId="24" fillId="0" borderId="0" xfId="3" applyNumberFormat="1" applyFont="1" applyAlignment="1">
      <alignment horizontal="center" vertical="top"/>
    </xf>
    <xf numFmtId="167" fontId="21" fillId="0" borderId="0" xfId="3" applyNumberFormat="1" applyFont="1" applyAlignment="1">
      <alignment vertical="top"/>
    </xf>
    <xf numFmtId="167" fontId="70" fillId="6" borderId="0" xfId="0" applyFont="1" applyFill="1"/>
    <xf numFmtId="168" fontId="78" fillId="0" borderId="0" xfId="0" applyNumberFormat="1" applyFont="1" applyAlignment="1">
      <alignment horizontal="right" vertical="top" wrapText="1"/>
    </xf>
    <xf numFmtId="167" fontId="78" fillId="0" borderId="0" xfId="0" applyFont="1" applyAlignment="1">
      <alignment horizontal="right" vertical="top" wrapText="1"/>
    </xf>
    <xf numFmtId="167" fontId="24" fillId="0" borderId="3" xfId="0" applyFont="1" applyBorder="1" applyAlignment="1">
      <alignment horizontal="left" vertical="top" wrapText="1"/>
    </xf>
    <xf numFmtId="167" fontId="85" fillId="0" borderId="0" xfId="0" applyFont="1"/>
    <xf numFmtId="2" fontId="71" fillId="4" borderId="10" xfId="19" quotePrefix="1" applyNumberFormat="1" applyFont="1" applyFill="1" applyBorder="1" applyAlignment="1">
      <alignment vertical="top"/>
    </xf>
    <xf numFmtId="167" fontId="78" fillId="0" borderId="2" xfId="0" applyFont="1" applyBorder="1"/>
    <xf numFmtId="167" fontId="78" fillId="0" borderId="3" xfId="0" applyFont="1" applyBorder="1" applyAlignment="1">
      <alignment horizontal="center"/>
    </xf>
    <xf numFmtId="167" fontId="24" fillId="0" borderId="0" xfId="0" applyFont="1" applyAlignment="1">
      <alignment horizontal="center" vertical="center"/>
    </xf>
    <xf numFmtId="167" fontId="87" fillId="0" borderId="5" xfId="0" applyFont="1" applyBorder="1" applyAlignment="1">
      <alignment vertical="top"/>
    </xf>
    <xf numFmtId="167" fontId="24" fillId="0" borderId="5" xfId="0" applyFont="1" applyBorder="1" applyAlignment="1">
      <alignment horizontal="center" vertical="center"/>
    </xf>
    <xf numFmtId="167" fontId="24" fillId="0" borderId="14" xfId="0" applyFont="1" applyBorder="1" applyAlignment="1">
      <alignment vertical="center"/>
    </xf>
    <xf numFmtId="167" fontId="87" fillId="0" borderId="14" xfId="0" applyFont="1" applyBorder="1" applyAlignment="1">
      <alignment vertical="top"/>
    </xf>
    <xf numFmtId="0" fontId="27" fillId="0" borderId="11" xfId="5" applyFont="1" applyBorder="1" applyAlignment="1">
      <alignment vertical="top"/>
    </xf>
    <xf numFmtId="0" fontId="48" fillId="0" borderId="11" xfId="5" applyFont="1" applyBorder="1" applyAlignment="1">
      <alignment vertical="top" wrapText="1"/>
    </xf>
    <xf numFmtId="2" fontId="43" fillId="0" borderId="11" xfId="5" applyNumberFormat="1" applyFont="1" applyBorder="1" applyAlignment="1">
      <alignment horizontal="center" vertical="top" wrapText="1"/>
    </xf>
    <xf numFmtId="10" fontId="43" fillId="0" borderId="11" xfId="2" applyNumberFormat="1" applyFont="1" applyFill="1" applyBorder="1" applyAlignment="1">
      <alignment horizontal="center" vertical="top" wrapText="1"/>
    </xf>
    <xf numFmtId="169" fontId="43" fillId="0" borderId="11" xfId="2" applyNumberFormat="1" applyFont="1" applyFill="1" applyBorder="1" applyAlignment="1">
      <alignment horizontal="center" vertical="top" wrapText="1"/>
    </xf>
    <xf numFmtId="2" fontId="43" fillId="0" borderId="11" xfId="2" applyNumberFormat="1" applyFont="1" applyFill="1" applyBorder="1" applyAlignment="1">
      <alignment horizontal="center" vertical="top" wrapText="1"/>
    </xf>
    <xf numFmtId="2" fontId="42" fillId="0" borderId="11" xfId="2" applyNumberFormat="1" applyFont="1" applyFill="1" applyBorder="1" applyAlignment="1">
      <alignment horizontal="center" vertical="top" wrapText="1"/>
    </xf>
    <xf numFmtId="0" fontId="42" fillId="0" borderId="12" xfId="34" applyFont="1" applyBorder="1" applyAlignment="1">
      <alignment horizontal="left" vertical="center"/>
    </xf>
    <xf numFmtId="0" fontId="42" fillId="0" borderId="4" xfId="34" applyFont="1" applyBorder="1" applyAlignment="1">
      <alignment horizontal="left" vertical="center"/>
    </xf>
    <xf numFmtId="0" fontId="42" fillId="0" borderId="6" xfId="34" applyFont="1" applyBorder="1" applyAlignment="1">
      <alignment horizontal="left" vertical="center"/>
    </xf>
    <xf numFmtId="0" fontId="46" fillId="0" borderId="5" xfId="34" applyFont="1" applyBorder="1" applyAlignment="1">
      <alignment horizontal="center" vertical="top" wrapText="1"/>
    </xf>
    <xf numFmtId="0" fontId="88" fillId="0" borderId="5" xfId="8" applyFont="1" applyBorder="1" applyAlignment="1">
      <alignment horizontal="left" vertical="top" wrapText="1"/>
    </xf>
    <xf numFmtId="0" fontId="29" fillId="0" borderId="5" xfId="8" applyFont="1" applyBorder="1" applyAlignment="1">
      <alignment horizontal="justify" vertical="top" wrapText="1"/>
    </xf>
    <xf numFmtId="176" fontId="43" fillId="0" borderId="5" xfId="34" applyNumberFormat="1" applyFont="1" applyBorder="1" applyAlignment="1">
      <alignment horizontal="center" vertical="top" wrapText="1"/>
    </xf>
    <xf numFmtId="4" fontId="43" fillId="0" borderId="5" xfId="34" applyNumberFormat="1" applyFont="1" applyBorder="1" applyAlignment="1">
      <alignment horizontal="center" vertical="top" wrapText="1"/>
    </xf>
    <xf numFmtId="2" fontId="43" fillId="0" borderId="5" xfId="34" applyNumberFormat="1" applyFont="1" applyBorder="1" applyAlignment="1">
      <alignment horizontal="center" vertical="top" wrapText="1"/>
    </xf>
    <xf numFmtId="0" fontId="43" fillId="0" borderId="5" xfId="34" applyFont="1" applyBorder="1" applyAlignment="1">
      <alignment horizontal="center" vertical="top" wrapText="1"/>
    </xf>
    <xf numFmtId="167" fontId="43" fillId="0" borderId="5" xfId="34" applyNumberFormat="1" applyFont="1" applyBorder="1" applyAlignment="1">
      <alignment horizontal="center" vertical="top" wrapText="1"/>
    </xf>
    <xf numFmtId="9" fontId="43" fillId="0" borderId="5" xfId="96" applyFont="1" applyFill="1" applyBorder="1" applyAlignment="1">
      <alignment horizontal="center" vertical="top" wrapText="1"/>
    </xf>
    <xf numFmtId="2" fontId="89" fillId="0" borderId="5" xfId="34" applyNumberFormat="1" applyFont="1" applyBorder="1" applyAlignment="1">
      <alignment horizontal="center" vertical="top" wrapText="1"/>
    </xf>
    <xf numFmtId="0" fontId="27" fillId="0" borderId="5" xfId="5" applyFont="1" applyBorder="1" applyAlignment="1">
      <alignment vertical="top"/>
    </xf>
    <xf numFmtId="0" fontId="48" fillId="0" borderId="5" xfId="5" applyFont="1" applyBorder="1" applyAlignment="1">
      <alignment vertical="top" wrapText="1"/>
    </xf>
    <xf numFmtId="0" fontId="46" fillId="0" borderId="0" xfId="5" applyFont="1" applyAlignment="1">
      <alignment horizontal="left" vertical="top" wrapText="1"/>
    </xf>
    <xf numFmtId="177" fontId="43" fillId="0" borderId="0" xfId="5" applyNumberFormat="1" applyFont="1" applyAlignment="1">
      <alignment horizontal="center" vertical="top" wrapText="1"/>
    </xf>
    <xf numFmtId="0" fontId="42" fillId="0" borderId="5" xfId="5" applyFont="1" applyBorder="1" applyAlignment="1">
      <alignment horizontal="center" vertical="center" wrapText="1"/>
    </xf>
    <xf numFmtId="167" fontId="0" fillId="0" borderId="0" xfId="0" applyAlignment="1">
      <alignment vertical="center"/>
    </xf>
    <xf numFmtId="167" fontId="91" fillId="0" borderId="5" xfId="0" applyFont="1" applyBorder="1" applyAlignment="1">
      <alignment vertical="center" wrapText="1"/>
    </xf>
    <xf numFmtId="167" fontId="90" fillId="0" borderId="5" xfId="0" applyFont="1" applyBorder="1" applyAlignment="1">
      <alignment vertical="center"/>
    </xf>
    <xf numFmtId="168" fontId="91" fillId="0" borderId="5" xfId="0" applyNumberFormat="1" applyFont="1" applyBorder="1" applyAlignment="1">
      <alignment horizontal="center" vertical="center"/>
    </xf>
    <xf numFmtId="1" fontId="91" fillId="0" borderId="5" xfId="0" applyNumberFormat="1" applyFont="1" applyBorder="1" applyAlignment="1">
      <alignment horizontal="center" vertical="center"/>
    </xf>
    <xf numFmtId="167" fontId="90" fillId="0" borderId="5" xfId="0" applyFont="1" applyBorder="1" applyAlignment="1">
      <alignment horizontal="center" vertical="center"/>
    </xf>
    <xf numFmtId="167" fontId="90" fillId="0" borderId="5" xfId="0" applyFont="1" applyBorder="1" applyAlignment="1">
      <alignment vertical="center" wrapText="1"/>
    </xf>
    <xf numFmtId="167" fontId="24" fillId="0" borderId="5" xfId="0" applyFont="1" applyBorder="1" applyAlignment="1">
      <alignment wrapText="1"/>
    </xf>
    <xf numFmtId="0" fontId="24" fillId="0" borderId="0" xfId="21" applyNumberFormat="1"/>
    <xf numFmtId="0" fontId="21" fillId="0" borderId="0" xfId="21" applyNumberFormat="1" applyFont="1" applyAlignment="1">
      <alignment horizontal="right"/>
    </xf>
    <xf numFmtId="0" fontId="24" fillId="0" borderId="0" xfId="21" applyNumberFormat="1" applyAlignment="1">
      <alignment horizontal="left"/>
    </xf>
    <xf numFmtId="0" fontId="24" fillId="0" borderId="0" xfId="21" applyNumberFormat="1" applyAlignment="1">
      <alignment horizontal="center"/>
    </xf>
    <xf numFmtId="0" fontId="24" fillId="0" borderId="0" xfId="21" applyNumberFormat="1" applyAlignment="1">
      <alignment vertical="top"/>
    </xf>
    <xf numFmtId="0" fontId="21" fillId="0" borderId="5" xfId="21" applyNumberFormat="1" applyFont="1" applyBorder="1" applyAlignment="1">
      <alignment horizontal="center" vertical="top"/>
    </xf>
    <xf numFmtId="0" fontId="21" fillId="0" borderId="0" xfId="21" applyNumberFormat="1" applyFont="1" applyAlignment="1">
      <alignment horizontal="center" vertical="top"/>
    </xf>
    <xf numFmtId="0" fontId="24" fillId="0" borderId="0" xfId="21" applyNumberFormat="1" applyAlignment="1">
      <alignment horizontal="center" vertical="top"/>
    </xf>
    <xf numFmtId="2" fontId="24" fillId="0" borderId="0" xfId="21" applyNumberFormat="1" applyAlignment="1">
      <alignment vertical="top"/>
    </xf>
    <xf numFmtId="0" fontId="24" fillId="0" borderId="5" xfId="21" applyNumberFormat="1" applyBorder="1" applyAlignment="1">
      <alignment horizontal="center" vertical="top"/>
    </xf>
    <xf numFmtId="1" fontId="24" fillId="0" borderId="5" xfId="21" applyNumberFormat="1" applyBorder="1" applyAlignment="1">
      <alignment vertical="top"/>
    </xf>
    <xf numFmtId="167" fontId="21" fillId="0" borderId="5" xfId="21" applyFont="1" applyBorder="1" applyAlignment="1">
      <alignment horizontal="center" vertical="top" wrapText="1"/>
    </xf>
    <xf numFmtId="0" fontId="21" fillId="0" borderId="5" xfId="21" applyNumberFormat="1" applyFont="1" applyBorder="1" applyAlignment="1">
      <alignment vertical="top"/>
    </xf>
    <xf numFmtId="2" fontId="24" fillId="0" borderId="0" xfId="21" applyNumberFormat="1"/>
    <xf numFmtId="168" fontId="24" fillId="0" borderId="0" xfId="21" applyNumberFormat="1" applyAlignment="1">
      <alignment vertical="top"/>
    </xf>
    <xf numFmtId="168" fontId="24" fillId="8" borderId="5" xfId="21" applyNumberFormat="1" applyFill="1" applyBorder="1" applyAlignment="1">
      <alignment vertical="top" wrapText="1"/>
    </xf>
    <xf numFmtId="0" fontId="24" fillId="0" borderId="5" xfId="21" applyNumberFormat="1" applyBorder="1" applyAlignment="1">
      <alignment vertical="top"/>
    </xf>
    <xf numFmtId="0" fontId="24" fillId="0" borderId="0" xfId="21" applyNumberFormat="1" applyAlignment="1">
      <alignment horizontal="left" vertical="top" wrapText="1"/>
    </xf>
    <xf numFmtId="1" fontId="24" fillId="0" borderId="0" xfId="21" applyNumberFormat="1"/>
    <xf numFmtId="2" fontId="21" fillId="0" borderId="5" xfId="21" applyNumberFormat="1" applyFont="1" applyBorder="1" applyAlignment="1">
      <alignment vertical="top"/>
    </xf>
    <xf numFmtId="0" fontId="21" fillId="0" borderId="5" xfId="21" applyNumberFormat="1" applyFont="1" applyBorder="1" applyAlignment="1">
      <alignment horizontal="center" vertical="top" wrapText="1"/>
    </xf>
    <xf numFmtId="2" fontId="21" fillId="0" borderId="5" xfId="21" applyNumberFormat="1" applyFont="1" applyBorder="1" applyAlignment="1">
      <alignment horizontal="right" vertical="top" wrapText="1"/>
    </xf>
    <xf numFmtId="2" fontId="24" fillId="0" borderId="0" xfId="21" applyNumberFormat="1" applyAlignment="1">
      <alignment horizontal="left" vertical="top" wrapText="1"/>
    </xf>
    <xf numFmtId="0" fontId="21" fillId="0" borderId="10" xfId="21" applyNumberFormat="1" applyFont="1" applyBorder="1" applyAlignment="1">
      <alignment horizontal="center" vertical="top"/>
    </xf>
    <xf numFmtId="2" fontId="21" fillId="0" borderId="0" xfId="21" applyNumberFormat="1" applyFont="1" applyAlignment="1">
      <alignment vertical="top"/>
    </xf>
    <xf numFmtId="0" fontId="24" fillId="0" borderId="11" xfId="21" applyNumberFormat="1" applyBorder="1"/>
    <xf numFmtId="0" fontId="24" fillId="3" borderId="0" xfId="21" applyNumberFormat="1" applyFill="1"/>
    <xf numFmtId="0" fontId="24" fillId="9" borderId="0" xfId="21" applyNumberFormat="1" applyFill="1"/>
    <xf numFmtId="1" fontId="24" fillId="3" borderId="0" xfId="21" applyNumberFormat="1" applyFill="1"/>
    <xf numFmtId="0" fontId="24" fillId="3" borderId="0" xfId="21" quotePrefix="1" applyNumberFormat="1" applyFill="1"/>
    <xf numFmtId="2" fontId="24" fillId="3" borderId="0" xfId="21" applyNumberFormat="1" applyFill="1"/>
    <xf numFmtId="0" fontId="19" fillId="0" borderId="0" xfId="21" applyNumberFormat="1" applyFont="1"/>
    <xf numFmtId="9" fontId="24" fillId="0" borderId="0" xfId="21" applyNumberFormat="1"/>
    <xf numFmtId="1" fontId="19" fillId="0" borderId="0" xfId="21" applyNumberFormat="1" applyFont="1"/>
    <xf numFmtId="169" fontId="24" fillId="0" borderId="0" xfId="21" applyNumberFormat="1"/>
    <xf numFmtId="0" fontId="19" fillId="0" borderId="0" xfId="21" applyNumberFormat="1" applyFont="1" applyAlignment="1">
      <alignment vertical="top"/>
    </xf>
    <xf numFmtId="0" fontId="25" fillId="0" borderId="0" xfId="21" applyNumberFormat="1" applyFont="1"/>
    <xf numFmtId="0" fontId="21" fillId="0" borderId="0" xfId="21" applyNumberFormat="1" applyFont="1" applyAlignment="1">
      <alignment vertical="top"/>
    </xf>
    <xf numFmtId="0" fontId="26" fillId="0" borderId="0" xfId="21" applyNumberFormat="1" applyFont="1" applyAlignment="1">
      <alignment vertical="top"/>
    </xf>
    <xf numFmtId="0" fontId="24" fillId="0" borderId="5" xfId="21" applyNumberFormat="1" applyBorder="1" applyAlignment="1">
      <alignment horizontal="center" vertical="center"/>
    </xf>
    <xf numFmtId="1" fontId="24" fillId="0" borderId="5" xfId="21" applyNumberFormat="1" applyBorder="1" applyAlignment="1">
      <alignment horizontal="center" vertical="center"/>
    </xf>
    <xf numFmtId="17" fontId="21" fillId="0" borderId="5" xfId="21" applyNumberFormat="1" applyFont="1" applyBorder="1" applyAlignment="1">
      <alignment horizontal="center" vertical="center"/>
    </xf>
    <xf numFmtId="167" fontId="24" fillId="0" borderId="0" xfId="21"/>
    <xf numFmtId="167" fontId="26" fillId="0" borderId="0" xfId="21" applyFont="1"/>
    <xf numFmtId="167" fontId="21" fillId="0" borderId="0" xfId="21" applyFont="1"/>
    <xf numFmtId="167" fontId="24" fillId="0" borderId="0" xfId="21" applyAlignment="1">
      <alignment horizontal="center"/>
    </xf>
    <xf numFmtId="167" fontId="30" fillId="0" borderId="0" xfId="21" applyFont="1"/>
    <xf numFmtId="167" fontId="24" fillId="0" borderId="0" xfId="21" quotePrefix="1"/>
    <xf numFmtId="167" fontId="34" fillId="0" borderId="0" xfId="21" applyFont="1"/>
    <xf numFmtId="171" fontId="34" fillId="0" borderId="0" xfId="21" applyNumberFormat="1" applyFont="1"/>
    <xf numFmtId="167" fontId="24" fillId="0" borderId="0" xfId="21" applyAlignment="1">
      <alignment horizontal="fill"/>
    </xf>
    <xf numFmtId="167" fontId="35" fillId="0" borderId="0" xfId="21" applyFont="1"/>
    <xf numFmtId="172" fontId="24" fillId="0" borderId="0" xfId="21" applyNumberFormat="1"/>
    <xf numFmtId="171" fontId="24" fillId="0" borderId="0" xfId="21" applyNumberFormat="1" applyAlignment="1">
      <alignment horizontal="center"/>
    </xf>
    <xf numFmtId="167" fontId="34" fillId="0" borderId="53" xfId="21" applyFont="1" applyBorder="1"/>
    <xf numFmtId="168" fontId="24" fillId="0" borderId="8" xfId="21" applyNumberFormat="1" applyBorder="1" applyAlignment="1">
      <alignment horizontal="right"/>
    </xf>
    <xf numFmtId="167" fontId="83" fillId="0" borderId="0" xfId="21" applyFont="1"/>
    <xf numFmtId="167" fontId="34" fillId="0" borderId="8" xfId="21" applyFont="1" applyBorder="1"/>
    <xf numFmtId="10" fontId="24" fillId="0" borderId="0" xfId="2" applyNumberFormat="1" applyFont="1" applyFill="1" applyBorder="1" applyAlignment="1" applyProtection="1">
      <alignment horizontal="right"/>
    </xf>
    <xf numFmtId="168" fontId="24" fillId="0" borderId="5" xfId="21" applyNumberFormat="1" applyBorder="1" applyAlignment="1">
      <alignment horizontal="center"/>
    </xf>
    <xf numFmtId="168" fontId="34" fillId="0" borderId="8" xfId="21" applyNumberFormat="1" applyFont="1" applyBorder="1"/>
    <xf numFmtId="168" fontId="34" fillId="0" borderId="13" xfId="21" applyNumberFormat="1" applyFont="1" applyBorder="1"/>
    <xf numFmtId="167" fontId="24" fillId="0" borderId="8" xfId="21" applyBorder="1"/>
    <xf numFmtId="167" fontId="24" fillId="0" borderId="4" xfId="21" applyBorder="1" applyAlignment="1">
      <alignment horizontal="center"/>
    </xf>
    <xf numFmtId="167" fontId="24" fillId="0" borderId="4" xfId="21" applyBorder="1"/>
    <xf numFmtId="167" fontId="24" fillId="0" borderId="8" xfId="21" applyBorder="1" applyAlignment="1">
      <alignment horizontal="center"/>
    </xf>
    <xf numFmtId="168" fontId="24" fillId="0" borderId="0" xfId="21" applyNumberFormat="1"/>
    <xf numFmtId="167" fontId="21" fillId="0" borderId="14" xfId="21" applyFont="1" applyBorder="1"/>
    <xf numFmtId="167" fontId="21" fillId="0" borderId="8" xfId="21" applyFont="1" applyBorder="1" applyAlignment="1">
      <alignment horizontal="center"/>
    </xf>
    <xf numFmtId="167" fontId="21" fillId="0" borderId="13" xfId="21" applyFont="1" applyBorder="1"/>
    <xf numFmtId="167" fontId="24" fillId="0" borderId="0" xfId="21" applyAlignment="1">
      <alignment horizontal="left"/>
    </xf>
    <xf numFmtId="167" fontId="34" fillId="0" borderId="4" xfId="21" applyFont="1" applyBorder="1"/>
    <xf numFmtId="9" fontId="35" fillId="0" borderId="0" xfId="21" applyNumberFormat="1" applyFont="1"/>
    <xf numFmtId="168" fontId="34" fillId="0" borderId="8" xfId="21" applyNumberFormat="1" applyFont="1" applyBorder="1" applyAlignment="1">
      <alignment horizontal="center"/>
    </xf>
    <xf numFmtId="168" fontId="34" fillId="0" borderId="13" xfId="21" applyNumberFormat="1" applyFont="1" applyBorder="1" applyAlignment="1">
      <alignment horizontal="center"/>
    </xf>
    <xf numFmtId="172" fontId="34" fillId="0" borderId="0" xfId="21" applyNumberFormat="1" applyFont="1"/>
    <xf numFmtId="167" fontId="21" fillId="0" borderId="0" xfId="21" applyFont="1" applyAlignment="1">
      <alignment horizontal="right"/>
    </xf>
    <xf numFmtId="167" fontId="34" fillId="0" borderId="15" xfId="21" applyFont="1" applyBorder="1"/>
    <xf numFmtId="167" fontId="34" fillId="0" borderId="16" xfId="21" applyFont="1" applyBorder="1"/>
    <xf numFmtId="167" fontId="34" fillId="0" borderId="17" xfId="21" applyFont="1" applyBorder="1"/>
    <xf numFmtId="167" fontId="34" fillId="0" borderId="18" xfId="21" applyFont="1" applyBorder="1"/>
    <xf numFmtId="167" fontId="24" fillId="0" borderId="5" xfId="21" applyBorder="1"/>
    <xf numFmtId="167" fontId="34" fillId="0" borderId="0" xfId="21" applyFont="1" applyAlignment="1">
      <alignment horizontal="center"/>
    </xf>
    <xf numFmtId="168" fontId="24" fillId="0" borderId="0" xfId="21" applyNumberFormat="1" applyAlignment="1">
      <alignment horizontal="right"/>
    </xf>
    <xf numFmtId="167" fontId="24" fillId="0" borderId="0" xfId="21" applyAlignment="1">
      <alignment horizontal="right"/>
    </xf>
    <xf numFmtId="167" fontId="24" fillId="0" borderId="0" xfId="21" applyAlignment="1">
      <alignment vertical="top"/>
    </xf>
    <xf numFmtId="167" fontId="24" fillId="0" borderId="0" xfId="21" applyAlignment="1">
      <alignment horizontal="center" vertical="top"/>
    </xf>
    <xf numFmtId="167" fontId="34" fillId="0" borderId="0" xfId="21" applyFont="1" applyAlignment="1">
      <alignment vertical="top"/>
    </xf>
    <xf numFmtId="10" fontId="24" fillId="0" borderId="0" xfId="2" applyNumberFormat="1" applyFont="1" applyFill="1" applyBorder="1" applyAlignment="1" applyProtection="1">
      <alignment vertical="top"/>
    </xf>
    <xf numFmtId="168" fontId="24" fillId="0" borderId="0" xfId="21" applyNumberFormat="1" applyAlignment="1">
      <alignment horizontal="right" vertical="top"/>
    </xf>
    <xf numFmtId="167" fontId="24" fillId="0" borderId="0" xfId="21" applyAlignment="1">
      <alignment horizontal="fill" vertical="top"/>
    </xf>
    <xf numFmtId="10" fontId="24" fillId="0" borderId="0" xfId="2" applyNumberFormat="1" applyFont="1" applyAlignment="1">
      <alignment vertical="top"/>
    </xf>
    <xf numFmtId="168" fontId="24" fillId="0" borderId="8" xfId="21" applyNumberFormat="1" applyBorder="1" applyAlignment="1">
      <alignment horizontal="center"/>
    </xf>
    <xf numFmtId="168" fontId="24" fillId="0" borderId="0" xfId="21" applyNumberFormat="1" applyAlignment="1">
      <alignment horizontal="center"/>
    </xf>
    <xf numFmtId="168" fontId="24" fillId="0" borderId="0" xfId="21" applyNumberFormat="1" applyAlignment="1">
      <alignment horizontal="left"/>
    </xf>
    <xf numFmtId="10" fontId="24" fillId="0" borderId="0" xfId="2" applyNumberFormat="1" applyFont="1" applyBorder="1" applyAlignment="1" applyProtection="1">
      <alignment horizontal="right"/>
    </xf>
    <xf numFmtId="167" fontId="27" fillId="0" borderId="0" xfId="21" applyFont="1"/>
    <xf numFmtId="167" fontId="23" fillId="0" borderId="0" xfId="21" applyFont="1" applyAlignment="1">
      <alignment vertical="top"/>
    </xf>
    <xf numFmtId="167" fontId="23" fillId="0" borderId="0" xfId="21" applyFont="1" applyAlignment="1">
      <alignment horizontal="left" vertical="top"/>
    </xf>
    <xf numFmtId="167" fontId="23" fillId="0" borderId="0" xfId="21" applyFont="1" applyAlignment="1">
      <alignment horizontal="center" vertical="top"/>
    </xf>
    <xf numFmtId="1" fontId="23" fillId="0" borderId="25" xfId="21" applyNumberFormat="1" applyFont="1" applyBorder="1" applyAlignment="1">
      <alignment horizontal="center" vertical="top"/>
    </xf>
    <xf numFmtId="167" fontId="23" fillId="0" borderId="1" xfId="21" applyFont="1" applyBorder="1" applyAlignment="1">
      <alignment horizontal="left" vertical="top"/>
    </xf>
    <xf numFmtId="167" fontId="23" fillId="0" borderId="11" xfId="21" applyFont="1" applyBorder="1" applyAlignment="1">
      <alignment horizontal="center" vertical="top"/>
    </xf>
    <xf numFmtId="167" fontId="23" fillId="0" borderId="1" xfId="21" applyFont="1" applyBorder="1" applyAlignment="1">
      <alignment horizontal="right" vertical="top" wrapText="1"/>
    </xf>
    <xf numFmtId="167" fontId="23" fillId="0" borderId="9" xfId="21" applyFont="1" applyBorder="1" applyAlignment="1">
      <alignment horizontal="center"/>
    </xf>
    <xf numFmtId="167" fontId="27" fillId="0" borderId="2" xfId="21" applyFont="1" applyBorder="1"/>
    <xf numFmtId="167" fontId="23" fillId="0" borderId="0" xfId="21" applyFont="1"/>
    <xf numFmtId="167" fontId="23" fillId="0" borderId="2" xfId="21" applyFont="1" applyBorder="1" applyAlignment="1">
      <alignment horizontal="right"/>
    </xf>
    <xf numFmtId="1" fontId="23" fillId="0" borderId="9" xfId="21" applyNumberFormat="1" applyFont="1" applyBorder="1" applyAlignment="1">
      <alignment horizontal="center" vertical="top"/>
    </xf>
    <xf numFmtId="167" fontId="23" fillId="0" borderId="2" xfId="21" applyFont="1" applyBorder="1" applyAlignment="1">
      <alignment horizontal="left" vertical="top"/>
    </xf>
    <xf numFmtId="2" fontId="23" fillId="0" borderId="2" xfId="21" applyNumberFormat="1" applyFont="1" applyBorder="1" applyAlignment="1">
      <alignment horizontal="right" vertical="top"/>
    </xf>
    <xf numFmtId="1" fontId="23" fillId="0" borderId="9" xfId="21" applyNumberFormat="1" applyFont="1" applyBorder="1" applyAlignment="1">
      <alignment horizontal="center"/>
    </xf>
    <xf numFmtId="167" fontId="23" fillId="0" borderId="2" xfId="21" applyFont="1" applyBorder="1" applyAlignment="1">
      <alignment horizontal="left"/>
    </xf>
    <xf numFmtId="167" fontId="23" fillId="0" borderId="0" xfId="21" applyFont="1" applyAlignment="1">
      <alignment horizontal="center"/>
    </xf>
    <xf numFmtId="2" fontId="23" fillId="0" borderId="2" xfId="21" applyNumberFormat="1" applyFont="1" applyBorder="1" applyAlignment="1">
      <alignment horizontal="right"/>
    </xf>
    <xf numFmtId="10" fontId="23" fillId="0" borderId="2" xfId="2" applyNumberFormat="1" applyFont="1" applyBorder="1" applyAlignment="1" applyProtection="1">
      <alignment horizontal="right" vertical="top"/>
    </xf>
    <xf numFmtId="167" fontId="24" fillId="0" borderId="5" xfId="21" applyBorder="1" applyAlignment="1">
      <alignment horizontal="center"/>
    </xf>
    <xf numFmtId="1" fontId="23" fillId="0" borderId="12" xfId="21" applyNumberFormat="1" applyFont="1" applyBorder="1" applyAlignment="1">
      <alignment horizontal="center"/>
    </xf>
    <xf numFmtId="167" fontId="23" fillId="0" borderId="10" xfId="21" applyFont="1" applyBorder="1" applyAlignment="1">
      <alignment horizontal="left"/>
    </xf>
    <xf numFmtId="167" fontId="23" fillId="0" borderId="4" xfId="21" applyFont="1" applyBorder="1" applyAlignment="1">
      <alignment horizontal="center"/>
    </xf>
    <xf numFmtId="2" fontId="23" fillId="0" borderId="10" xfId="21" applyNumberFormat="1" applyFont="1" applyBorder="1" applyAlignment="1">
      <alignment horizontal="right"/>
    </xf>
    <xf numFmtId="167" fontId="24" fillId="0" borderId="5" xfId="21" applyBorder="1" applyAlignment="1">
      <alignment horizontal="center" vertical="top"/>
    </xf>
    <xf numFmtId="167" fontId="24" fillId="0" borderId="0" xfId="21" applyAlignment="1">
      <alignment horizontal="justify" vertical="top" wrapText="1"/>
    </xf>
    <xf numFmtId="167" fontId="21" fillId="0" borderId="0" xfId="21" applyFont="1" applyAlignment="1">
      <alignment vertical="top" wrapText="1"/>
    </xf>
    <xf numFmtId="167" fontId="21" fillId="0" borderId="5" xfId="21" applyFont="1" applyBorder="1"/>
    <xf numFmtId="167" fontId="21" fillId="0" borderId="5" xfId="21" applyFont="1" applyBorder="1" applyAlignment="1">
      <alignment horizontal="center"/>
    </xf>
    <xf numFmtId="10" fontId="21" fillId="0" borderId="5" xfId="2" applyNumberFormat="1" applyFont="1" applyBorder="1"/>
    <xf numFmtId="9" fontId="0" fillId="0" borderId="5" xfId="2" applyFont="1" applyBorder="1" applyAlignment="1">
      <alignment horizontal="center"/>
    </xf>
    <xf numFmtId="167" fontId="21" fillId="0" borderId="5" xfId="21" applyFont="1" applyBorder="1" applyAlignment="1">
      <alignment horizontal="left"/>
    </xf>
    <xf numFmtId="10" fontId="21" fillId="0" borderId="5" xfId="2" applyNumberFormat="1" applyFont="1" applyFill="1" applyBorder="1"/>
    <xf numFmtId="10" fontId="0" fillId="0" borderId="5" xfId="2" applyNumberFormat="1" applyFont="1" applyBorder="1"/>
    <xf numFmtId="2" fontId="0" fillId="0" borderId="5" xfId="2" applyNumberFormat="1" applyFont="1" applyBorder="1"/>
    <xf numFmtId="10" fontId="34" fillId="2" borderId="0" xfId="2" applyNumberFormat="1" applyFont="1" applyFill="1" applyProtection="1"/>
    <xf numFmtId="167" fontId="24" fillId="2" borderId="0" xfId="21" applyFill="1"/>
    <xf numFmtId="167" fontId="34" fillId="2" borderId="0" xfId="21" applyFont="1" applyFill="1"/>
    <xf numFmtId="167" fontId="83" fillId="2" borderId="0" xfId="21" applyFont="1" applyFill="1"/>
    <xf numFmtId="167" fontId="24" fillId="2" borderId="8" xfId="21" applyFill="1" applyBorder="1"/>
    <xf numFmtId="9" fontId="109" fillId="0" borderId="0" xfId="21" applyNumberFormat="1" applyFont="1"/>
    <xf numFmtId="167" fontId="109" fillId="0" borderId="0" xfId="21" applyFont="1"/>
    <xf numFmtId="167" fontId="35" fillId="0" borderId="14" xfId="21" applyFont="1" applyBorder="1"/>
    <xf numFmtId="167" fontId="34" fillId="0" borderId="0" xfId="21" applyFont="1" applyAlignment="1">
      <alignment vertical="center"/>
    </xf>
    <xf numFmtId="167" fontId="21" fillId="2" borderId="0" xfId="21" applyFont="1" applyFill="1"/>
    <xf numFmtId="10" fontId="24" fillId="0" borderId="5" xfId="2" applyNumberFormat="1" applyFont="1" applyBorder="1"/>
    <xf numFmtId="167" fontId="24" fillId="0" borderId="5" xfId="0" applyFont="1" applyBorder="1" applyAlignment="1">
      <alignment vertical="center" wrapText="1"/>
    </xf>
    <xf numFmtId="167" fontId="91" fillId="0" borderId="5" xfId="0" applyFont="1" applyBorder="1" applyAlignment="1">
      <alignment horizontal="center" vertical="center"/>
    </xf>
    <xf numFmtId="167" fontId="26" fillId="0" borderId="0" xfId="0" applyFont="1" applyAlignment="1">
      <alignment vertical="center"/>
    </xf>
    <xf numFmtId="167" fontId="0" fillId="0" borderId="5" xfId="0" applyBorder="1" applyAlignment="1">
      <alignment vertical="center"/>
    </xf>
    <xf numFmtId="1" fontId="24" fillId="2" borderId="5" xfId="21" applyNumberFormat="1" applyFill="1" applyBorder="1" applyAlignment="1">
      <alignment vertical="top"/>
    </xf>
    <xf numFmtId="168" fontId="90" fillId="0" borderId="5" xfId="0" applyNumberFormat="1" applyFont="1" applyBorder="1" applyAlignment="1">
      <alignment vertical="center"/>
    </xf>
    <xf numFmtId="168" fontId="0" fillId="0" borderId="0" xfId="0" applyNumberFormat="1" applyAlignment="1">
      <alignment vertical="center"/>
    </xf>
    <xf numFmtId="168" fontId="90" fillId="0" borderId="5" xfId="0" applyNumberFormat="1" applyFont="1" applyBorder="1" applyAlignment="1">
      <alignment horizontal="center" vertical="center"/>
    </xf>
    <xf numFmtId="167" fontId="0" fillId="0" borderId="0" xfId="0" applyAlignment="1">
      <alignment vertical="center" wrapText="1"/>
    </xf>
    <xf numFmtId="168" fontId="24" fillId="0" borderId="5" xfId="0" applyNumberFormat="1" applyFont="1" applyBorder="1" applyAlignment="1">
      <alignment vertical="center"/>
    </xf>
    <xf numFmtId="168" fontId="0" fillId="0" borderId="5" xfId="0" applyNumberFormat="1" applyBorder="1" applyAlignment="1">
      <alignment vertical="center"/>
    </xf>
    <xf numFmtId="167" fontId="0" fillId="0" borderId="5" xfId="0" applyBorder="1" applyAlignment="1">
      <alignment vertical="center" wrapText="1"/>
    </xf>
    <xf numFmtId="168" fontId="21" fillId="0" borderId="5" xfId="0" applyNumberFormat="1" applyFont="1" applyBorder="1" applyAlignment="1">
      <alignment horizontal="right" vertical="center"/>
    </xf>
    <xf numFmtId="168" fontId="21" fillId="0" borderId="0" xfId="0" applyNumberFormat="1" applyFont="1" applyAlignment="1">
      <alignment horizontal="right" vertical="center"/>
    </xf>
    <xf numFmtId="167" fontId="21" fillId="0" borderId="10" xfId="0" applyFont="1" applyBorder="1" applyAlignment="1">
      <alignment horizontal="center" vertical="center"/>
    </xf>
    <xf numFmtId="2" fontId="92" fillId="0" borderId="5" xfId="0" applyNumberFormat="1" applyFont="1" applyBorder="1" applyAlignment="1">
      <alignment horizontal="center"/>
    </xf>
    <xf numFmtId="2" fontId="91" fillId="0" borderId="5" xfId="0" applyNumberFormat="1" applyFont="1" applyBorder="1" applyAlignment="1">
      <alignment horizontal="center" vertical="center"/>
    </xf>
    <xf numFmtId="2" fontId="91" fillId="0" borderId="5" xfId="0" applyNumberFormat="1" applyFont="1" applyBorder="1" applyAlignment="1">
      <alignment horizontal="center"/>
    </xf>
    <xf numFmtId="1" fontId="24" fillId="0" borderId="5" xfId="0" applyNumberFormat="1" applyFont="1" applyBorder="1" applyAlignment="1">
      <alignment horizontal="center"/>
    </xf>
    <xf numFmtId="168" fontId="0" fillId="0" borderId="5" xfId="0" applyNumberFormat="1" applyBorder="1" applyAlignment="1">
      <alignment horizontal="center" vertical="center"/>
    </xf>
    <xf numFmtId="167" fontId="111" fillId="0" borderId="5" xfId="0" applyFont="1" applyBorder="1" applyAlignment="1">
      <alignment vertical="center"/>
    </xf>
    <xf numFmtId="2" fontId="21" fillId="0" borderId="10" xfId="21" applyNumberFormat="1" applyFont="1" applyBorder="1" applyAlignment="1">
      <alignment vertical="top"/>
    </xf>
    <xf numFmtId="167" fontId="43" fillId="0" borderId="1" xfId="5" applyNumberFormat="1" applyFont="1" applyBorder="1" applyAlignment="1">
      <alignment horizontal="center" vertical="top" wrapText="1"/>
    </xf>
    <xf numFmtId="9" fontId="43" fillId="0" borderId="1" xfId="2" applyFont="1" applyFill="1" applyBorder="1" applyAlignment="1">
      <alignment horizontal="center" vertical="top" wrapText="1"/>
    </xf>
    <xf numFmtId="0" fontId="43" fillId="0" borderId="0" xfId="5" applyFont="1" applyAlignment="1">
      <alignment horizontal="right" vertical="center" wrapText="1"/>
    </xf>
    <xf numFmtId="0" fontId="43" fillId="0" borderId="0" xfId="5" applyFont="1" applyAlignment="1">
      <alignment horizontal="right" vertical="center"/>
    </xf>
    <xf numFmtId="168" fontId="21" fillId="0" borderId="5" xfId="0" applyNumberFormat="1" applyFont="1" applyBorder="1" applyAlignment="1">
      <alignment horizontal="center" vertical="center"/>
    </xf>
    <xf numFmtId="167" fontId="21" fillId="0" borderId="5" xfId="0" applyFont="1" applyBorder="1" applyAlignment="1">
      <alignment horizontal="center" vertical="center" wrapText="1"/>
    </xf>
    <xf numFmtId="167" fontId="90" fillId="0" borderId="5" xfId="0" applyFont="1" applyBorder="1" applyAlignment="1">
      <alignment horizontal="center" vertical="center" wrapText="1"/>
    </xf>
    <xf numFmtId="0" fontId="46" fillId="2" borderId="1" xfId="5" applyFont="1" applyFill="1" applyBorder="1" applyAlignment="1">
      <alignment horizontal="center" vertical="top" wrapText="1"/>
    </xf>
    <xf numFmtId="0" fontId="42" fillId="0" borderId="24" xfId="5" applyFont="1" applyBorder="1" applyAlignment="1">
      <alignment horizontal="left" vertical="center" wrapText="1"/>
    </xf>
    <xf numFmtId="0" fontId="50" fillId="0" borderId="1" xfId="0" applyNumberFormat="1" applyFont="1" applyBorder="1" applyAlignment="1">
      <alignment horizontal="left" vertical="center" wrapText="1"/>
    </xf>
    <xf numFmtId="0" fontId="50" fillId="0" borderId="5" xfId="0" applyNumberFormat="1" applyFont="1" applyBorder="1" applyAlignment="1">
      <alignment horizontal="left" vertical="center" wrapText="1"/>
    </xf>
    <xf numFmtId="0" fontId="53" fillId="0" borderId="5" xfId="0" applyNumberFormat="1" applyFont="1" applyBorder="1" applyAlignment="1">
      <alignment vertical="center" wrapText="1"/>
    </xf>
    <xf numFmtId="0" fontId="54" fillId="0" borderId="1" xfId="0" applyNumberFormat="1" applyFont="1" applyBorder="1" applyAlignment="1">
      <alignment horizontal="left" vertical="center" wrapText="1"/>
    </xf>
    <xf numFmtId="176" fontId="50" fillId="0" borderId="5" xfId="0" applyNumberFormat="1" applyFont="1" applyBorder="1" applyAlignment="1">
      <alignment horizontal="right" vertical="center" wrapText="1"/>
    </xf>
    <xf numFmtId="184" fontId="46" fillId="0" borderId="5" xfId="5" applyNumberFormat="1" applyFont="1" applyBorder="1" applyAlignment="1">
      <alignment horizontal="center" vertical="center" wrapText="1"/>
    </xf>
    <xf numFmtId="4" fontId="46" fillId="0" borderId="5" xfId="5" applyNumberFormat="1" applyFont="1" applyBorder="1" applyAlignment="1">
      <alignment horizontal="center" vertical="center" wrapText="1"/>
    </xf>
    <xf numFmtId="0" fontId="43" fillId="0" borderId="5" xfId="5" applyFont="1" applyBorder="1" applyAlignment="1">
      <alignment horizontal="center" vertical="center" wrapText="1"/>
    </xf>
    <xf numFmtId="2" fontId="43" fillId="0" borderId="5" xfId="5" applyNumberFormat="1" applyFont="1" applyBorder="1" applyAlignment="1">
      <alignment horizontal="center" vertical="center" wrapText="1"/>
    </xf>
    <xf numFmtId="2" fontId="46" fillId="0" borderId="14" xfId="5" applyNumberFormat="1" applyFont="1" applyBorder="1" applyAlignment="1">
      <alignment horizontal="center" vertical="center" wrapText="1"/>
    </xf>
    <xf numFmtId="0" fontId="43" fillId="0" borderId="1" xfId="5" applyFont="1" applyBorder="1" applyAlignment="1">
      <alignment horizontal="center" vertical="center" wrapText="1"/>
    </xf>
    <xf numFmtId="2" fontId="43" fillId="0" borderId="1" xfId="5" applyNumberFormat="1" applyFont="1" applyBorder="1" applyAlignment="1">
      <alignment horizontal="center" vertical="center" wrapText="1"/>
    </xf>
    <xf numFmtId="164" fontId="50" fillId="0" borderId="5" xfId="0" applyNumberFormat="1" applyFont="1" applyBorder="1" applyAlignment="1">
      <alignment horizontal="right" vertical="center" wrapText="1"/>
    </xf>
    <xf numFmtId="176" fontId="50" fillId="0" borderId="5" xfId="0" applyNumberFormat="1" applyFont="1" applyBorder="1" applyAlignment="1">
      <alignment horizontal="right" vertical="center"/>
    </xf>
    <xf numFmtId="0" fontId="40" fillId="0" borderId="5" xfId="5" applyFont="1" applyBorder="1" applyAlignment="1">
      <alignment vertical="center"/>
    </xf>
    <xf numFmtId="176" fontId="54" fillId="0" borderId="5" xfId="0" applyNumberFormat="1" applyFont="1" applyBorder="1" applyAlignment="1">
      <alignment horizontal="right" vertical="center"/>
    </xf>
    <xf numFmtId="2" fontId="112" fillId="0" borderId="5" xfId="5" applyNumberFormat="1" applyFont="1" applyBorder="1" applyAlignment="1">
      <alignment horizontal="center" vertical="center" wrapText="1"/>
    </xf>
    <xf numFmtId="176" fontId="43" fillId="0" borderId="5" xfId="5" applyNumberFormat="1" applyFont="1" applyBorder="1" applyAlignment="1">
      <alignment horizontal="center" vertical="center" wrapText="1"/>
    </xf>
    <xf numFmtId="4" fontId="43" fillId="0" borderId="5" xfId="5" applyNumberFormat="1" applyFont="1" applyBorder="1" applyAlignment="1">
      <alignment horizontal="center" vertical="center" wrapText="1"/>
    </xf>
    <xf numFmtId="2" fontId="43" fillId="0" borderId="14" xfId="5" applyNumberFormat="1" applyFont="1" applyBorder="1" applyAlignment="1">
      <alignment horizontal="center" vertical="center" wrapText="1"/>
    </xf>
    <xf numFmtId="2" fontId="42" fillId="0" borderId="1" xfId="5" applyNumberFormat="1" applyFont="1" applyBorder="1" applyAlignment="1">
      <alignment horizontal="center" vertical="center" wrapText="1"/>
    </xf>
    <xf numFmtId="177" fontId="43" fillId="0" borderId="5" xfId="5" applyNumberFormat="1" applyFont="1" applyBorder="1" applyAlignment="1">
      <alignment horizontal="center" vertical="center" wrapText="1"/>
    </xf>
    <xf numFmtId="10" fontId="43" fillId="0" borderId="5" xfId="2" applyNumberFormat="1" applyFont="1" applyFill="1" applyBorder="1" applyAlignment="1">
      <alignment horizontal="center" vertical="center" wrapText="1"/>
    </xf>
    <xf numFmtId="169" fontId="43" fillId="0" borderId="5" xfId="2" applyNumberFormat="1" applyFont="1" applyFill="1" applyBorder="1" applyAlignment="1">
      <alignment horizontal="center" vertical="center" wrapText="1"/>
    </xf>
    <xf numFmtId="2" fontId="43" fillId="0" borderId="5" xfId="2" applyNumberFormat="1" applyFont="1" applyFill="1" applyBorder="1" applyAlignment="1">
      <alignment horizontal="center" vertical="center" wrapText="1"/>
    </xf>
    <xf numFmtId="2" fontId="42" fillId="0" borderId="5" xfId="2" applyNumberFormat="1" applyFont="1" applyFill="1" applyBorder="1" applyAlignment="1">
      <alignment horizontal="center" vertical="center" wrapText="1"/>
    </xf>
    <xf numFmtId="0" fontId="37" fillId="0" borderId="24" xfId="5" applyFont="1" applyBorder="1" applyAlignment="1">
      <alignment vertical="top"/>
    </xf>
    <xf numFmtId="0" fontId="42" fillId="2" borderId="0" xfId="5" applyFont="1" applyFill="1" applyAlignment="1">
      <alignment horizontal="left" vertical="center" indent="1"/>
    </xf>
    <xf numFmtId="0" fontId="113" fillId="0" borderId="0" xfId="148" applyFont="1" applyAlignment="1">
      <alignment horizontal="right" vertical="top"/>
    </xf>
    <xf numFmtId="3" fontId="21" fillId="0" borderId="0" xfId="148" applyNumberFormat="1" applyFont="1" applyAlignment="1">
      <alignment vertical="top"/>
    </xf>
    <xf numFmtId="178" fontId="24" fillId="0" borderId="0" xfId="148" applyNumberFormat="1" applyFont="1" applyAlignment="1">
      <alignment horizontal="right" vertical="top"/>
    </xf>
    <xf numFmtId="167" fontId="21" fillId="0" borderId="0" xfId="148" applyNumberFormat="1" applyFont="1" applyAlignment="1">
      <alignment horizontal="right" vertical="top"/>
    </xf>
    <xf numFmtId="178" fontId="24" fillId="0" borderId="2" xfId="148" applyNumberFormat="1" applyFont="1" applyBorder="1" applyAlignment="1">
      <alignment horizontal="left" vertical="center" wrapText="1"/>
    </xf>
    <xf numFmtId="186" fontId="24" fillId="0" borderId="0" xfId="22" applyNumberFormat="1" applyAlignment="1">
      <alignment horizontal="center" vertical="center" wrapText="1"/>
    </xf>
    <xf numFmtId="186" fontId="24" fillId="0" borderId="8" xfId="22" applyNumberFormat="1" applyBorder="1" applyAlignment="1">
      <alignment horizontal="right" vertical="center" wrapText="1"/>
    </xf>
    <xf numFmtId="186" fontId="24" fillId="0" borderId="5" xfId="22" applyNumberFormat="1" applyBorder="1" applyAlignment="1">
      <alignment horizontal="right" vertical="center" wrapText="1"/>
    </xf>
    <xf numFmtId="178" fontId="24" fillId="0" borderId="5" xfId="148" applyNumberFormat="1" applyFont="1" applyBorder="1" applyAlignment="1">
      <alignment vertical="top"/>
    </xf>
    <xf numFmtId="178" fontId="24" fillId="0" borderId="5" xfId="148" applyNumberFormat="1" applyFont="1" applyBorder="1" applyAlignment="1">
      <alignment vertical="top" wrapText="1"/>
    </xf>
    <xf numFmtId="186" fontId="21" fillId="0" borderId="8" xfId="22" applyNumberFormat="1" applyFont="1" applyBorder="1" applyAlignment="1">
      <alignment horizontal="right" vertical="center" wrapText="1"/>
    </xf>
    <xf numFmtId="186" fontId="21" fillId="0" borderId="5" xfId="22" applyNumberFormat="1" applyFont="1" applyBorder="1" applyAlignment="1">
      <alignment horizontal="right" vertical="center" wrapText="1"/>
    </xf>
    <xf numFmtId="167" fontId="24" fillId="0" borderId="8" xfId="22" applyNumberFormat="1" applyBorder="1" applyAlignment="1">
      <alignment vertical="top"/>
    </xf>
    <xf numFmtId="167" fontId="25" fillId="0" borderId="0" xfId="22" applyNumberFormat="1" applyFont="1" applyAlignment="1">
      <alignment vertical="top" wrapText="1"/>
    </xf>
    <xf numFmtId="3" fontId="24" fillId="0" borderId="41" xfId="148" applyNumberFormat="1" applyFont="1" applyBorder="1" applyAlignment="1">
      <alignment horizontal="center" vertical="center"/>
    </xf>
    <xf numFmtId="3" fontId="24" fillId="0" borderId="42" xfId="148" applyNumberFormat="1" applyFont="1" applyBorder="1" applyAlignment="1">
      <alignment horizontal="center" vertical="center"/>
    </xf>
    <xf numFmtId="3" fontId="24" fillId="0" borderId="43" xfId="148" applyNumberFormat="1" applyFont="1" applyBorder="1" applyAlignment="1">
      <alignment horizontal="center" vertical="center"/>
    </xf>
    <xf numFmtId="178" fontId="24" fillId="0" borderId="58" xfId="148" applyNumberFormat="1" applyFont="1" applyBorder="1" applyAlignment="1">
      <alignment vertical="top"/>
    </xf>
    <xf numFmtId="167" fontId="24" fillId="0" borderId="62" xfId="22" applyNumberFormat="1" applyBorder="1" applyAlignment="1">
      <alignment vertical="top"/>
    </xf>
    <xf numFmtId="10" fontId="21" fillId="0" borderId="40" xfId="2" applyNumberFormat="1" applyFont="1" applyBorder="1" applyAlignment="1">
      <alignment horizontal="center" vertical="center"/>
    </xf>
    <xf numFmtId="3" fontId="24" fillId="0" borderId="0" xfId="148" applyNumberFormat="1" applyFont="1" applyAlignment="1">
      <alignment horizontal="center" vertical="center"/>
    </xf>
    <xf numFmtId="178" fontId="24" fillId="0" borderId="0" xfId="148" applyNumberFormat="1" applyFont="1" applyAlignment="1">
      <alignment vertical="top"/>
    </xf>
    <xf numFmtId="10" fontId="21" fillId="0" borderId="0" xfId="2" applyNumberFormat="1" applyFont="1" applyBorder="1" applyAlignment="1">
      <alignment horizontal="center" vertical="center"/>
    </xf>
    <xf numFmtId="3" fontId="24" fillId="0" borderId="56" xfId="148" applyNumberFormat="1" applyFont="1" applyBorder="1" applyAlignment="1">
      <alignment horizontal="center" vertical="center"/>
    </xf>
    <xf numFmtId="178" fontId="24" fillId="0" borderId="57" xfId="148" applyNumberFormat="1" applyFont="1" applyBorder="1" applyAlignment="1">
      <alignment horizontal="left" vertical="top" wrapText="1"/>
    </xf>
    <xf numFmtId="186" fontId="24" fillId="0" borderId="37" xfId="22" applyNumberFormat="1" applyBorder="1" applyAlignment="1">
      <alignment horizontal="right" vertical="center" wrapText="1"/>
    </xf>
    <xf numFmtId="186" fontId="24" fillId="0" borderId="2" xfId="22" applyNumberFormat="1" applyBorder="1" applyAlignment="1">
      <alignment horizontal="center" vertical="center" wrapText="1"/>
    </xf>
    <xf numFmtId="186" fontId="24" fillId="0" borderId="57" xfId="22" applyNumberFormat="1" applyBorder="1" applyAlignment="1">
      <alignment horizontal="right" vertical="center" wrapText="1"/>
    </xf>
    <xf numFmtId="167" fontId="24" fillId="0" borderId="5" xfId="22" applyNumberFormat="1" applyBorder="1" applyAlignment="1">
      <alignment vertical="top"/>
    </xf>
    <xf numFmtId="167" fontId="24" fillId="0" borderId="58" xfId="22" applyNumberFormat="1" applyBorder="1" applyAlignment="1">
      <alignment vertical="top"/>
    </xf>
    <xf numFmtId="10" fontId="0" fillId="0" borderId="0" xfId="2" applyNumberFormat="1" applyFont="1" applyAlignment="1">
      <alignment vertical="top"/>
    </xf>
    <xf numFmtId="167" fontId="114" fillId="0" borderId="0" xfId="0" applyFont="1" applyAlignment="1">
      <alignment horizontal="center" vertical="center"/>
    </xf>
    <xf numFmtId="167" fontId="115" fillId="0" borderId="0" xfId="0" applyFont="1"/>
    <xf numFmtId="167" fontId="114" fillId="0" borderId="0" xfId="0" applyFont="1"/>
    <xf numFmtId="167" fontId="116" fillId="0" borderId="0" xfId="0" applyFont="1"/>
    <xf numFmtId="167" fontId="56" fillId="0" borderId="0" xfId="0" applyFont="1" applyAlignment="1">
      <alignment horizontal="right" vertical="top"/>
    </xf>
    <xf numFmtId="178" fontId="21" fillId="0" borderId="61" xfId="148" applyNumberFormat="1" applyFont="1" applyBorder="1" applyAlignment="1">
      <alignment horizontal="center" vertical="top" wrapText="1"/>
    </xf>
    <xf numFmtId="178" fontId="21" fillId="0" borderId="58" xfId="148" applyNumberFormat="1" applyFont="1" applyBorder="1" applyAlignment="1">
      <alignment horizontal="center" vertical="top" wrapText="1"/>
    </xf>
    <xf numFmtId="178" fontId="21" fillId="0" borderId="40" xfId="148" applyNumberFormat="1" applyFont="1" applyBorder="1" applyAlignment="1">
      <alignment horizontal="center" vertical="top" wrapText="1"/>
    </xf>
    <xf numFmtId="186" fontId="24" fillId="0" borderId="9" xfId="22" applyNumberFormat="1" applyBorder="1" applyAlignment="1">
      <alignment horizontal="right" vertical="center" wrapText="1"/>
    </xf>
    <xf numFmtId="186" fontId="24" fillId="0" borderId="36" xfId="22" applyNumberFormat="1" applyBorder="1" applyAlignment="1">
      <alignment horizontal="right" vertical="center" wrapText="1"/>
    </xf>
    <xf numFmtId="186" fontId="24" fillId="0" borderId="14" xfId="22" applyNumberFormat="1" applyBorder="1" applyAlignment="1">
      <alignment horizontal="right" vertical="center" wrapText="1"/>
    </xf>
    <xf numFmtId="186" fontId="21" fillId="0" borderId="14" xfId="22" applyNumberFormat="1" applyFont="1" applyBorder="1" applyAlignment="1">
      <alignment horizontal="right" vertical="center" wrapText="1"/>
    </xf>
    <xf numFmtId="10" fontId="21" fillId="0" borderId="14" xfId="2" applyNumberFormat="1" applyFont="1" applyBorder="1" applyAlignment="1">
      <alignment horizontal="center" vertical="center"/>
    </xf>
    <xf numFmtId="3" fontId="24" fillId="0" borderId="63" xfId="148" applyNumberFormat="1" applyFont="1" applyBorder="1" applyAlignment="1">
      <alignment horizontal="center" vertical="center"/>
    </xf>
    <xf numFmtId="178" fontId="24" fillId="0" borderId="38" xfId="148" applyNumberFormat="1" applyFont="1" applyBorder="1" applyAlignment="1">
      <alignment horizontal="left" vertical="center" wrapText="1"/>
    </xf>
    <xf numFmtId="186" fontId="24" fillId="0" borderId="19" xfId="22" applyNumberFormat="1" applyBorder="1" applyAlignment="1">
      <alignment horizontal="center" vertical="center" wrapText="1"/>
    </xf>
    <xf numFmtId="186" fontId="24" fillId="0" borderId="38" xfId="22" applyNumberFormat="1" applyBorder="1" applyAlignment="1">
      <alignment horizontal="center" vertical="center" wrapText="1"/>
    </xf>
    <xf numFmtId="186" fontId="24" fillId="0" borderId="64" xfId="22" applyNumberFormat="1" applyBorder="1" applyAlignment="1">
      <alignment horizontal="right" vertical="center" wrapText="1"/>
    </xf>
    <xf numFmtId="10" fontId="21" fillId="0" borderId="39" xfId="2" applyNumberFormat="1" applyFont="1" applyBorder="1" applyAlignment="1">
      <alignment vertical="top"/>
    </xf>
    <xf numFmtId="167" fontId="0" fillId="0" borderId="19" xfId="0" applyBorder="1" applyAlignment="1">
      <alignment vertical="top"/>
    </xf>
    <xf numFmtId="186" fontId="0" fillId="0" borderId="55" xfId="0" applyNumberFormat="1" applyBorder="1" applyAlignment="1">
      <alignment horizontal="right" vertical="center"/>
    </xf>
    <xf numFmtId="186" fontId="24" fillId="0" borderId="55" xfId="0" applyNumberFormat="1" applyFont="1" applyBorder="1" applyAlignment="1">
      <alignment horizontal="right" vertical="center"/>
    </xf>
    <xf numFmtId="186" fontId="0" fillId="0" borderId="59" xfId="0" applyNumberFormat="1" applyBorder="1" applyAlignment="1">
      <alignment horizontal="right" vertical="center"/>
    </xf>
    <xf numFmtId="186" fontId="0" fillId="0" borderId="60" xfId="0" applyNumberFormat="1" applyBorder="1" applyAlignment="1">
      <alignment horizontal="right" vertical="center"/>
    </xf>
    <xf numFmtId="186" fontId="0" fillId="0" borderId="39" xfId="0" applyNumberFormat="1" applyBorder="1" applyAlignment="1">
      <alignment horizontal="right" vertical="center"/>
    </xf>
    <xf numFmtId="167" fontId="0" fillId="0" borderId="0" xfId="0" applyAlignment="1">
      <alignment horizontal="center"/>
    </xf>
    <xf numFmtId="167" fontId="21" fillId="0" borderId="0" xfId="0" applyFont="1" applyAlignment="1">
      <alignment horizontal="center"/>
    </xf>
    <xf numFmtId="167" fontId="75" fillId="0" borderId="0" xfId="0" applyFont="1" applyAlignment="1">
      <alignment horizontal="center"/>
    </xf>
    <xf numFmtId="167" fontId="28" fillId="0" borderId="0" xfId="0" applyFont="1" applyAlignment="1">
      <alignment horizontal="center"/>
    </xf>
    <xf numFmtId="167" fontId="24" fillId="0" borderId="11" xfId="0" applyFont="1" applyBorder="1" applyAlignment="1">
      <alignment horizontal="justify" vertical="top" wrapText="1"/>
    </xf>
    <xf numFmtId="167" fontId="0" fillId="0" borderId="11" xfId="0" applyBorder="1" applyAlignment="1">
      <alignment horizontal="justify" vertical="top" wrapText="1"/>
    </xf>
    <xf numFmtId="167" fontId="21" fillId="0" borderId="0" xfId="0" applyFont="1" applyAlignment="1">
      <alignment horizontal="center" vertical="top" wrapText="1"/>
    </xf>
    <xf numFmtId="0" fontId="24" fillId="0" borderId="14" xfId="21" applyNumberFormat="1" applyBorder="1" applyAlignment="1">
      <alignment horizontal="left" vertical="top" wrapText="1"/>
    </xf>
    <xf numFmtId="0" fontId="24" fillId="0" borderId="8" xfId="21" applyNumberFormat="1" applyBorder="1" applyAlignment="1">
      <alignment horizontal="left" vertical="top" wrapText="1"/>
    </xf>
    <xf numFmtId="0" fontId="24" fillId="0" borderId="13" xfId="21" applyNumberFormat="1" applyBorder="1" applyAlignment="1">
      <alignment horizontal="left" vertical="top" wrapText="1"/>
    </xf>
    <xf numFmtId="0" fontId="27" fillId="0" borderId="0" xfId="21" applyNumberFormat="1" applyFont="1" applyAlignment="1">
      <alignment horizontal="center"/>
    </xf>
    <xf numFmtId="167" fontId="27" fillId="0" borderId="0" xfId="21" applyFont="1" applyAlignment="1">
      <alignment horizontal="center"/>
    </xf>
    <xf numFmtId="167" fontId="27" fillId="0" borderId="0" xfId="21" applyFont="1" applyAlignment="1">
      <alignment horizontal="center" vertical="center" wrapText="1"/>
    </xf>
    <xf numFmtId="0" fontId="21" fillId="0" borderId="0" xfId="21" applyNumberFormat="1" applyFont="1" applyAlignment="1">
      <alignment horizontal="center" vertical="center"/>
    </xf>
    <xf numFmtId="0" fontId="21" fillId="0" borderId="14" xfId="21" applyNumberFormat="1" applyFont="1" applyBorder="1" applyAlignment="1">
      <alignment horizontal="left" vertical="top"/>
    </xf>
    <xf numFmtId="0" fontId="21" fillId="0" borderId="8" xfId="21" applyNumberFormat="1" applyFont="1" applyBorder="1" applyAlignment="1">
      <alignment horizontal="left" vertical="top"/>
    </xf>
    <xf numFmtId="0" fontId="21" fillId="0" borderId="13" xfId="21" applyNumberFormat="1" applyFont="1" applyBorder="1" applyAlignment="1">
      <alignment horizontal="left" vertical="top"/>
    </xf>
    <xf numFmtId="0" fontId="21" fillId="0" borderId="14" xfId="21" applyNumberFormat="1" applyFont="1" applyBorder="1" applyAlignment="1">
      <alignment horizontal="left" vertical="top" wrapText="1"/>
    </xf>
    <xf numFmtId="0" fontId="21" fillId="0" borderId="8" xfId="21" applyNumberFormat="1" applyFont="1" applyBorder="1" applyAlignment="1">
      <alignment horizontal="left" vertical="top" wrapText="1"/>
    </xf>
    <xf numFmtId="0" fontId="21" fillId="0" borderId="13" xfId="21" applyNumberFormat="1" applyFont="1" applyBorder="1" applyAlignment="1">
      <alignment horizontal="left" vertical="top" wrapText="1"/>
    </xf>
    <xf numFmtId="0" fontId="24" fillId="0" borderId="0" xfId="21" applyNumberFormat="1" applyAlignment="1">
      <alignment horizontal="center" vertical="top" wrapText="1"/>
    </xf>
    <xf numFmtId="0" fontId="24" fillId="7" borderId="5" xfId="21" applyNumberFormat="1" applyFill="1" applyBorder="1" applyAlignment="1">
      <alignment horizontal="left" vertical="top" wrapText="1"/>
    </xf>
    <xf numFmtId="0" fontId="24" fillId="0" borderId="14" xfId="21" applyNumberFormat="1" applyBorder="1" applyAlignment="1">
      <alignment horizontal="left" vertical="top"/>
    </xf>
    <xf numFmtId="0" fontId="24" fillId="0" borderId="8" xfId="21" applyNumberFormat="1" applyBorder="1" applyAlignment="1">
      <alignment horizontal="left" vertical="top"/>
    </xf>
    <xf numFmtId="0" fontId="24" fillId="0" borderId="13" xfId="21" applyNumberFormat="1" applyBorder="1" applyAlignment="1">
      <alignment horizontal="left" vertical="top"/>
    </xf>
    <xf numFmtId="167" fontId="24" fillId="0" borderId="0" xfId="21" applyAlignment="1">
      <alignment horizontal="center"/>
    </xf>
    <xf numFmtId="167" fontId="21" fillId="0" borderId="5" xfId="21" applyFont="1" applyBorder="1" applyAlignment="1">
      <alignment horizontal="center" vertical="top"/>
    </xf>
    <xf numFmtId="167" fontId="27" fillId="0" borderId="14" xfId="21" applyFont="1" applyBorder="1" applyAlignment="1">
      <alignment horizontal="center"/>
    </xf>
    <xf numFmtId="167" fontId="27" fillId="0" borderId="8" xfId="21" applyFont="1" applyBorder="1" applyAlignment="1">
      <alignment horizontal="center"/>
    </xf>
    <xf numFmtId="167" fontId="27" fillId="0" borderId="13" xfId="21" applyFont="1" applyBorder="1" applyAlignment="1">
      <alignment horizontal="center"/>
    </xf>
    <xf numFmtId="167" fontId="27" fillId="0" borderId="0" xfId="21" applyFont="1" applyAlignment="1">
      <alignment horizontal="center" vertical="top"/>
    </xf>
    <xf numFmtId="167" fontId="27" fillId="0" borderId="0" xfId="21" applyFont="1" applyAlignment="1">
      <alignment horizontal="center" vertical="top" wrapText="1"/>
    </xf>
    <xf numFmtId="167" fontId="21" fillId="0" borderId="14" xfId="21" applyFont="1" applyBorder="1" applyAlignment="1">
      <alignment horizontal="center" vertical="top"/>
    </xf>
    <xf numFmtId="167" fontId="21" fillId="0" borderId="8" xfId="21" applyFont="1" applyBorder="1" applyAlignment="1">
      <alignment horizontal="center" vertical="top"/>
    </xf>
    <xf numFmtId="167" fontId="21" fillId="0" borderId="13" xfId="21" applyFont="1" applyBorder="1" applyAlignment="1">
      <alignment horizontal="center" vertical="top"/>
    </xf>
    <xf numFmtId="0" fontId="28" fillId="0" borderId="1" xfId="5" applyFont="1" applyBorder="1" applyAlignment="1">
      <alignment horizontal="center" vertical="top" wrapText="1"/>
    </xf>
    <xf numFmtId="0" fontId="28" fillId="0" borderId="2" xfId="5" applyFont="1" applyBorder="1" applyAlignment="1">
      <alignment horizontal="center" vertical="top" wrapText="1"/>
    </xf>
    <xf numFmtId="0" fontId="28" fillId="0" borderId="10" xfId="5" applyFont="1" applyBorder="1" applyAlignment="1">
      <alignment horizontal="center" vertical="top" wrapText="1"/>
    </xf>
    <xf numFmtId="0" fontId="40" fillId="0" borderId="0" xfId="5" applyFont="1" applyAlignment="1">
      <alignment horizontal="right" vertical="top"/>
    </xf>
    <xf numFmtId="0" fontId="40" fillId="0" borderId="0" xfId="5" applyFont="1" applyAlignment="1">
      <alignment vertical="center" wrapText="1"/>
    </xf>
    <xf numFmtId="0" fontId="45" fillId="0" borderId="25" xfId="5" applyFont="1" applyBorder="1" applyAlignment="1">
      <alignment horizontal="center" vertical="top" wrapText="1"/>
    </xf>
    <xf numFmtId="0" fontId="45" fillId="0" borderId="7" xfId="5" applyFont="1" applyBorder="1" applyAlignment="1">
      <alignment horizontal="center" vertical="top" wrapText="1"/>
    </xf>
    <xf numFmtId="0" fontId="45" fillId="0" borderId="12" xfId="5" applyFont="1" applyBorder="1" applyAlignment="1">
      <alignment horizontal="center" vertical="top" wrapText="1"/>
    </xf>
    <xf numFmtId="0" fontId="45" fillId="0" borderId="6" xfId="5" applyFont="1" applyBorder="1" applyAlignment="1">
      <alignment horizontal="center" vertical="top" wrapText="1"/>
    </xf>
    <xf numFmtId="0" fontId="42" fillId="0" borderId="14" xfId="5" applyFont="1" applyBorder="1" applyAlignment="1">
      <alignment horizontal="center" vertical="top"/>
    </xf>
    <xf numFmtId="0" fontId="42" fillId="0" borderId="8" xfId="5" applyFont="1" applyBorder="1" applyAlignment="1">
      <alignment horizontal="center" vertical="top"/>
    </xf>
    <xf numFmtId="0" fontId="42" fillId="0" borderId="13" xfId="5" applyFont="1" applyBorder="1" applyAlignment="1">
      <alignment horizontal="center" vertical="top"/>
    </xf>
    <xf numFmtId="0" fontId="40" fillId="0" borderId="0" xfId="5" applyFont="1" applyAlignment="1">
      <alignment horizontal="left" vertical="center" wrapText="1"/>
    </xf>
    <xf numFmtId="0" fontId="42" fillId="0" borderId="28" xfId="5" applyFont="1" applyBorder="1" applyAlignment="1">
      <alignment horizontal="center" vertical="top" wrapText="1"/>
    </xf>
    <xf numFmtId="0" fontId="42" fillId="0" borderId="27" xfId="5" applyFont="1" applyBorder="1" applyAlignment="1">
      <alignment horizontal="center" vertical="top" wrapText="1"/>
    </xf>
    <xf numFmtId="2" fontId="42" fillId="0" borderId="28" xfId="5" applyNumberFormat="1" applyFont="1" applyBorder="1" applyAlignment="1">
      <alignment horizontal="center" vertical="top" wrapText="1"/>
    </xf>
    <xf numFmtId="2" fontId="42" fillId="0" borderId="27" xfId="5" applyNumberFormat="1" applyFont="1" applyBorder="1" applyAlignment="1">
      <alignment horizontal="center" vertical="top" wrapText="1"/>
    </xf>
    <xf numFmtId="0" fontId="40" fillId="0" borderId="28" xfId="5" applyFont="1" applyBorder="1" applyAlignment="1">
      <alignment horizontal="left" vertical="center" wrapText="1"/>
    </xf>
    <xf numFmtId="0" fontId="40" fillId="0" borderId="27" xfId="5" applyFont="1" applyBorder="1" applyAlignment="1">
      <alignment horizontal="left" vertical="center" wrapText="1"/>
    </xf>
    <xf numFmtId="0" fontId="42" fillId="0" borderId="32" xfId="5" applyFont="1" applyBorder="1" applyAlignment="1">
      <alignment horizontal="center" vertical="center" wrapText="1"/>
    </xf>
    <xf numFmtId="0" fontId="42" fillId="0" borderId="33" xfId="5" applyFont="1" applyBorder="1" applyAlignment="1">
      <alignment horizontal="center" vertical="center" wrapText="1"/>
    </xf>
    <xf numFmtId="0" fontId="42" fillId="0" borderId="23" xfId="5" applyFont="1" applyBorder="1" applyAlignment="1">
      <alignment horizontal="center" vertical="center" wrapText="1"/>
    </xf>
    <xf numFmtId="0" fontId="42" fillId="0" borderId="24" xfId="5" applyFont="1" applyBorder="1" applyAlignment="1">
      <alignment horizontal="center" vertical="center" wrapText="1"/>
    </xf>
    <xf numFmtId="0" fontId="40" fillId="0" borderId="28" xfId="5" applyFont="1" applyBorder="1" applyAlignment="1">
      <alignment horizontal="center" vertical="top" wrapText="1"/>
    </xf>
    <xf numFmtId="0" fontId="40" fillId="0" borderId="27" xfId="5" applyFont="1" applyBorder="1" applyAlignment="1">
      <alignment horizontal="center" vertical="top" wrapText="1"/>
    </xf>
    <xf numFmtId="0" fontId="40" fillId="0" borderId="0" xfId="5" applyFont="1" applyAlignment="1">
      <alignment horizontal="left" vertical="top" wrapText="1"/>
    </xf>
    <xf numFmtId="0" fontId="40" fillId="0" borderId="0" xfId="5" applyFont="1" applyAlignment="1">
      <alignment vertical="center"/>
    </xf>
    <xf numFmtId="0" fontId="46" fillId="0" borderId="0" xfId="5" applyFont="1" applyAlignment="1">
      <alignment horizontal="left" vertical="center"/>
    </xf>
    <xf numFmtId="0" fontId="42" fillId="0" borderId="30" xfId="5" applyFont="1" applyBorder="1" applyAlignment="1">
      <alignment horizontal="center" vertical="center" wrapText="1"/>
    </xf>
    <xf numFmtId="0" fontId="42" fillId="0" borderId="29" xfId="5" applyFont="1" applyBorder="1" applyAlignment="1">
      <alignment horizontal="center" vertical="center" wrapText="1"/>
    </xf>
    <xf numFmtId="171" fontId="42" fillId="0" borderId="0" xfId="5" applyNumberFormat="1" applyFont="1" applyAlignment="1">
      <alignment horizontal="left" vertical="center"/>
    </xf>
    <xf numFmtId="171" fontId="40" fillId="0" borderId="0" xfId="5" applyNumberFormat="1" applyFont="1" applyAlignment="1">
      <alignment horizontal="left" vertical="center"/>
    </xf>
    <xf numFmtId="0" fontId="43" fillId="0" borderId="5" xfId="5" applyFont="1" applyBorder="1" applyAlignment="1">
      <alignment horizontal="center" vertical="top" wrapText="1"/>
    </xf>
    <xf numFmtId="0" fontId="43" fillId="0" borderId="14" xfId="5" applyFont="1" applyBorder="1" applyAlignment="1">
      <alignment horizontal="center" vertical="top" wrapText="1"/>
    </xf>
    <xf numFmtId="0" fontId="43" fillId="0" borderId="4" xfId="5" applyFont="1" applyBorder="1" applyAlignment="1">
      <alignment horizontal="center" vertical="top" wrapText="1"/>
    </xf>
    <xf numFmtId="0" fontId="43" fillId="0" borderId="8" xfId="5" applyFont="1" applyBorder="1" applyAlignment="1">
      <alignment horizontal="center" vertical="top" wrapText="1"/>
    </xf>
    <xf numFmtId="0" fontId="43" fillId="0" borderId="13" xfId="5" applyFont="1" applyBorder="1" applyAlignment="1">
      <alignment horizontal="center" vertical="top" wrapText="1"/>
    </xf>
    <xf numFmtId="0" fontId="43" fillId="0" borderId="0" xfId="5" applyFont="1" applyAlignment="1">
      <alignment horizontal="left" vertical="top" wrapText="1"/>
    </xf>
    <xf numFmtId="0" fontId="49" fillId="0" borderId="0" xfId="5" applyFont="1" applyAlignment="1">
      <alignment horizontal="left" vertical="top" wrapText="1"/>
    </xf>
    <xf numFmtId="0" fontId="42" fillId="0" borderId="12" xfId="5" applyFont="1" applyBorder="1" applyAlignment="1">
      <alignment horizontal="left" vertical="center"/>
    </xf>
    <xf numFmtId="0" fontId="42" fillId="0" borderId="4" xfId="5" applyFont="1" applyBorder="1" applyAlignment="1">
      <alignment horizontal="left" vertical="center"/>
    </xf>
    <xf numFmtId="0" fontId="42" fillId="0" borderId="6" xfId="5" applyFont="1" applyBorder="1" applyAlignment="1">
      <alignment horizontal="left" vertical="center"/>
    </xf>
    <xf numFmtId="0" fontId="42" fillId="0" borderId="31" xfId="5" applyFont="1" applyBorder="1" applyAlignment="1">
      <alignment horizontal="center" vertical="top" wrapText="1"/>
    </xf>
    <xf numFmtId="2" fontId="46" fillId="0" borderId="0" xfId="5" applyNumberFormat="1" applyFont="1" applyAlignment="1">
      <alignment horizontal="right" vertical="top"/>
    </xf>
    <xf numFmtId="2" fontId="46" fillId="0" borderId="34" xfId="5" applyNumberFormat="1" applyFont="1" applyBorder="1" applyAlignment="1">
      <alignment horizontal="right" vertical="top"/>
    </xf>
    <xf numFmtId="0" fontId="40" fillId="0" borderId="5" xfId="5" applyFont="1" applyBorder="1" applyAlignment="1">
      <alignment horizontal="center"/>
    </xf>
    <xf numFmtId="0" fontId="46" fillId="0" borderId="0" xfId="5" applyFont="1" applyAlignment="1">
      <alignment horizontal="left" vertical="center" wrapText="1"/>
    </xf>
    <xf numFmtId="0" fontId="40" fillId="0" borderId="0" xfId="5" applyFont="1" applyAlignment="1">
      <alignment horizontal="right" vertical="center" wrapText="1"/>
    </xf>
    <xf numFmtId="0" fontId="40" fillId="0" borderId="34" xfId="5" applyFont="1" applyBorder="1" applyAlignment="1">
      <alignment horizontal="right" vertical="center" wrapText="1"/>
    </xf>
    <xf numFmtId="175" fontId="42" fillId="0" borderId="28" xfId="5" applyNumberFormat="1" applyFont="1" applyBorder="1" applyAlignment="1">
      <alignment horizontal="left" vertical="top"/>
    </xf>
    <xf numFmtId="175" fontId="42" fillId="0" borderId="27" xfId="5" applyNumberFormat="1" applyFont="1" applyBorder="1" applyAlignment="1">
      <alignment horizontal="left" vertical="top"/>
    </xf>
    <xf numFmtId="0" fontId="40" fillId="0" borderId="5" xfId="5" applyFont="1" applyBorder="1" applyAlignment="1">
      <alignment horizontal="center" vertical="top" wrapText="1"/>
    </xf>
    <xf numFmtId="0" fontId="40" fillId="0" borderId="5" xfId="5" applyFont="1" applyBorder="1" applyAlignment="1">
      <alignment horizontal="center" vertical="center" wrapText="1"/>
    </xf>
    <xf numFmtId="2" fontId="42" fillId="0" borderId="32" xfId="5" applyNumberFormat="1" applyFont="1" applyBorder="1" applyAlignment="1">
      <alignment horizontal="center" vertical="top" wrapText="1"/>
    </xf>
    <xf numFmtId="2" fontId="42" fillId="0" borderId="33" xfId="5" applyNumberFormat="1" applyFont="1" applyBorder="1" applyAlignment="1">
      <alignment horizontal="center" vertical="top" wrapText="1"/>
    </xf>
    <xf numFmtId="0" fontId="40" fillId="0" borderId="28" xfId="5" applyFont="1" applyBorder="1" applyAlignment="1">
      <alignment horizontal="left" vertical="top" wrapText="1"/>
    </xf>
    <xf numFmtId="0" fontId="40" fillId="0" borderId="27" xfId="5" applyFont="1" applyBorder="1" applyAlignment="1">
      <alignment horizontal="left" vertical="top" wrapText="1"/>
    </xf>
    <xf numFmtId="0" fontId="42" fillId="0" borderId="5" xfId="5" applyFont="1" applyBorder="1" applyAlignment="1">
      <alignment horizontal="center" vertical="center" wrapText="1"/>
    </xf>
    <xf numFmtId="2" fontId="40" fillId="0" borderId="28" xfId="5" applyNumberFormat="1" applyFont="1" applyBorder="1" applyAlignment="1">
      <alignment horizontal="center" vertical="top" wrapText="1"/>
    </xf>
    <xf numFmtId="2" fontId="40" fillId="0" borderId="27" xfId="5" applyNumberFormat="1" applyFont="1" applyBorder="1" applyAlignment="1">
      <alignment horizontal="center" vertical="top" wrapText="1"/>
    </xf>
    <xf numFmtId="2" fontId="42" fillId="0" borderId="23" xfId="5" applyNumberFormat="1" applyFont="1" applyBorder="1" applyAlignment="1">
      <alignment horizontal="center" vertical="top" wrapText="1"/>
    </xf>
    <xf numFmtId="2" fontId="42" fillId="0" borderId="24" xfId="5" applyNumberFormat="1" applyFont="1" applyBorder="1" applyAlignment="1">
      <alignment horizontal="center" vertical="top" wrapText="1"/>
    </xf>
    <xf numFmtId="0" fontId="40" fillId="0" borderId="14" xfId="5" applyFont="1" applyBorder="1" applyAlignment="1">
      <alignment horizontal="center" vertical="top" wrapText="1"/>
    </xf>
    <xf numFmtId="0" fontId="40" fillId="0" borderId="8" xfId="5" applyFont="1" applyBorder="1" applyAlignment="1">
      <alignment horizontal="center" vertical="top" wrapText="1"/>
    </xf>
    <xf numFmtId="0" fontId="40" fillId="0" borderId="13" xfId="5" applyFont="1" applyBorder="1" applyAlignment="1">
      <alignment horizontal="center" vertical="top" wrapText="1"/>
    </xf>
    <xf numFmtId="2" fontId="42" fillId="0" borderId="28" xfId="5" applyNumberFormat="1" applyFont="1" applyBorder="1" applyAlignment="1">
      <alignment horizontal="center" vertical="center"/>
    </xf>
    <xf numFmtId="2" fontId="42" fillId="0" borderId="27" xfId="5" applyNumberFormat="1" applyFont="1" applyBorder="1" applyAlignment="1">
      <alignment horizontal="center" vertical="center"/>
    </xf>
    <xf numFmtId="9" fontId="40" fillId="0" borderId="28" xfId="5" applyNumberFormat="1" applyFont="1" applyBorder="1" applyAlignment="1">
      <alignment horizontal="center"/>
    </xf>
    <xf numFmtId="9" fontId="40" fillId="0" borderId="27" xfId="5" applyNumberFormat="1" applyFont="1" applyBorder="1" applyAlignment="1">
      <alignment horizontal="center"/>
    </xf>
    <xf numFmtId="0" fontId="46" fillId="0" borderId="0" xfId="5" applyFont="1" applyAlignment="1">
      <alignment horizontal="right" vertical="top" wrapText="1"/>
    </xf>
    <xf numFmtId="0" fontId="46" fillId="0" borderId="34" xfId="5" applyFont="1" applyBorder="1" applyAlignment="1">
      <alignment horizontal="right" vertical="top" wrapText="1"/>
    </xf>
    <xf numFmtId="9" fontId="40" fillId="0" borderId="32" xfId="5" quotePrefix="1" applyNumberFormat="1" applyFont="1" applyBorder="1" applyAlignment="1">
      <alignment horizontal="center" vertical="top" wrapText="1"/>
    </xf>
    <xf numFmtId="0" fontId="40" fillId="0" borderId="33" xfId="5" applyFont="1" applyBorder="1" applyAlignment="1">
      <alignment horizontal="center" vertical="top" wrapText="1"/>
    </xf>
    <xf numFmtId="167" fontId="17" fillId="0" borderId="5" xfId="15" applyNumberFormat="1" applyBorder="1" applyAlignment="1">
      <alignment horizontal="center"/>
    </xf>
    <xf numFmtId="167" fontId="19" fillId="0" borderId="5" xfId="15" applyNumberFormat="1" applyFont="1" applyBorder="1" applyAlignment="1">
      <alignment horizontal="center"/>
    </xf>
    <xf numFmtId="167" fontId="27" fillId="0" borderId="0" xfId="22" applyNumberFormat="1" applyFont="1" applyAlignment="1">
      <alignment horizontal="center"/>
    </xf>
    <xf numFmtId="167" fontId="27" fillId="2" borderId="0" xfId="22" applyNumberFormat="1" applyFont="1" applyFill="1" applyAlignment="1">
      <alignment horizontal="center"/>
    </xf>
    <xf numFmtId="167" fontId="27" fillId="2" borderId="0" xfId="22" applyNumberFormat="1" applyFont="1" applyFill="1" applyAlignment="1">
      <alignment horizontal="center" vertical="center" wrapText="1"/>
    </xf>
    <xf numFmtId="167" fontId="21" fillId="0" borderId="0" xfId="22" applyNumberFormat="1" applyFont="1" applyAlignment="1">
      <alignment horizontal="center"/>
    </xf>
    <xf numFmtId="167" fontId="21" fillId="2" borderId="0" xfId="22" applyNumberFormat="1" applyFont="1" applyFill="1" applyAlignment="1">
      <alignment horizontal="center"/>
    </xf>
    <xf numFmtId="2" fontId="24" fillId="0" borderId="12" xfId="22" applyNumberFormat="1" applyBorder="1" applyAlignment="1">
      <alignment horizontal="center" vertical="top"/>
    </xf>
    <xf numFmtId="2" fontId="24" fillId="0" borderId="4" xfId="22" applyNumberFormat="1" applyBorder="1" applyAlignment="1">
      <alignment horizontal="center" vertical="top"/>
    </xf>
    <xf numFmtId="2" fontId="24" fillId="0" borderId="6" xfId="22" applyNumberFormat="1" applyBorder="1" applyAlignment="1">
      <alignment horizontal="center" vertical="top"/>
    </xf>
    <xf numFmtId="167" fontId="21" fillId="0" borderId="14" xfId="0" applyFont="1" applyBorder="1" applyAlignment="1">
      <alignment horizontal="right" vertical="center"/>
    </xf>
    <xf numFmtId="167" fontId="21" fillId="0" borderId="8" xfId="0" applyFont="1" applyBorder="1" applyAlignment="1">
      <alignment horizontal="right" vertical="center"/>
    </xf>
    <xf numFmtId="167" fontId="21" fillId="0" borderId="13" xfId="0" applyFont="1" applyBorder="1" applyAlignment="1">
      <alignment horizontal="right" vertical="center"/>
    </xf>
    <xf numFmtId="167" fontId="75" fillId="0" borderId="0" xfId="0" applyFont="1" applyAlignment="1">
      <alignment horizontal="right" vertical="center"/>
    </xf>
    <xf numFmtId="167" fontId="27" fillId="0" borderId="14" xfId="0" applyFont="1" applyBorder="1" applyAlignment="1">
      <alignment horizontal="right" vertical="center"/>
    </xf>
    <xf numFmtId="167" fontId="27" fillId="0" borderId="8" xfId="0" applyFont="1" applyBorder="1" applyAlignment="1">
      <alignment horizontal="right" vertical="center"/>
    </xf>
    <xf numFmtId="167" fontId="27" fillId="0" borderId="13" xfId="0" applyFont="1" applyBorder="1" applyAlignment="1">
      <alignment horizontal="right" vertical="center"/>
    </xf>
    <xf numFmtId="167" fontId="110" fillId="0" borderId="0" xfId="0" applyFont="1" applyAlignment="1">
      <alignment vertical="center"/>
    </xf>
    <xf numFmtId="167" fontId="90" fillId="0" borderId="5" xfId="0" applyFont="1" applyBorder="1" applyAlignment="1">
      <alignment horizontal="center" vertical="center"/>
    </xf>
    <xf numFmtId="167" fontId="21" fillId="0" borderId="28" xfId="22" applyNumberFormat="1" applyFont="1" applyBorder="1" applyAlignment="1">
      <alignment horizontal="center" vertical="top" wrapText="1"/>
    </xf>
    <xf numFmtId="167" fontId="21" fillId="0" borderId="31" xfId="22" applyNumberFormat="1" applyFont="1" applyBorder="1" applyAlignment="1">
      <alignment horizontal="center" vertical="top" wrapText="1"/>
    </xf>
    <xf numFmtId="167" fontId="21" fillId="0" borderId="27" xfId="22" applyNumberFormat="1" applyFont="1" applyBorder="1" applyAlignment="1">
      <alignment horizontal="center" vertical="top" wrapText="1"/>
    </xf>
    <xf numFmtId="178" fontId="21" fillId="0" borderId="21" xfId="148" applyNumberFormat="1" applyFont="1" applyBorder="1" applyAlignment="1">
      <alignment horizontal="center" vertical="top" wrapText="1"/>
    </xf>
    <xf numFmtId="178" fontId="21" fillId="0" borderId="22" xfId="148" applyNumberFormat="1" applyFont="1" applyBorder="1" applyAlignment="1">
      <alignment horizontal="center" vertical="top" wrapText="1"/>
    </xf>
    <xf numFmtId="178" fontId="21" fillId="0" borderId="33" xfId="148" applyNumberFormat="1" applyFont="1" applyBorder="1" applyAlignment="1">
      <alignment horizontal="center" vertical="top" wrapText="1"/>
    </xf>
    <xf numFmtId="167" fontId="27" fillId="0" borderId="0" xfId="22" applyNumberFormat="1" applyFont="1" applyAlignment="1">
      <alignment horizontal="center" vertical="top" wrapText="1"/>
    </xf>
    <xf numFmtId="3" fontId="21" fillId="0" borderId="54" xfId="148" applyNumberFormat="1" applyFont="1" applyBorder="1" applyAlignment="1">
      <alignment horizontal="center" vertical="top" wrapText="1"/>
    </xf>
    <xf numFmtId="3" fontId="21" fillId="0" borderId="63" xfId="148" applyNumberFormat="1" applyFont="1" applyBorder="1" applyAlignment="1">
      <alignment horizontal="center" vertical="top" wrapText="1"/>
    </xf>
    <xf numFmtId="3" fontId="21" fillId="0" borderId="20" xfId="148" applyNumberFormat="1" applyFont="1" applyBorder="1" applyAlignment="1">
      <alignment horizontal="center" vertical="top" wrapText="1"/>
    </xf>
    <xf numFmtId="3" fontId="21" fillId="0" borderId="38" xfId="148" applyNumberFormat="1" applyFont="1" applyBorder="1" applyAlignment="1">
      <alignment horizontal="center" vertical="top" wrapText="1"/>
    </xf>
    <xf numFmtId="167" fontId="21" fillId="0" borderId="21" xfId="22" applyNumberFormat="1" applyFont="1" applyBorder="1" applyAlignment="1">
      <alignment horizontal="center" vertical="top"/>
    </xf>
    <xf numFmtId="167" fontId="21" fillId="0" borderId="64" xfId="22" applyNumberFormat="1" applyFont="1" applyBorder="1" applyAlignment="1">
      <alignment horizontal="center" vertical="top"/>
    </xf>
  </cellXfs>
  <cellStyles count="309">
    <cellStyle name="20% - Accent1 2" xfId="97" xr:uid="{00000000-0005-0000-0000-000000000000}"/>
    <cellStyle name="20% - Accent2 2" xfId="98" xr:uid="{00000000-0005-0000-0000-000001000000}"/>
    <cellStyle name="20% - Accent3 2" xfId="99" xr:uid="{00000000-0005-0000-0000-000002000000}"/>
    <cellStyle name="20% - Accent4 2" xfId="100" xr:uid="{00000000-0005-0000-0000-000003000000}"/>
    <cellStyle name="20% - Accent5 2" xfId="101" xr:uid="{00000000-0005-0000-0000-000004000000}"/>
    <cellStyle name="20% - Accent6 2" xfId="102" xr:uid="{00000000-0005-0000-0000-000005000000}"/>
    <cellStyle name="40% - Accent1 2" xfId="103" xr:uid="{00000000-0005-0000-0000-000006000000}"/>
    <cellStyle name="40% - Accent2 2" xfId="104" xr:uid="{00000000-0005-0000-0000-000007000000}"/>
    <cellStyle name="40% - Accent3 2" xfId="105" xr:uid="{00000000-0005-0000-0000-000008000000}"/>
    <cellStyle name="40% - Accent4 2" xfId="106" xr:uid="{00000000-0005-0000-0000-000009000000}"/>
    <cellStyle name="40% - Accent5 2" xfId="107" xr:uid="{00000000-0005-0000-0000-00000A000000}"/>
    <cellStyle name="40% - Accent6 2" xfId="108" xr:uid="{00000000-0005-0000-0000-00000B000000}"/>
    <cellStyle name="60% - Accent1 2" xfId="109" xr:uid="{00000000-0005-0000-0000-00000C000000}"/>
    <cellStyle name="60% - Accent2 2" xfId="110" xr:uid="{00000000-0005-0000-0000-00000D000000}"/>
    <cellStyle name="60% - Accent3 2" xfId="111" xr:uid="{00000000-0005-0000-0000-00000E000000}"/>
    <cellStyle name="60% - Accent4 2" xfId="112" xr:uid="{00000000-0005-0000-0000-00000F000000}"/>
    <cellStyle name="60% - Accent5 2" xfId="113" xr:uid="{00000000-0005-0000-0000-000010000000}"/>
    <cellStyle name="60% - Accent6 2" xfId="114" xr:uid="{00000000-0005-0000-0000-000011000000}"/>
    <cellStyle name="Accent1 2" xfId="115" xr:uid="{00000000-0005-0000-0000-000012000000}"/>
    <cellStyle name="Accent2 2" xfId="116" xr:uid="{00000000-0005-0000-0000-000013000000}"/>
    <cellStyle name="Accent3 2" xfId="117" xr:uid="{00000000-0005-0000-0000-000014000000}"/>
    <cellStyle name="Accent4 2" xfId="118" xr:uid="{00000000-0005-0000-0000-000015000000}"/>
    <cellStyle name="Accent5 2" xfId="119" xr:uid="{00000000-0005-0000-0000-000016000000}"/>
    <cellStyle name="Accent6 2" xfId="120" xr:uid="{00000000-0005-0000-0000-000017000000}"/>
    <cellStyle name="Bad 2" xfId="121" xr:uid="{00000000-0005-0000-0000-000018000000}"/>
    <cellStyle name="Calculation 2" xfId="122" xr:uid="{00000000-0005-0000-0000-000019000000}"/>
    <cellStyle name="Check Cell 2" xfId="123" xr:uid="{00000000-0005-0000-0000-00001A000000}"/>
    <cellStyle name="Comma 2" xfId="95" xr:uid="{00000000-0005-0000-0000-00001B000000}"/>
    <cellStyle name="Comma 2 2" xfId="139" xr:uid="{00000000-0005-0000-0000-00001C000000}"/>
    <cellStyle name="Comma 2 2 2" xfId="279" xr:uid="{00000000-0005-0000-0000-00001D000000}"/>
    <cellStyle name="Comma 3" xfId="28" xr:uid="{00000000-0005-0000-0000-00001E000000}"/>
    <cellStyle name="Comma 4" xfId="140" xr:uid="{00000000-0005-0000-0000-00001F000000}"/>
    <cellStyle name="Comma 4 2" xfId="180" xr:uid="{00000000-0005-0000-0000-000020000000}"/>
    <cellStyle name="Comma 4 3" xfId="280" xr:uid="{00000000-0005-0000-0000-000021000000}"/>
    <cellStyle name="Currency 2" xfId="141" xr:uid="{00000000-0005-0000-0000-000022000000}"/>
    <cellStyle name="Currency 2 2" xfId="281" xr:uid="{00000000-0005-0000-0000-000023000000}"/>
    <cellStyle name="Currency 3" xfId="142" xr:uid="{00000000-0005-0000-0000-000024000000}"/>
    <cellStyle name="Explanatory Text 2" xfId="124" xr:uid="{00000000-0005-0000-0000-000025000000}"/>
    <cellStyle name="Good 2" xfId="125" xr:uid="{00000000-0005-0000-0000-000026000000}"/>
    <cellStyle name="Heading 1 2" xfId="126" xr:uid="{00000000-0005-0000-0000-000027000000}"/>
    <cellStyle name="Heading 2 2" xfId="127" xr:uid="{00000000-0005-0000-0000-000028000000}"/>
    <cellStyle name="Heading 3 2" xfId="128" xr:uid="{00000000-0005-0000-0000-000029000000}"/>
    <cellStyle name="Heading 4 2" xfId="129" xr:uid="{00000000-0005-0000-0000-00002A000000}"/>
    <cellStyle name="Input 2" xfId="130" xr:uid="{00000000-0005-0000-0000-00002C000000}"/>
    <cellStyle name="Linked Cell 2" xfId="131" xr:uid="{00000000-0005-0000-0000-00002D000000}"/>
    <cellStyle name="Neutral 2" xfId="132" xr:uid="{00000000-0005-0000-0000-00002E000000}"/>
    <cellStyle name="Normal" xfId="0" builtinId="0"/>
    <cellStyle name="Normal 10" xfId="8" xr:uid="{00000000-0005-0000-0000-000030000000}"/>
    <cellStyle name="Normal 10 2" xfId="37" xr:uid="{00000000-0005-0000-0000-000031000000}"/>
    <cellStyle name="Normal 10 2 2" xfId="76" xr:uid="{00000000-0005-0000-0000-000032000000}"/>
    <cellStyle name="Normal 10 2 2 2" xfId="260" xr:uid="{00000000-0005-0000-0000-000033000000}"/>
    <cellStyle name="Normal 10 2 3" xfId="223" xr:uid="{00000000-0005-0000-0000-000034000000}"/>
    <cellStyle name="Normal 10 3" xfId="58" xr:uid="{00000000-0005-0000-0000-000035000000}"/>
    <cellStyle name="Normal 10 3 2" xfId="242" xr:uid="{00000000-0005-0000-0000-000036000000}"/>
    <cellStyle name="Normal 10 4" xfId="89" xr:uid="{00000000-0005-0000-0000-000037000000}"/>
    <cellStyle name="Normal 10 4 2" xfId="273" xr:uid="{00000000-0005-0000-0000-000038000000}"/>
    <cellStyle name="Normal 10 5" xfId="205" xr:uid="{00000000-0005-0000-0000-000039000000}"/>
    <cellStyle name="Normal 11" xfId="10" xr:uid="{00000000-0005-0000-0000-00003A000000}"/>
    <cellStyle name="Normal 11 2" xfId="39" xr:uid="{00000000-0005-0000-0000-00003B000000}"/>
    <cellStyle name="Normal 11 2 2" xfId="78" xr:uid="{00000000-0005-0000-0000-00003C000000}"/>
    <cellStyle name="Normal 11 2 2 2" xfId="262" xr:uid="{00000000-0005-0000-0000-00003D000000}"/>
    <cellStyle name="Normal 11 2 3" xfId="225" xr:uid="{00000000-0005-0000-0000-00003E000000}"/>
    <cellStyle name="Normal 11 3" xfId="60" xr:uid="{00000000-0005-0000-0000-00003F000000}"/>
    <cellStyle name="Normal 11 3 2" xfId="244" xr:uid="{00000000-0005-0000-0000-000040000000}"/>
    <cellStyle name="Normal 11 4" xfId="207" xr:uid="{00000000-0005-0000-0000-000041000000}"/>
    <cellStyle name="Normal 12" xfId="9" xr:uid="{00000000-0005-0000-0000-000042000000}"/>
    <cellStyle name="Normal 12 2" xfId="30" xr:uid="{00000000-0005-0000-0000-000043000000}"/>
    <cellStyle name="Normal 12 2 2" xfId="48" xr:uid="{00000000-0005-0000-0000-000044000000}"/>
    <cellStyle name="Normal 12 2 2 2" xfId="87" xr:uid="{00000000-0005-0000-0000-000045000000}"/>
    <cellStyle name="Normal 12 2 2 2 2" xfId="271" xr:uid="{00000000-0005-0000-0000-000046000000}"/>
    <cellStyle name="Normal 12 2 2 3" xfId="234" xr:uid="{00000000-0005-0000-0000-000047000000}"/>
    <cellStyle name="Normal 12 2 3" xfId="69" xr:uid="{00000000-0005-0000-0000-000048000000}"/>
    <cellStyle name="Normal 12 2 3 2" xfId="253" xr:uid="{00000000-0005-0000-0000-000049000000}"/>
    <cellStyle name="Normal 12 2 4" xfId="216" xr:uid="{00000000-0005-0000-0000-00004A000000}"/>
    <cellStyle name="Normal 12 3" xfId="38" xr:uid="{00000000-0005-0000-0000-00004B000000}"/>
    <cellStyle name="Normal 12 3 2" xfId="77" xr:uid="{00000000-0005-0000-0000-00004C000000}"/>
    <cellStyle name="Normal 12 3 2 2" xfId="261" xr:uid="{00000000-0005-0000-0000-00004D000000}"/>
    <cellStyle name="Normal 12 3 3" xfId="224" xr:uid="{00000000-0005-0000-0000-00004E000000}"/>
    <cellStyle name="Normal 12 4" xfId="59" xr:uid="{00000000-0005-0000-0000-00004F000000}"/>
    <cellStyle name="Normal 12 4 2" xfId="243" xr:uid="{00000000-0005-0000-0000-000050000000}"/>
    <cellStyle name="Normal 12 5" xfId="206" xr:uid="{00000000-0005-0000-0000-000051000000}"/>
    <cellStyle name="Normal 13" xfId="11" xr:uid="{00000000-0005-0000-0000-000052000000}"/>
    <cellStyle name="Normal 13 2" xfId="29" xr:uid="{00000000-0005-0000-0000-000053000000}"/>
    <cellStyle name="Normal 13 2 2" xfId="47" xr:uid="{00000000-0005-0000-0000-000054000000}"/>
    <cellStyle name="Normal 13 2 2 2" xfId="86" xr:uid="{00000000-0005-0000-0000-000055000000}"/>
    <cellStyle name="Normal 13 2 2 2 2" xfId="270" xr:uid="{00000000-0005-0000-0000-000056000000}"/>
    <cellStyle name="Normal 13 2 2 3" xfId="233" xr:uid="{00000000-0005-0000-0000-000057000000}"/>
    <cellStyle name="Normal 13 2 3" xfId="68" xr:uid="{00000000-0005-0000-0000-000058000000}"/>
    <cellStyle name="Normal 13 2 3 2" xfId="252" xr:uid="{00000000-0005-0000-0000-000059000000}"/>
    <cellStyle name="Normal 13 2 4" xfId="215" xr:uid="{00000000-0005-0000-0000-00005A000000}"/>
    <cellStyle name="Normal 13 3" xfId="40" xr:uid="{00000000-0005-0000-0000-00005B000000}"/>
    <cellStyle name="Normal 13 3 2" xfId="79" xr:uid="{00000000-0005-0000-0000-00005C000000}"/>
    <cellStyle name="Normal 13 3 2 2" xfId="263" xr:uid="{00000000-0005-0000-0000-00005D000000}"/>
    <cellStyle name="Normal 13 3 3" xfId="226" xr:uid="{00000000-0005-0000-0000-00005E000000}"/>
    <cellStyle name="Normal 13 4" xfId="61" xr:uid="{00000000-0005-0000-0000-00005F000000}"/>
    <cellStyle name="Normal 13 4 2" xfId="245" xr:uid="{00000000-0005-0000-0000-000060000000}"/>
    <cellStyle name="Normal 13 5" xfId="208" xr:uid="{00000000-0005-0000-0000-000061000000}"/>
    <cellStyle name="Normal 14" xfId="12" xr:uid="{00000000-0005-0000-0000-000062000000}"/>
    <cellStyle name="Normal 14 2" xfId="41" xr:uid="{00000000-0005-0000-0000-000063000000}"/>
    <cellStyle name="Normal 14 2 2" xfId="80" xr:uid="{00000000-0005-0000-0000-000064000000}"/>
    <cellStyle name="Normal 14 2 2 2" xfId="264" xr:uid="{00000000-0005-0000-0000-000065000000}"/>
    <cellStyle name="Normal 14 2 3" xfId="227" xr:uid="{00000000-0005-0000-0000-000066000000}"/>
    <cellStyle name="Normal 14 3" xfId="62" xr:uid="{00000000-0005-0000-0000-000067000000}"/>
    <cellStyle name="Normal 14 3 2" xfId="246" xr:uid="{00000000-0005-0000-0000-000068000000}"/>
    <cellStyle name="Normal 14 4" xfId="209" xr:uid="{00000000-0005-0000-0000-000069000000}"/>
    <cellStyle name="Normal 15" xfId="19" xr:uid="{00000000-0005-0000-0000-00006A000000}"/>
    <cellStyle name="Normal 15 2" xfId="44" xr:uid="{00000000-0005-0000-0000-00006B000000}"/>
    <cellStyle name="Normal 15 2 2" xfId="83" xr:uid="{00000000-0005-0000-0000-00006C000000}"/>
    <cellStyle name="Normal 15 2 2 2" xfId="267" xr:uid="{00000000-0005-0000-0000-00006D000000}"/>
    <cellStyle name="Normal 15 2 2 2 2" xfId="92" xr:uid="{00000000-0005-0000-0000-00006E000000}"/>
    <cellStyle name="Normal 15 2 2 2 2 2" xfId="276" xr:uid="{00000000-0005-0000-0000-00006F000000}"/>
    <cellStyle name="Normal 15 2 3" xfId="230" xr:uid="{00000000-0005-0000-0000-000070000000}"/>
    <cellStyle name="Normal 15 2 5" xfId="93" xr:uid="{00000000-0005-0000-0000-000071000000}"/>
    <cellStyle name="Normal 15 2 5 2" xfId="277" xr:uid="{00000000-0005-0000-0000-000072000000}"/>
    <cellStyle name="Normal 15 2 6" xfId="94" xr:uid="{00000000-0005-0000-0000-000073000000}"/>
    <cellStyle name="Normal 15 2 6 2" xfId="278" xr:uid="{00000000-0005-0000-0000-000074000000}"/>
    <cellStyle name="Normal 15 3" xfId="21" xr:uid="{00000000-0005-0000-0000-000075000000}"/>
    <cellStyle name="Normal 15 4" xfId="65" xr:uid="{00000000-0005-0000-0000-000076000000}"/>
    <cellStyle name="Normal 15 4 2" xfId="249" xr:uid="{00000000-0005-0000-0000-000077000000}"/>
    <cellStyle name="Normal 15 5" xfId="90" xr:uid="{00000000-0005-0000-0000-000078000000}"/>
    <cellStyle name="Normal 15 5 2" xfId="274" xr:uid="{00000000-0005-0000-0000-000079000000}"/>
    <cellStyle name="Normal 15 6" xfId="91" xr:uid="{00000000-0005-0000-0000-00007A000000}"/>
    <cellStyle name="Normal 15 6 2" xfId="275" xr:uid="{00000000-0005-0000-0000-00007B000000}"/>
    <cellStyle name="Normal 15 7" xfId="212" xr:uid="{00000000-0005-0000-0000-00007C000000}"/>
    <cellStyle name="Normal 16" xfId="26" xr:uid="{00000000-0005-0000-0000-00007D000000}"/>
    <cellStyle name="Normal 16 2" xfId="46" xr:uid="{00000000-0005-0000-0000-00007E000000}"/>
    <cellStyle name="Normal 16 2 2" xfId="85" xr:uid="{00000000-0005-0000-0000-00007F000000}"/>
    <cellStyle name="Normal 16 2 2 2" xfId="269" xr:uid="{00000000-0005-0000-0000-000080000000}"/>
    <cellStyle name="Normal 16 2 3" xfId="232" xr:uid="{00000000-0005-0000-0000-000081000000}"/>
    <cellStyle name="Normal 16 3" xfId="67" xr:uid="{00000000-0005-0000-0000-000082000000}"/>
    <cellStyle name="Normal 16 3 2" xfId="251" xr:uid="{00000000-0005-0000-0000-000083000000}"/>
    <cellStyle name="Normal 16 4" xfId="181" xr:uid="{00000000-0005-0000-0000-000084000000}"/>
    <cellStyle name="Normal 16 4 2" xfId="182" xr:uid="{00000000-0005-0000-0000-000085000000}"/>
    <cellStyle name="Normal 16 4 2 2" xfId="296" xr:uid="{00000000-0005-0000-0000-000086000000}"/>
    <cellStyle name="Normal 16 4 3" xfId="295" xr:uid="{00000000-0005-0000-0000-000087000000}"/>
    <cellStyle name="Normal 16 5" xfId="183" xr:uid="{00000000-0005-0000-0000-000088000000}"/>
    <cellStyle name="Normal 16 5 2" xfId="184" xr:uid="{00000000-0005-0000-0000-000089000000}"/>
    <cellStyle name="Normal 16 5 2 2" xfId="298" xr:uid="{00000000-0005-0000-0000-00008A000000}"/>
    <cellStyle name="Normal 16 5 3" xfId="297" xr:uid="{00000000-0005-0000-0000-00008B000000}"/>
    <cellStyle name="Normal 16 6" xfId="214" xr:uid="{00000000-0005-0000-0000-00008C000000}"/>
    <cellStyle name="Normal 17" xfId="20" xr:uid="{00000000-0005-0000-0000-00008D000000}"/>
    <cellStyle name="Normal 17 2" xfId="45" xr:uid="{00000000-0005-0000-0000-00008E000000}"/>
    <cellStyle name="Normal 17 2 2" xfId="84" xr:uid="{00000000-0005-0000-0000-00008F000000}"/>
    <cellStyle name="Normal 17 2 2 2" xfId="268" xr:uid="{00000000-0005-0000-0000-000090000000}"/>
    <cellStyle name="Normal 17 2 3" xfId="231" xr:uid="{00000000-0005-0000-0000-000091000000}"/>
    <cellStyle name="Normal 17 3" xfId="66" xr:uid="{00000000-0005-0000-0000-000092000000}"/>
    <cellStyle name="Normal 17 3 2" xfId="250" xr:uid="{00000000-0005-0000-0000-000093000000}"/>
    <cellStyle name="Normal 17 4" xfId="213" xr:uid="{00000000-0005-0000-0000-000094000000}"/>
    <cellStyle name="Normal 18" xfId="51" xr:uid="{00000000-0005-0000-0000-000095000000}"/>
    <cellStyle name="Normal 18 2" xfId="185" xr:uid="{00000000-0005-0000-0000-000096000000}"/>
    <cellStyle name="Normal 19" xfId="50" xr:uid="{00000000-0005-0000-0000-000097000000}"/>
    <cellStyle name="Normal 19 2" xfId="236" xr:uid="{00000000-0005-0000-0000-000098000000}"/>
    <cellStyle name="Normal 2" xfId="1" xr:uid="{00000000-0005-0000-0000-000099000000}"/>
    <cellStyle name="Normal 2 10" xfId="25" xr:uid="{00000000-0005-0000-0000-00009A000000}"/>
    <cellStyle name="Normal 2 11" xfId="143" xr:uid="{00000000-0005-0000-0000-00009B000000}"/>
    <cellStyle name="Normal 2 12" xfId="144" xr:uid="{00000000-0005-0000-0000-00009C000000}"/>
    <cellStyle name="Normal 2 13" xfId="145" xr:uid="{00000000-0005-0000-0000-00009D000000}"/>
    <cellStyle name="Normal 2 14" xfId="146" xr:uid="{00000000-0005-0000-0000-00009E000000}"/>
    <cellStyle name="Normal 2 15" xfId="186" xr:uid="{00000000-0005-0000-0000-00009F000000}"/>
    <cellStyle name="Normal 2 15 2" xfId="187" xr:uid="{00000000-0005-0000-0000-0000A0000000}"/>
    <cellStyle name="Normal 2 15 2 2" xfId="188" xr:uid="{00000000-0005-0000-0000-0000A1000000}"/>
    <cellStyle name="Normal 2 15 2 2 2" xfId="300" xr:uid="{00000000-0005-0000-0000-0000A2000000}"/>
    <cellStyle name="Normal 2 15 2 3" xfId="299" xr:uid="{00000000-0005-0000-0000-0000A3000000}"/>
    <cellStyle name="Normal 2 2" xfId="13" xr:uid="{00000000-0005-0000-0000-0000A4000000}"/>
    <cellStyle name="Normal 2 2 2" xfId="15" xr:uid="{00000000-0005-0000-0000-0000A5000000}"/>
    <cellStyle name="Normal 2 2 2 2" xfId="42" xr:uid="{00000000-0005-0000-0000-0000A6000000}"/>
    <cellStyle name="Normal 2 2 2 2 2" xfId="81" xr:uid="{00000000-0005-0000-0000-0000A7000000}"/>
    <cellStyle name="Normal 2 2 2 2 2 2" xfId="265" xr:uid="{00000000-0005-0000-0000-0000A8000000}"/>
    <cellStyle name="Normal 2 2 2 2 3" xfId="189" xr:uid="{00000000-0005-0000-0000-0000A9000000}"/>
    <cellStyle name="Normal 2 2 2 2 3 2" xfId="301" xr:uid="{00000000-0005-0000-0000-0000AA000000}"/>
    <cellStyle name="Normal 2 2 2 2 4" xfId="228" xr:uid="{00000000-0005-0000-0000-0000AB000000}"/>
    <cellStyle name="Normal 2 2 2 3" xfId="63" xr:uid="{00000000-0005-0000-0000-0000AC000000}"/>
    <cellStyle name="Normal 2 2 2 3 2" xfId="147" xr:uid="{00000000-0005-0000-0000-0000AD000000}"/>
    <cellStyle name="Normal 2 2 2 3 2 2" xfId="282" xr:uid="{00000000-0005-0000-0000-0000AE000000}"/>
    <cellStyle name="Normal 2 2 2 3 3" xfId="247" xr:uid="{00000000-0005-0000-0000-0000AF000000}"/>
    <cellStyle name="Normal 2 2 2 4" xfId="148" xr:uid="{00000000-0005-0000-0000-0000B0000000}"/>
    <cellStyle name="Normal 2 2 2 4 2" xfId="283" xr:uid="{00000000-0005-0000-0000-0000B1000000}"/>
    <cellStyle name="Normal 2 2 2 5" xfId="149" xr:uid="{00000000-0005-0000-0000-0000B2000000}"/>
    <cellStyle name="Normal 2 2 2 5 2" xfId="284" xr:uid="{00000000-0005-0000-0000-0000B3000000}"/>
    <cellStyle name="Normal 2 2 2 6" xfId="210" xr:uid="{00000000-0005-0000-0000-0000B4000000}"/>
    <cellStyle name="Normal 2 2 2 8" xfId="198" xr:uid="{00000000-0005-0000-0000-0000B5000000}"/>
    <cellStyle name="Normal 2 2 2 8 2" xfId="308" xr:uid="{00000000-0005-0000-0000-0000B6000000}"/>
    <cellStyle name="Normal 2 2 3" xfId="150" xr:uid="{00000000-0005-0000-0000-0000B7000000}"/>
    <cellStyle name="Normal 2 2 4" xfId="151" xr:uid="{00000000-0005-0000-0000-0000B8000000}"/>
    <cellStyle name="Normal 2 2 4 2" xfId="285" xr:uid="{00000000-0005-0000-0000-0000B9000000}"/>
    <cellStyle name="Normal 2 3" xfId="24" xr:uid="{00000000-0005-0000-0000-0000BA000000}"/>
    <cellStyle name="Normal 2 3 2" xfId="152" xr:uid="{00000000-0005-0000-0000-0000BB000000}"/>
    <cellStyle name="Normal 2 4" xfId="23" xr:uid="{00000000-0005-0000-0000-0000BC000000}"/>
    <cellStyle name="Normal 2 5" xfId="153" xr:uid="{00000000-0005-0000-0000-0000BD000000}"/>
    <cellStyle name="Normal 2 6" xfId="154" xr:uid="{00000000-0005-0000-0000-0000BE000000}"/>
    <cellStyle name="Normal 2 7" xfId="155" xr:uid="{00000000-0005-0000-0000-0000BF000000}"/>
    <cellStyle name="Normal 2 8" xfId="156" xr:uid="{00000000-0005-0000-0000-0000C0000000}"/>
    <cellStyle name="Normal 2 9" xfId="157" xr:uid="{00000000-0005-0000-0000-0000C1000000}"/>
    <cellStyle name="Normal 20" xfId="27" xr:uid="{00000000-0005-0000-0000-0000C2000000}"/>
    <cellStyle name="Normal 21" xfId="158" xr:uid="{00000000-0005-0000-0000-0000C3000000}"/>
    <cellStyle name="Normal 21 2" xfId="190" xr:uid="{00000000-0005-0000-0000-0000C4000000}"/>
    <cellStyle name="Normal 21 2 2" xfId="191" xr:uid="{00000000-0005-0000-0000-0000C5000000}"/>
    <cellStyle name="Normal 21 2 2 2" xfId="303" xr:uid="{00000000-0005-0000-0000-0000C6000000}"/>
    <cellStyle name="Normal 21 2 3" xfId="302" xr:uid="{00000000-0005-0000-0000-0000C7000000}"/>
    <cellStyle name="Normal 21 3" xfId="192" xr:uid="{00000000-0005-0000-0000-0000C8000000}"/>
    <cellStyle name="Normal 21 3 2" xfId="304" xr:uid="{00000000-0005-0000-0000-0000C9000000}"/>
    <cellStyle name="Normal 21 4" xfId="193" xr:uid="{00000000-0005-0000-0000-0000CA000000}"/>
    <cellStyle name="Normal 21 4 2" xfId="305" xr:uid="{00000000-0005-0000-0000-0000CB000000}"/>
    <cellStyle name="Normal 21 5" xfId="194" xr:uid="{00000000-0005-0000-0000-0000CC000000}"/>
    <cellStyle name="Normal 21 5 2" xfId="306" xr:uid="{00000000-0005-0000-0000-0000CD000000}"/>
    <cellStyle name="Normal 21 6" xfId="286" xr:uid="{00000000-0005-0000-0000-0000CE000000}"/>
    <cellStyle name="Normal 22" xfId="159" xr:uid="{00000000-0005-0000-0000-0000CF000000}"/>
    <cellStyle name="Normal 22 2" xfId="287" xr:uid="{00000000-0005-0000-0000-0000D0000000}"/>
    <cellStyle name="Normal 23" xfId="160" xr:uid="{00000000-0005-0000-0000-0000D1000000}"/>
    <cellStyle name="Normal 23 2" xfId="288" xr:uid="{00000000-0005-0000-0000-0000D2000000}"/>
    <cellStyle name="Normal 24" xfId="197" xr:uid="{00000000-0005-0000-0000-0000D3000000}"/>
    <cellStyle name="Normal 24 2" xfId="307" xr:uid="{00000000-0005-0000-0000-0000D4000000}"/>
    <cellStyle name="Normal 3" xfId="16" xr:uid="{00000000-0005-0000-0000-0000D5000000}"/>
    <cellStyle name="Normal 3 10" xfId="161" xr:uid="{00000000-0005-0000-0000-0000D6000000}"/>
    <cellStyle name="Normal 3 10 2" xfId="289" xr:uid="{00000000-0005-0000-0000-0000D7000000}"/>
    <cellStyle name="Normal 3 11" xfId="162" xr:uid="{00000000-0005-0000-0000-0000D8000000}"/>
    <cellStyle name="Normal 3 11 2" xfId="290" xr:uid="{00000000-0005-0000-0000-0000D9000000}"/>
    <cellStyle name="Normal 3 2" xfId="18" xr:uid="{00000000-0005-0000-0000-0000DA000000}"/>
    <cellStyle name="Normal 3 2 2" xfId="133" xr:uid="{00000000-0005-0000-0000-0000DB000000}"/>
    <cellStyle name="Normal 3 2 3" xfId="163" xr:uid="{00000000-0005-0000-0000-0000DC000000}"/>
    <cellStyle name="Normal 3 3" xfId="31" xr:uid="{00000000-0005-0000-0000-0000DD000000}"/>
    <cellStyle name="Normal 3 3 2" xfId="49" xr:uid="{00000000-0005-0000-0000-0000DE000000}"/>
    <cellStyle name="Normal 3 3 2 2" xfId="88" xr:uid="{00000000-0005-0000-0000-0000DF000000}"/>
    <cellStyle name="Normal 3 3 2 2 2" xfId="272" xr:uid="{00000000-0005-0000-0000-0000E0000000}"/>
    <cellStyle name="Normal 3 3 2 3" xfId="235" xr:uid="{00000000-0005-0000-0000-0000E1000000}"/>
    <cellStyle name="Normal 3 3 3" xfId="70" xr:uid="{00000000-0005-0000-0000-0000E2000000}"/>
    <cellStyle name="Normal 3 3 3 2" xfId="254" xr:uid="{00000000-0005-0000-0000-0000E3000000}"/>
    <cellStyle name="Normal 3 3 4" xfId="195" xr:uid="{00000000-0005-0000-0000-0000E4000000}"/>
    <cellStyle name="Normal 3 3 5" xfId="217" xr:uid="{00000000-0005-0000-0000-0000E5000000}"/>
    <cellStyle name="Normal 3 3 8" xfId="199" xr:uid="{00000000-0005-0000-0000-0000E6000000}"/>
    <cellStyle name="Normal 3 4" xfId="164" xr:uid="{00000000-0005-0000-0000-0000E7000000}"/>
    <cellStyle name="Normal 3 5" xfId="165" xr:uid="{00000000-0005-0000-0000-0000E8000000}"/>
    <cellStyle name="Normal 3 6" xfId="166" xr:uid="{00000000-0005-0000-0000-0000E9000000}"/>
    <cellStyle name="Normal 3 7" xfId="167" xr:uid="{00000000-0005-0000-0000-0000EA000000}"/>
    <cellStyle name="Normal 3 8" xfId="168" xr:uid="{00000000-0005-0000-0000-0000EB000000}"/>
    <cellStyle name="Normal 3 9" xfId="169" xr:uid="{00000000-0005-0000-0000-0000EC000000}"/>
    <cellStyle name="Normal 4" xfId="17" xr:uid="{00000000-0005-0000-0000-0000ED000000}"/>
    <cellStyle name="Normal 4 2" xfId="43" xr:uid="{00000000-0005-0000-0000-0000EE000000}"/>
    <cellStyle name="Normal 4 2 2" xfId="82" xr:uid="{00000000-0005-0000-0000-0000EF000000}"/>
    <cellStyle name="Normal 4 2 2 2" xfId="266" xr:uid="{00000000-0005-0000-0000-0000F0000000}"/>
    <cellStyle name="Normal 4 2 3" xfId="229" xr:uid="{00000000-0005-0000-0000-0000F1000000}"/>
    <cellStyle name="Normal 4 3" xfId="64" xr:uid="{00000000-0005-0000-0000-0000F2000000}"/>
    <cellStyle name="Normal 4 3 2" xfId="248" xr:uid="{00000000-0005-0000-0000-0000F3000000}"/>
    <cellStyle name="Normal 4 4" xfId="211" xr:uid="{00000000-0005-0000-0000-0000F4000000}"/>
    <cellStyle name="Normal 5" xfId="3" xr:uid="{00000000-0005-0000-0000-0000F5000000}"/>
    <cellStyle name="Normal 5 2" xfId="32" xr:uid="{00000000-0005-0000-0000-0000F6000000}"/>
    <cellStyle name="Normal 5 2 2" xfId="71" xr:uid="{00000000-0005-0000-0000-0000F7000000}"/>
    <cellStyle name="Normal 5 2 2 2" xfId="255" xr:uid="{00000000-0005-0000-0000-0000F8000000}"/>
    <cellStyle name="Normal 5 2 3" xfId="218" xr:uid="{00000000-0005-0000-0000-0000F9000000}"/>
    <cellStyle name="Normal 5 3" xfId="53" xr:uid="{00000000-0005-0000-0000-0000FA000000}"/>
    <cellStyle name="Normal 5 3 2" xfId="237" xr:uid="{00000000-0005-0000-0000-0000FB000000}"/>
    <cellStyle name="Normal 5 4" xfId="200" xr:uid="{00000000-0005-0000-0000-0000FC000000}"/>
    <cellStyle name="Normal 6" xfId="5" xr:uid="{00000000-0005-0000-0000-0000FD000000}"/>
    <cellStyle name="Normal 6 2" xfId="34" xr:uid="{00000000-0005-0000-0000-0000FE000000}"/>
    <cellStyle name="Normal 6 2 2" xfId="73" xr:uid="{00000000-0005-0000-0000-0000FF000000}"/>
    <cellStyle name="Normal 6 2 2 2" xfId="257" xr:uid="{00000000-0005-0000-0000-000000010000}"/>
    <cellStyle name="Normal 6 2 3" xfId="220" xr:uid="{00000000-0005-0000-0000-000001010000}"/>
    <cellStyle name="Normal 6 3" xfId="55" xr:uid="{00000000-0005-0000-0000-000002010000}"/>
    <cellStyle name="Normal 6 3 2" xfId="239" xr:uid="{00000000-0005-0000-0000-000003010000}"/>
    <cellStyle name="Normal 6 4" xfId="196" xr:uid="{00000000-0005-0000-0000-000004010000}"/>
    <cellStyle name="Normal 6 5" xfId="202" xr:uid="{00000000-0005-0000-0000-000005010000}"/>
    <cellStyle name="Normal 7" xfId="6" xr:uid="{00000000-0005-0000-0000-000006010000}"/>
    <cellStyle name="Normal 7 2" xfId="35" xr:uid="{00000000-0005-0000-0000-000007010000}"/>
    <cellStyle name="Normal 7 2 2" xfId="74" xr:uid="{00000000-0005-0000-0000-000008010000}"/>
    <cellStyle name="Normal 7 2 2 2" xfId="258" xr:uid="{00000000-0005-0000-0000-000009010000}"/>
    <cellStyle name="Normal 7 2 3" xfId="221" xr:uid="{00000000-0005-0000-0000-00000A010000}"/>
    <cellStyle name="Normal 7 3" xfId="56" xr:uid="{00000000-0005-0000-0000-00000B010000}"/>
    <cellStyle name="Normal 7 3 2" xfId="240" xr:uid="{00000000-0005-0000-0000-00000C010000}"/>
    <cellStyle name="Normal 7 4" xfId="170" xr:uid="{00000000-0005-0000-0000-00000D010000}"/>
    <cellStyle name="Normal 7 5" xfId="171" xr:uid="{00000000-0005-0000-0000-00000E010000}"/>
    <cellStyle name="Normal 7 6" xfId="172" xr:uid="{00000000-0005-0000-0000-00000F010000}"/>
    <cellStyle name="Normal 7 7" xfId="173" xr:uid="{00000000-0005-0000-0000-000010010000}"/>
    <cellStyle name="Normal 7 8" xfId="203" xr:uid="{00000000-0005-0000-0000-000011010000}"/>
    <cellStyle name="Normal 8" xfId="4" xr:uid="{00000000-0005-0000-0000-000012010000}"/>
    <cellStyle name="Normal 8 2" xfId="33" xr:uid="{00000000-0005-0000-0000-000013010000}"/>
    <cellStyle name="Normal 8 2 2" xfId="72" xr:uid="{00000000-0005-0000-0000-000014010000}"/>
    <cellStyle name="Normal 8 2 2 2" xfId="256" xr:uid="{00000000-0005-0000-0000-000015010000}"/>
    <cellStyle name="Normal 8 2 3" xfId="219" xr:uid="{00000000-0005-0000-0000-000016010000}"/>
    <cellStyle name="Normal 8 3" xfId="54" xr:uid="{00000000-0005-0000-0000-000017010000}"/>
    <cellStyle name="Normal 8 3 2" xfId="238" xr:uid="{00000000-0005-0000-0000-000018010000}"/>
    <cellStyle name="Normal 8 4" xfId="201" xr:uid="{00000000-0005-0000-0000-000019010000}"/>
    <cellStyle name="Normal 9" xfId="7" xr:uid="{00000000-0005-0000-0000-00001A010000}"/>
    <cellStyle name="Normal 9 2" xfId="36" xr:uid="{00000000-0005-0000-0000-00001B010000}"/>
    <cellStyle name="Normal 9 2 2" xfId="75" xr:uid="{00000000-0005-0000-0000-00001C010000}"/>
    <cellStyle name="Normal 9 2 2 2" xfId="259" xr:uid="{00000000-0005-0000-0000-00001D010000}"/>
    <cellStyle name="Normal 9 2 3" xfId="222" xr:uid="{00000000-0005-0000-0000-00001E010000}"/>
    <cellStyle name="Normal 9 3" xfId="57" xr:uid="{00000000-0005-0000-0000-00001F010000}"/>
    <cellStyle name="Normal 9 3 2" xfId="241" xr:uid="{00000000-0005-0000-0000-000020010000}"/>
    <cellStyle name="Normal 9 4" xfId="204" xr:uid="{00000000-0005-0000-0000-000021010000}"/>
    <cellStyle name="Normal_Sheet2" xfId="22" xr:uid="{00000000-0005-0000-0000-000022010000}"/>
    <cellStyle name="Note 2" xfId="134" xr:uid="{00000000-0005-0000-0000-000023010000}"/>
    <cellStyle name="Output 2" xfId="135" xr:uid="{00000000-0005-0000-0000-000024010000}"/>
    <cellStyle name="Percent" xfId="2" builtinId="5"/>
    <cellStyle name="Percent 10" xfId="96" xr:uid="{00000000-0005-0000-0000-000026010000}"/>
    <cellStyle name="Percent 10 2" xfId="174" xr:uid="{00000000-0005-0000-0000-000027010000}"/>
    <cellStyle name="Percent 15" xfId="175" xr:uid="{00000000-0005-0000-0000-000028010000}"/>
    <cellStyle name="Percent 15 2" xfId="291" xr:uid="{00000000-0005-0000-0000-000029010000}"/>
    <cellStyle name="Percent 2" xfId="52" xr:uid="{00000000-0005-0000-0000-00002A010000}"/>
    <cellStyle name="Percent 3" xfId="14" xr:uid="{00000000-0005-0000-0000-00002B010000}"/>
    <cellStyle name="Percent 4" xfId="176" xr:uid="{00000000-0005-0000-0000-00002C010000}"/>
    <cellStyle name="Percent 4 2" xfId="292" xr:uid="{00000000-0005-0000-0000-00002D010000}"/>
    <cellStyle name="Percent 5" xfId="177" xr:uid="{00000000-0005-0000-0000-00002E010000}"/>
    <cellStyle name="Percent 5 2" xfId="293" xr:uid="{00000000-0005-0000-0000-00002F010000}"/>
    <cellStyle name="Percent 6" xfId="178" xr:uid="{00000000-0005-0000-0000-000030010000}"/>
    <cellStyle name="Percent 6 2" xfId="294" xr:uid="{00000000-0005-0000-0000-000031010000}"/>
    <cellStyle name="Title 2" xfId="136" xr:uid="{00000000-0005-0000-0000-000032010000}"/>
    <cellStyle name="Total 2" xfId="137" xr:uid="{00000000-0005-0000-0000-000033010000}"/>
    <cellStyle name="Warning Text 2" xfId="138" xr:uid="{00000000-0005-0000-0000-000034010000}"/>
    <cellStyle name="常规_Sheet4_1" xfId="179" xr:uid="{00000000-0005-0000-0000-000035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GB"/>
              <a:t>Basic Cost</a:t>
            </a:r>
          </a:p>
        </c:rich>
      </c:tx>
      <c:layout>
        <c:manualLayout>
          <c:xMode val="edge"/>
          <c:yMode val="edge"/>
          <c:x val="0.51880957188043797"/>
          <c:y val="2.4875621890547265E-2"/>
        </c:manualLayout>
      </c:layout>
      <c:overlay val="1"/>
    </c:title>
    <c:autoTitleDeleted val="0"/>
    <c:view3D>
      <c:rotX val="30"/>
      <c:rotY val="0"/>
      <c:rAngAx val="0"/>
    </c:view3D>
    <c:floor>
      <c:thickness val="0"/>
    </c:floor>
    <c:sideWall>
      <c:thickness val="0"/>
    </c:sideWall>
    <c:backWall>
      <c:thickness val="0"/>
    </c:backWall>
    <c:plotArea>
      <c:layout>
        <c:manualLayout>
          <c:layoutTarget val="inner"/>
          <c:xMode val="edge"/>
          <c:yMode val="edge"/>
          <c:x val="7.4432864522207695E-2"/>
          <c:y val="1.3542063725695648E-2"/>
          <c:w val="0.59997978078356407"/>
          <c:h val="0.89339125712734191"/>
        </c:manualLayout>
      </c:layout>
      <c:pie3DChart>
        <c:varyColors val="1"/>
        <c:ser>
          <c:idx val="0"/>
          <c:order val="0"/>
          <c:dPt>
            <c:idx val="0"/>
            <c:bubble3D val="0"/>
            <c:extLst>
              <c:ext xmlns:c16="http://schemas.microsoft.com/office/drawing/2014/chart" uri="{C3380CC4-5D6E-409C-BE32-E72D297353CC}">
                <c16:uniqueId val="{00000000-71AC-46CF-9FE3-E95D555AA472}"/>
              </c:ext>
            </c:extLst>
          </c:dPt>
          <c:dPt>
            <c:idx val="1"/>
            <c:bubble3D val="0"/>
            <c:extLst>
              <c:ext xmlns:c16="http://schemas.microsoft.com/office/drawing/2014/chart" uri="{C3380CC4-5D6E-409C-BE32-E72D297353CC}">
                <c16:uniqueId val="{00000001-71AC-46CF-9FE3-E95D555AA472}"/>
              </c:ext>
            </c:extLst>
          </c:dPt>
          <c:dPt>
            <c:idx val="2"/>
            <c:bubble3D val="0"/>
            <c:extLst>
              <c:ext xmlns:c16="http://schemas.microsoft.com/office/drawing/2014/chart" uri="{C3380CC4-5D6E-409C-BE32-E72D297353CC}">
                <c16:uniqueId val="{00000002-71AC-46CF-9FE3-E95D555AA472}"/>
              </c:ext>
            </c:extLst>
          </c:dPt>
          <c:dPt>
            <c:idx val="3"/>
            <c:bubble3D val="0"/>
            <c:extLst>
              <c:ext xmlns:c16="http://schemas.microsoft.com/office/drawing/2014/chart" uri="{C3380CC4-5D6E-409C-BE32-E72D297353CC}">
                <c16:uniqueId val="{00000003-71AC-46CF-9FE3-E95D555AA472}"/>
              </c:ext>
            </c:extLst>
          </c:dPt>
          <c:dPt>
            <c:idx val="4"/>
            <c:bubble3D val="0"/>
            <c:extLst>
              <c:ext xmlns:c16="http://schemas.microsoft.com/office/drawing/2014/chart" uri="{C3380CC4-5D6E-409C-BE32-E72D297353CC}">
                <c16:uniqueId val="{00000004-71AC-46CF-9FE3-E95D555AA472}"/>
              </c:ext>
            </c:extLst>
          </c:dPt>
          <c:dPt>
            <c:idx val="5"/>
            <c:bubble3D val="0"/>
            <c:extLst>
              <c:ext xmlns:c16="http://schemas.microsoft.com/office/drawing/2014/chart" uri="{C3380CC4-5D6E-409C-BE32-E72D297353CC}">
                <c16:uniqueId val="{00000005-71AC-46CF-9FE3-E95D555AA472}"/>
              </c:ext>
            </c:extLst>
          </c:dPt>
          <c:dPt>
            <c:idx val="6"/>
            <c:bubble3D val="0"/>
            <c:extLst>
              <c:ext xmlns:c16="http://schemas.microsoft.com/office/drawing/2014/chart" uri="{C3380CC4-5D6E-409C-BE32-E72D297353CC}">
                <c16:uniqueId val="{00000006-71AC-46CF-9FE3-E95D555AA472}"/>
              </c:ext>
            </c:extLst>
          </c:dPt>
          <c:dPt>
            <c:idx val="7"/>
            <c:bubble3D val="0"/>
            <c:extLst>
              <c:ext xmlns:c16="http://schemas.microsoft.com/office/drawing/2014/chart" uri="{C3380CC4-5D6E-409C-BE32-E72D297353CC}">
                <c16:uniqueId val="{00000007-71AC-46CF-9FE3-E95D555AA472}"/>
              </c:ext>
            </c:extLst>
          </c:dPt>
          <c:dPt>
            <c:idx val="8"/>
            <c:bubble3D val="0"/>
            <c:extLst>
              <c:ext xmlns:c16="http://schemas.microsoft.com/office/drawing/2014/chart" uri="{C3380CC4-5D6E-409C-BE32-E72D297353CC}">
                <c16:uniqueId val="{00000008-71AC-46CF-9FE3-E95D555AA472}"/>
              </c:ext>
            </c:extLst>
          </c:dPt>
          <c:dPt>
            <c:idx val="9"/>
            <c:bubble3D val="0"/>
            <c:extLst>
              <c:ext xmlns:c16="http://schemas.microsoft.com/office/drawing/2014/chart" uri="{C3380CC4-5D6E-409C-BE32-E72D297353CC}">
                <c16:uniqueId val="{00000009-71AC-46CF-9FE3-E95D555AA472}"/>
              </c:ext>
            </c:extLst>
          </c:dPt>
          <c:dPt>
            <c:idx val="10"/>
            <c:bubble3D val="0"/>
            <c:extLst>
              <c:ext xmlns:c16="http://schemas.microsoft.com/office/drawing/2014/chart" uri="{C3380CC4-5D6E-409C-BE32-E72D297353CC}">
                <c16:uniqueId val="{0000000A-71AC-46CF-9FE3-E95D555AA472}"/>
              </c:ext>
            </c:extLst>
          </c:dPt>
          <c:dLbls>
            <c:dLbl>
              <c:idx val="1"/>
              <c:layout>
                <c:manualLayout>
                  <c:x val="6.5934065934065936E-2"/>
                  <c:y val="2.4875621890547265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1AC-46CF-9FE3-E95D555AA472}"/>
                </c:ext>
              </c:extLst>
            </c:dLbl>
            <c:dLbl>
              <c:idx val="3"/>
              <c:layout>
                <c:manualLayout>
                  <c:x val="2.9303837020372453E-2"/>
                  <c:y val="-7.9601990049751242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1AC-46CF-9FE3-E95D555AA472}"/>
                </c:ext>
              </c:extLst>
            </c:dLbl>
            <c:spPr>
              <a:noFill/>
              <a:ln>
                <a:noFill/>
              </a:ln>
              <a:effectLst/>
            </c:spPr>
            <c:txPr>
              <a:bodyPr/>
              <a:lstStyle/>
              <a:p>
                <a:pPr>
                  <a:defRPr sz="1000" b="0" i="0" u="none" strike="noStrike" baseline="0">
                    <a:solidFill>
                      <a:srgbClr val="000000"/>
                    </a:solidFill>
                    <a:latin typeface="Calibri"/>
                    <a:ea typeface="Calibri"/>
                    <a:cs typeface="Calibri"/>
                  </a:defRPr>
                </a:pPr>
                <a:endParaRPr lang="en-US"/>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f>'Pie Chart'!$B$3:$B$7</c:f>
              <c:strCache>
                <c:ptCount val="5"/>
                <c:pt idx="0">
                  <c:v>Technological Equipment</c:v>
                </c:pt>
                <c:pt idx="1">
                  <c:v>Utilities</c:v>
                </c:pt>
                <c:pt idx="2">
                  <c:v>Electrical</c:v>
                </c:pt>
                <c:pt idx="3">
                  <c:v>Building Structure</c:v>
                </c:pt>
                <c:pt idx="4">
                  <c:v>Civil</c:v>
                </c:pt>
              </c:strCache>
            </c:strRef>
          </c:cat>
          <c:val>
            <c:numRef>
              <c:f>'Pie Chart'!$C$3:$C$7</c:f>
              <c:numCache>
                <c:formatCode>0.00_)</c:formatCode>
                <c:ptCount val="5"/>
                <c:pt idx="0">
                  <c:v>0</c:v>
                </c:pt>
                <c:pt idx="1">
                  <c:v>0</c:v>
                </c:pt>
                <c:pt idx="2">
                  <c:v>0</c:v>
                </c:pt>
                <c:pt idx="3">
                  <c:v>0</c:v>
                </c:pt>
                <c:pt idx="4">
                  <c:v>0</c:v>
                </c:pt>
              </c:numCache>
            </c:numRef>
          </c:val>
          <c:extLst>
            <c:ext xmlns:c16="http://schemas.microsoft.com/office/drawing/2014/chart" uri="{C3380CC4-5D6E-409C-BE32-E72D297353CC}">
              <c16:uniqueId val="{0000000B-71AC-46CF-9FE3-E95D555AA472}"/>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72689067712689759"/>
          <c:y val="3.2915713122066641E-2"/>
          <c:w val="0.24910347744993411"/>
          <c:h val="0.94826344982739219"/>
        </c:manualLayout>
      </c:layout>
      <c:overlay val="0"/>
      <c:txPr>
        <a:bodyPr/>
        <a:lstStyle/>
        <a:p>
          <a:pPr rtl="0">
            <a:defRPr sz="92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24</xdr:col>
      <xdr:colOff>666750</xdr:colOff>
      <xdr:row>39</xdr:row>
      <xdr:rowOff>238125</xdr:rowOff>
    </xdr:from>
    <xdr:to>
      <xdr:col>24</xdr:col>
      <xdr:colOff>666750</xdr:colOff>
      <xdr:row>41</xdr:row>
      <xdr:rowOff>0</xdr:rowOff>
    </xdr:to>
    <xdr:sp macro="" textlink="">
      <xdr:nvSpPr>
        <xdr:cNvPr id="20597" name="Line 1">
          <a:extLst>
            <a:ext uri="{FF2B5EF4-FFF2-40B4-BE49-F238E27FC236}">
              <a16:creationId xmlns:a16="http://schemas.microsoft.com/office/drawing/2014/main" id="{00000000-0008-0000-0500-000075500000}"/>
            </a:ext>
          </a:extLst>
        </xdr:cNvPr>
        <xdr:cNvSpPr>
          <a:spLocks noChangeShapeType="1"/>
        </xdr:cNvSpPr>
      </xdr:nvSpPr>
      <xdr:spPr bwMode="auto">
        <a:xfrm>
          <a:off x="24803100" y="9896475"/>
          <a:ext cx="0" cy="257175"/>
        </a:xfrm>
        <a:prstGeom prst="line">
          <a:avLst/>
        </a:prstGeom>
        <a:noFill/>
        <a:ln w="9525">
          <a:solidFill>
            <a:srgbClr val="000000"/>
          </a:solidFill>
          <a:round/>
          <a:headEnd/>
          <a:tailEnd type="triangle" w="med" len="med"/>
        </a:ln>
      </xdr:spPr>
    </xdr:sp>
    <xdr:clientData/>
  </xdr:twoCellAnchor>
  <xdr:twoCellAnchor>
    <xdr:from>
      <xdr:col>24</xdr:col>
      <xdr:colOff>657225</xdr:colOff>
      <xdr:row>3</xdr:row>
      <xdr:rowOff>0</xdr:rowOff>
    </xdr:from>
    <xdr:to>
      <xdr:col>24</xdr:col>
      <xdr:colOff>657225</xdr:colOff>
      <xdr:row>4</xdr:row>
      <xdr:rowOff>9525</xdr:rowOff>
    </xdr:to>
    <xdr:sp macro="" textlink="">
      <xdr:nvSpPr>
        <xdr:cNvPr id="20599" name="Line 3">
          <a:extLst>
            <a:ext uri="{FF2B5EF4-FFF2-40B4-BE49-F238E27FC236}">
              <a16:creationId xmlns:a16="http://schemas.microsoft.com/office/drawing/2014/main" id="{00000000-0008-0000-0500-000077500000}"/>
            </a:ext>
          </a:extLst>
        </xdr:cNvPr>
        <xdr:cNvSpPr>
          <a:spLocks noChangeShapeType="1"/>
        </xdr:cNvSpPr>
      </xdr:nvSpPr>
      <xdr:spPr bwMode="auto">
        <a:xfrm>
          <a:off x="24793575" y="742950"/>
          <a:ext cx="0" cy="257175"/>
        </a:xfrm>
        <a:prstGeom prst="line">
          <a:avLst/>
        </a:prstGeom>
        <a:noFill/>
        <a:ln w="9525">
          <a:solidFill>
            <a:srgbClr val="000000"/>
          </a:solidFill>
          <a:round/>
          <a:headEnd/>
          <a:tailEnd type="triangle" w="med" len="med"/>
        </a:ln>
      </xdr:spPr>
    </xdr:sp>
    <xdr:clientData/>
  </xdr:twoCellAnchor>
  <xdr:twoCellAnchor>
    <xdr:from>
      <xdr:col>24</xdr:col>
      <xdr:colOff>657225</xdr:colOff>
      <xdr:row>3</xdr:row>
      <xdr:rowOff>0</xdr:rowOff>
    </xdr:from>
    <xdr:to>
      <xdr:col>26</xdr:col>
      <xdr:colOff>276225</xdr:colOff>
      <xdr:row>3</xdr:row>
      <xdr:rowOff>0</xdr:rowOff>
    </xdr:to>
    <xdr:sp macro="" textlink="">
      <xdr:nvSpPr>
        <xdr:cNvPr id="20600" name="Line 4">
          <a:extLst>
            <a:ext uri="{FF2B5EF4-FFF2-40B4-BE49-F238E27FC236}">
              <a16:creationId xmlns:a16="http://schemas.microsoft.com/office/drawing/2014/main" id="{00000000-0008-0000-0500-000078500000}"/>
            </a:ext>
          </a:extLst>
        </xdr:cNvPr>
        <xdr:cNvSpPr>
          <a:spLocks noChangeShapeType="1"/>
        </xdr:cNvSpPr>
      </xdr:nvSpPr>
      <xdr:spPr bwMode="auto">
        <a:xfrm>
          <a:off x="24793575" y="742950"/>
          <a:ext cx="1562100" cy="0"/>
        </a:xfrm>
        <a:prstGeom prst="line">
          <a:avLst/>
        </a:prstGeom>
        <a:noFill/>
        <a:ln w="9525">
          <a:solidFill>
            <a:srgbClr val="000000"/>
          </a:solidFill>
          <a:round/>
          <a:headEnd/>
          <a:tailEnd/>
        </a:ln>
      </xdr:spPr>
    </xdr:sp>
    <xdr:clientData/>
  </xdr:twoCellAnchor>
  <xdr:twoCellAnchor>
    <xdr:from>
      <xdr:col>24</xdr:col>
      <xdr:colOff>685800</xdr:colOff>
      <xdr:row>16</xdr:row>
      <xdr:rowOff>238125</xdr:rowOff>
    </xdr:from>
    <xdr:to>
      <xdr:col>26</xdr:col>
      <xdr:colOff>619125</xdr:colOff>
      <xdr:row>17</xdr:row>
      <xdr:rowOff>0</xdr:rowOff>
    </xdr:to>
    <xdr:sp macro="" textlink="">
      <xdr:nvSpPr>
        <xdr:cNvPr id="20601" name="Line 5">
          <a:extLst>
            <a:ext uri="{FF2B5EF4-FFF2-40B4-BE49-F238E27FC236}">
              <a16:creationId xmlns:a16="http://schemas.microsoft.com/office/drawing/2014/main" id="{00000000-0008-0000-0500-000079500000}"/>
            </a:ext>
          </a:extLst>
        </xdr:cNvPr>
        <xdr:cNvSpPr>
          <a:spLocks noChangeShapeType="1"/>
        </xdr:cNvSpPr>
      </xdr:nvSpPr>
      <xdr:spPr bwMode="auto">
        <a:xfrm>
          <a:off x="24822150" y="4200525"/>
          <a:ext cx="1876425" cy="9525"/>
        </a:xfrm>
        <a:prstGeom prst="line">
          <a:avLst/>
        </a:prstGeom>
        <a:noFill/>
        <a:ln w="9525">
          <a:solidFill>
            <a:srgbClr val="000000"/>
          </a:solidFill>
          <a:round/>
          <a:headEnd/>
          <a:tailEnd/>
        </a:ln>
      </xdr:spPr>
    </xdr:sp>
    <xdr:clientData/>
  </xdr:twoCellAnchor>
  <xdr:twoCellAnchor>
    <xdr:from>
      <xdr:col>24</xdr:col>
      <xdr:colOff>666750</xdr:colOff>
      <xdr:row>16</xdr:row>
      <xdr:rowOff>228600</xdr:rowOff>
    </xdr:from>
    <xdr:to>
      <xdr:col>24</xdr:col>
      <xdr:colOff>666750</xdr:colOff>
      <xdr:row>17</xdr:row>
      <xdr:rowOff>238125</xdr:rowOff>
    </xdr:to>
    <xdr:sp macro="" textlink="">
      <xdr:nvSpPr>
        <xdr:cNvPr id="20602" name="Line 6">
          <a:extLst>
            <a:ext uri="{FF2B5EF4-FFF2-40B4-BE49-F238E27FC236}">
              <a16:creationId xmlns:a16="http://schemas.microsoft.com/office/drawing/2014/main" id="{00000000-0008-0000-0500-00007A500000}"/>
            </a:ext>
          </a:extLst>
        </xdr:cNvPr>
        <xdr:cNvSpPr>
          <a:spLocks noChangeShapeType="1"/>
        </xdr:cNvSpPr>
      </xdr:nvSpPr>
      <xdr:spPr bwMode="auto">
        <a:xfrm>
          <a:off x="24803100" y="4191000"/>
          <a:ext cx="0" cy="257175"/>
        </a:xfrm>
        <a:prstGeom prst="line">
          <a:avLst/>
        </a:prstGeom>
        <a:noFill/>
        <a:ln w="9525">
          <a:solidFill>
            <a:srgbClr val="000000"/>
          </a:solidFill>
          <a:round/>
          <a:headEnd/>
          <a:tailEnd type="triangle" w="med" len="med"/>
        </a:ln>
      </xdr:spPr>
    </xdr:sp>
    <xdr:clientData/>
  </xdr:twoCellAnchor>
  <xdr:twoCellAnchor>
    <xdr:from>
      <xdr:col>24</xdr:col>
      <xdr:colOff>638175</xdr:colOff>
      <xdr:row>40</xdr:row>
      <xdr:rowOff>0</xdr:rowOff>
    </xdr:from>
    <xdr:to>
      <xdr:col>25</xdr:col>
      <xdr:colOff>457200</xdr:colOff>
      <xdr:row>40</xdr:row>
      <xdr:rowOff>0</xdr:rowOff>
    </xdr:to>
    <xdr:sp macro="" textlink="">
      <xdr:nvSpPr>
        <xdr:cNvPr id="20603" name="Line 7">
          <a:extLst>
            <a:ext uri="{FF2B5EF4-FFF2-40B4-BE49-F238E27FC236}">
              <a16:creationId xmlns:a16="http://schemas.microsoft.com/office/drawing/2014/main" id="{00000000-0008-0000-0500-00007B500000}"/>
            </a:ext>
          </a:extLst>
        </xdr:cNvPr>
        <xdr:cNvSpPr>
          <a:spLocks noChangeShapeType="1"/>
        </xdr:cNvSpPr>
      </xdr:nvSpPr>
      <xdr:spPr bwMode="auto">
        <a:xfrm>
          <a:off x="24774525" y="9906000"/>
          <a:ext cx="66675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1</xdr:row>
      <xdr:rowOff>0</xdr:rowOff>
    </xdr:from>
    <xdr:to>
      <xdr:col>6</xdr:col>
      <xdr:colOff>714375</xdr:colOff>
      <xdr:row>3</xdr:row>
      <xdr:rowOff>114300</xdr:rowOff>
    </xdr:to>
    <xdr:pic>
      <xdr:nvPicPr>
        <xdr:cNvPr id="2" name="Picture 3" descr="logo_dashboard">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0150" y="190500"/>
          <a:ext cx="7143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34</xdr:col>
      <xdr:colOff>0</xdr:colOff>
      <xdr:row>1</xdr:row>
      <xdr:rowOff>0</xdr:rowOff>
    </xdr:from>
    <xdr:to>
      <xdr:col>34</xdr:col>
      <xdr:colOff>714375</xdr:colOff>
      <xdr:row>3</xdr:row>
      <xdr:rowOff>114300</xdr:rowOff>
    </xdr:to>
    <xdr:pic>
      <xdr:nvPicPr>
        <xdr:cNvPr id="2" name="Picture 3" descr="logo_dashboard">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70550" y="190500"/>
          <a:ext cx="7143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714375</xdr:colOff>
      <xdr:row>2</xdr:row>
      <xdr:rowOff>114300</xdr:rowOff>
    </xdr:to>
    <xdr:pic>
      <xdr:nvPicPr>
        <xdr:cNvPr id="2" name="Picture 3" descr="logo_dashboard">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0"/>
          <a:ext cx="7143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238125</xdr:colOff>
      <xdr:row>1</xdr:row>
      <xdr:rowOff>66675</xdr:rowOff>
    </xdr:from>
    <xdr:to>
      <xdr:col>10</xdr:col>
      <xdr:colOff>885825</xdr:colOff>
      <xdr:row>14</xdr:row>
      <xdr:rowOff>0</xdr:rowOff>
    </xdr:to>
    <xdr:graphicFrame macro="">
      <xdr:nvGraphicFramePr>
        <xdr:cNvPr id="2" name="Chart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Ravindra\Assignments\ISP\4991%20INSTALLATION%20OF%20TWO%20NOS.%20OF%20LADLE%20TILTERS%20AT%20SMS\Pkg-1%20UG\Working%20File%2040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s"/>
      <sheetName val="capcost(GST)"/>
      <sheetName val="TE"/>
      <sheetName val="cashflow"/>
      <sheetName val="Finan.summary"/>
      <sheetName val="MOM"/>
      <sheetName val="Initial MOM"/>
      <sheetName val="Comp"/>
      <sheetName val="Basis Pollution"/>
      <sheetName val="Capcost Pollution"/>
      <sheetName val="ccfg3&amp;4"/>
    </sheetNames>
    <sheetDataSet>
      <sheetData sheetId="0"/>
      <sheetData sheetId="1">
        <row r="1">
          <cell r="E1" t="str">
            <v>S T E E L   A U T H O R I T Y   OF   I N D I A    L I M I T E D</v>
          </cell>
        </row>
        <row r="10">
          <cell r="BK10">
            <v>0</v>
          </cell>
        </row>
        <row r="11">
          <cell r="BK11">
            <v>0</v>
          </cell>
        </row>
        <row r="12">
          <cell r="BK12">
            <v>0</v>
          </cell>
        </row>
        <row r="14">
          <cell r="BK14">
            <v>0</v>
          </cell>
        </row>
      </sheetData>
      <sheetData sheetId="2"/>
      <sheetData sheetId="3"/>
      <sheetData sheetId="4">
        <row r="24">
          <cell r="E24">
            <v>1</v>
          </cell>
        </row>
      </sheetData>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if(+N10*$K$11*$K$12%3e0,n10*$K$11*$K$12,0)" TargetMode="External"/><Relationship Id="rId7" Type="http://schemas.openxmlformats.org/officeDocument/2006/relationships/drawing" Target="../drawings/drawing3.xml"/><Relationship Id="rId2" Type="http://schemas.openxmlformats.org/officeDocument/2006/relationships/hyperlink" Target="mailto:=@if(+N10*$K$11*$K$12%3e0,n10*$K$11*$K$12,0)" TargetMode="External"/><Relationship Id="rId1" Type="http://schemas.openxmlformats.org/officeDocument/2006/relationships/hyperlink" Target="mailto:=@if(+N10*$K$11*$K$12%3e0,n10*$K$11*$K$12,0)" TargetMode="External"/><Relationship Id="rId6" Type="http://schemas.openxmlformats.org/officeDocument/2006/relationships/printerSettings" Target="../printerSettings/printerSettings5.bin"/><Relationship Id="rId5" Type="http://schemas.openxmlformats.org/officeDocument/2006/relationships/hyperlink" Target="mailto:=@if(+N10*$K$11*$K$12%3e0,n10*$K$11*$K$12,0)" TargetMode="External"/><Relationship Id="rId4" Type="http://schemas.openxmlformats.org/officeDocument/2006/relationships/hyperlink" Target="mailto:=@if(+N10*$K$11*$K$12%3e0,n10*$K$11*$K$12,0)"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O148"/>
  <sheetViews>
    <sheetView workbookViewId="0">
      <selection activeCell="A5" sqref="A5:F5"/>
    </sheetView>
  </sheetViews>
  <sheetFormatPr defaultRowHeight="15" x14ac:dyDescent="0.2"/>
  <cols>
    <col min="1" max="1" width="7.109375" customWidth="1"/>
    <col min="2" max="2" width="50.109375" customWidth="1"/>
    <col min="3" max="3" width="10" customWidth="1"/>
    <col min="4" max="4" width="9.109375" customWidth="1"/>
    <col min="5" max="5" width="11.6640625" customWidth="1"/>
    <col min="6" max="6" width="9.6640625" customWidth="1"/>
    <col min="7" max="7" width="17.109375" customWidth="1"/>
    <col min="8" max="8" width="20.77734375" customWidth="1"/>
    <col min="9" max="9" width="14.88671875" customWidth="1"/>
    <col min="10" max="10" width="13.77734375" customWidth="1"/>
    <col min="11" max="11" width="17.109375" customWidth="1"/>
    <col min="12" max="12" width="9" bestFit="1" customWidth="1"/>
  </cols>
  <sheetData>
    <row r="1" spans="1:6" ht="15.75" x14ac:dyDescent="0.25">
      <c r="E1" s="87"/>
    </row>
    <row r="2" spans="1:6" ht="15.75" x14ac:dyDescent="0.25">
      <c r="E2" s="87" t="s">
        <v>432</v>
      </c>
    </row>
    <row r="3" spans="1:6" x14ac:dyDescent="0.2">
      <c r="A3" s="935" t="s">
        <v>482</v>
      </c>
      <c r="B3" s="935"/>
      <c r="C3" s="935"/>
      <c r="D3" s="935"/>
      <c r="E3" s="935"/>
      <c r="F3" s="935"/>
    </row>
    <row r="4" spans="1:6" ht="15" customHeight="1" x14ac:dyDescent="0.25">
      <c r="A4" s="936" t="s">
        <v>483</v>
      </c>
      <c r="B4" s="936"/>
      <c r="C4" s="936"/>
      <c r="D4" s="936"/>
      <c r="E4" s="936"/>
      <c r="F4" s="936"/>
    </row>
    <row r="5" spans="1:6" ht="15" customHeight="1" x14ac:dyDescent="0.25">
      <c r="A5" s="936" t="s">
        <v>433</v>
      </c>
      <c r="B5" s="936"/>
      <c r="C5" s="936"/>
      <c r="D5" s="936"/>
      <c r="E5" s="936"/>
      <c r="F5" s="936"/>
    </row>
    <row r="6" spans="1:6" ht="15.75" x14ac:dyDescent="0.25">
      <c r="A6" s="2" t="s">
        <v>26</v>
      </c>
      <c r="B6" s="1" t="s">
        <v>434</v>
      </c>
    </row>
    <row r="7" spans="1:6" ht="15.75" x14ac:dyDescent="0.2">
      <c r="A7" s="532" t="s">
        <v>25</v>
      </c>
      <c r="B7" s="532" t="s">
        <v>122</v>
      </c>
      <c r="C7" s="532" t="s">
        <v>36</v>
      </c>
      <c r="D7" s="532" t="s">
        <v>139</v>
      </c>
    </row>
    <row r="8" spans="1:6" ht="21.95" customHeight="1" x14ac:dyDescent="0.2">
      <c r="A8" s="533">
        <v>1</v>
      </c>
      <c r="B8" s="530" t="s">
        <v>423</v>
      </c>
      <c r="C8" s="529" t="s">
        <v>424</v>
      </c>
      <c r="D8" s="534">
        <f>D129</f>
        <v>1758</v>
      </c>
    </row>
    <row r="9" spans="1:6" ht="21.95" customHeight="1" x14ac:dyDescent="0.2">
      <c r="A9" s="535">
        <f>1+A8</f>
        <v>2</v>
      </c>
      <c r="B9" s="530" t="s">
        <v>476</v>
      </c>
      <c r="C9" s="529" t="s">
        <v>328</v>
      </c>
      <c r="D9" s="534">
        <f>F79</f>
        <v>2760.06</v>
      </c>
    </row>
    <row r="10" spans="1:6" ht="21.95" customHeight="1" x14ac:dyDescent="0.2">
      <c r="A10" s="535">
        <f t="shared" ref="A10:A24" si="0">1+A9</f>
        <v>3</v>
      </c>
      <c r="B10" s="530" t="s">
        <v>425</v>
      </c>
      <c r="C10" s="529" t="s">
        <v>435</v>
      </c>
      <c r="D10" s="534">
        <f>D130</f>
        <v>350</v>
      </c>
    </row>
    <row r="11" spans="1:6" ht="21.95" customHeight="1" x14ac:dyDescent="0.2">
      <c r="A11" s="535">
        <f t="shared" si="0"/>
        <v>4</v>
      </c>
      <c r="B11" s="530" t="s">
        <v>477</v>
      </c>
      <c r="C11" s="529" t="s">
        <v>427</v>
      </c>
      <c r="D11" s="534">
        <f>F78</f>
        <v>912</v>
      </c>
    </row>
    <row r="12" spans="1:6" ht="21.95" customHeight="1" x14ac:dyDescent="0.2">
      <c r="A12" s="535">
        <f t="shared" si="0"/>
        <v>5</v>
      </c>
      <c r="B12" s="530" t="s">
        <v>428</v>
      </c>
      <c r="C12" s="529" t="s">
        <v>427</v>
      </c>
      <c r="D12" s="534">
        <f>E94</f>
        <v>1200</v>
      </c>
    </row>
    <row r="13" spans="1:6" ht="21.95" customHeight="1" x14ac:dyDescent="0.2">
      <c r="A13" s="535">
        <f t="shared" si="0"/>
        <v>6</v>
      </c>
      <c r="B13" s="531" t="s">
        <v>478</v>
      </c>
      <c r="C13" s="529" t="s">
        <v>436</v>
      </c>
      <c r="D13" s="536">
        <f>D97</f>
        <v>0.86</v>
      </c>
    </row>
    <row r="14" spans="1:6" ht="21.95" customHeight="1" x14ac:dyDescent="0.2">
      <c r="A14" s="535">
        <f t="shared" si="0"/>
        <v>7</v>
      </c>
      <c r="B14" s="531" t="s">
        <v>437</v>
      </c>
      <c r="C14" s="529" t="s">
        <v>436</v>
      </c>
      <c r="D14" s="536">
        <f>D98</f>
        <v>1</v>
      </c>
    </row>
    <row r="15" spans="1:6" ht="21.95" customHeight="1" x14ac:dyDescent="0.2">
      <c r="A15" s="535">
        <f t="shared" si="0"/>
        <v>8</v>
      </c>
      <c r="B15" s="531" t="s">
        <v>429</v>
      </c>
      <c r="C15" s="529" t="s">
        <v>328</v>
      </c>
      <c r="D15" s="534">
        <f>SUM(G52:G54)+F92*0</f>
        <v>118.95858600000001</v>
      </c>
    </row>
    <row r="16" spans="1:6" ht="21.95" customHeight="1" x14ac:dyDescent="0.2">
      <c r="A16" s="535">
        <f t="shared" si="0"/>
        <v>9</v>
      </c>
      <c r="B16" s="531" t="s">
        <v>438</v>
      </c>
      <c r="C16" s="529" t="s">
        <v>328</v>
      </c>
      <c r="D16" s="537">
        <f>(D14-D13)*0.11*D9</f>
        <v>42.504924000000003</v>
      </c>
    </row>
    <row r="17" spans="1:15" ht="21.95" customHeight="1" x14ac:dyDescent="0.2">
      <c r="A17" s="535">
        <f t="shared" si="0"/>
        <v>10</v>
      </c>
      <c r="B17" s="530" t="s">
        <v>439</v>
      </c>
      <c r="C17" s="529" t="s">
        <v>328</v>
      </c>
      <c r="D17" s="534">
        <f>D9+D15+D16</f>
        <v>2921.52351</v>
      </c>
      <c r="F17" s="538"/>
      <c r="G17" s="11"/>
      <c r="H17" s="539"/>
    </row>
    <row r="18" spans="1:15" ht="21.95" customHeight="1" x14ac:dyDescent="0.2">
      <c r="A18" s="535">
        <f t="shared" si="0"/>
        <v>11</v>
      </c>
      <c r="B18" s="530" t="s">
        <v>440</v>
      </c>
      <c r="C18" s="540" t="s">
        <v>441</v>
      </c>
      <c r="D18" s="534">
        <f>+D10*(D17-D9)</f>
        <v>56512.228500000012</v>
      </c>
    </row>
    <row r="19" spans="1:15" ht="21.95" customHeight="1" x14ac:dyDescent="0.2">
      <c r="A19" s="535">
        <f t="shared" si="0"/>
        <v>12</v>
      </c>
      <c r="B19" s="530" t="s">
        <v>430</v>
      </c>
      <c r="C19" s="540" t="s">
        <v>441</v>
      </c>
      <c r="D19" s="534">
        <f>+D18*D123</f>
        <v>52556.372505000014</v>
      </c>
      <c r="I19" s="541"/>
    </row>
    <row r="20" spans="1:15" ht="21.95" customHeight="1" x14ac:dyDescent="0.2">
      <c r="A20" s="535">
        <f t="shared" si="0"/>
        <v>13</v>
      </c>
      <c r="B20" s="530" t="s">
        <v>479</v>
      </c>
      <c r="C20" s="529" t="s">
        <v>331</v>
      </c>
      <c r="D20" s="534">
        <f>F80</f>
        <v>453</v>
      </c>
    </row>
    <row r="21" spans="1:15" ht="21.95" customHeight="1" x14ac:dyDescent="0.2">
      <c r="A21" s="535">
        <f t="shared" si="0"/>
        <v>14</v>
      </c>
      <c r="B21" s="531" t="s">
        <v>431</v>
      </c>
      <c r="C21" s="529" t="s">
        <v>331</v>
      </c>
      <c r="D21" s="534">
        <f>SUM(F52:F54)-F93*0</f>
        <v>18.618299999999998</v>
      </c>
    </row>
    <row r="22" spans="1:15" ht="21.95" customHeight="1" x14ac:dyDescent="0.2">
      <c r="A22" s="535">
        <f t="shared" si="0"/>
        <v>15</v>
      </c>
      <c r="B22" s="531" t="s">
        <v>442</v>
      </c>
      <c r="C22" s="529" t="s">
        <v>331</v>
      </c>
      <c r="D22" s="534">
        <f>(D14-D13)*0.05*D20</f>
        <v>3.1710000000000003</v>
      </c>
    </row>
    <row r="23" spans="1:15" ht="21.95" customHeight="1" x14ac:dyDescent="0.2">
      <c r="A23" s="535">
        <f t="shared" si="0"/>
        <v>16</v>
      </c>
      <c r="B23" s="530" t="s">
        <v>443</v>
      </c>
      <c r="C23" s="529" t="s">
        <v>331</v>
      </c>
      <c r="D23" s="534">
        <f>D20-D21-D22</f>
        <v>431.21070000000003</v>
      </c>
    </row>
    <row r="24" spans="1:15" ht="21.95" customHeight="1" x14ac:dyDescent="0.2">
      <c r="A24" s="542">
        <f t="shared" si="0"/>
        <v>17</v>
      </c>
      <c r="B24" s="543" t="s">
        <v>444</v>
      </c>
      <c r="C24" s="544" t="s">
        <v>331</v>
      </c>
      <c r="D24" s="545">
        <f>D20-D23</f>
        <v>21.789299999999969</v>
      </c>
    </row>
    <row r="26" spans="1:15" ht="15.75" x14ac:dyDescent="0.25">
      <c r="A26" s="546" t="s">
        <v>27</v>
      </c>
      <c r="B26" s="547" t="s">
        <v>445</v>
      </c>
      <c r="C26" s="9"/>
      <c r="D26" s="11"/>
      <c r="E26" s="11"/>
      <c r="F26" s="11"/>
    </row>
    <row r="27" spans="1:15" ht="30" x14ac:dyDescent="0.25">
      <c r="A27" s="548" t="s">
        <v>25</v>
      </c>
      <c r="B27" s="548" t="s">
        <v>122</v>
      </c>
      <c r="C27" s="548" t="s">
        <v>36</v>
      </c>
      <c r="D27" s="549" t="s">
        <v>446</v>
      </c>
      <c r="E27" s="549" t="s">
        <v>447</v>
      </c>
      <c r="F27" s="549" t="s">
        <v>448</v>
      </c>
      <c r="G27" s="550"/>
      <c r="H27" s="87"/>
      <c r="I27" s="2"/>
    </row>
    <row r="28" spans="1:15" ht="30" x14ac:dyDescent="0.2">
      <c r="A28" s="551">
        <v>1</v>
      </c>
      <c r="B28" s="634" t="s">
        <v>480</v>
      </c>
      <c r="C28" s="540" t="s">
        <v>441</v>
      </c>
      <c r="D28" s="552">
        <f>+D19</f>
        <v>52556.372505000014</v>
      </c>
      <c r="E28" s="552">
        <f>D114</f>
        <v>5487.3333333333321</v>
      </c>
      <c r="F28" s="553">
        <f>E28*D28/10^7</f>
        <v>28.839433472576999</v>
      </c>
      <c r="H28" s="554"/>
    </row>
    <row r="29" spans="1:15" ht="26.25" customHeight="1" x14ac:dyDescent="0.2">
      <c r="A29" s="555">
        <v>2</v>
      </c>
      <c r="B29" s="556" t="s">
        <v>481</v>
      </c>
      <c r="C29" s="557" t="s">
        <v>441</v>
      </c>
      <c r="D29" s="558">
        <f>+D24*D17*D10/1000</f>
        <v>22280.283275755017</v>
      </c>
      <c r="E29" s="558">
        <f>D115</f>
        <v>23586.55</v>
      </c>
      <c r="F29" s="559">
        <f>E29*D29/10^7</f>
        <v>52.551501549775949</v>
      </c>
      <c r="H29" s="554"/>
    </row>
    <row r="30" spans="1:15" ht="15.75" x14ac:dyDescent="0.25">
      <c r="A30" s="185"/>
      <c r="B30" s="560" t="s">
        <v>449</v>
      </c>
      <c r="C30" s="185"/>
      <c r="D30" s="561"/>
      <c r="E30" s="562"/>
      <c r="F30" s="563">
        <f>+F29+F28</f>
        <v>81.390935022352949</v>
      </c>
      <c r="H30" s="554"/>
      <c r="I30" t="s">
        <v>468</v>
      </c>
      <c r="J30" t="s">
        <v>469</v>
      </c>
      <c r="K30">
        <v>4200</v>
      </c>
      <c r="L30" t="s">
        <v>470</v>
      </c>
      <c r="M30" t="s">
        <v>471</v>
      </c>
      <c r="N30" t="s">
        <v>472</v>
      </c>
      <c r="O30" t="s">
        <v>473</v>
      </c>
    </row>
    <row r="31" spans="1:15" ht="15.75" x14ac:dyDescent="0.25">
      <c r="A31" s="564" t="s">
        <v>28</v>
      </c>
      <c r="B31" s="565" t="s">
        <v>450</v>
      </c>
      <c r="C31" s="566"/>
      <c r="D31" s="567"/>
      <c r="E31" s="568"/>
      <c r="F31" s="568"/>
      <c r="I31" t="s">
        <v>474</v>
      </c>
      <c r="J31" t="s">
        <v>469</v>
      </c>
      <c r="K31">
        <v>780</v>
      </c>
      <c r="L31" t="s">
        <v>470</v>
      </c>
    </row>
    <row r="32" spans="1:15" x14ac:dyDescent="0.2">
      <c r="A32" s="551">
        <v>1</v>
      </c>
      <c r="B32" s="12" t="s">
        <v>466</v>
      </c>
      <c r="C32" s="569" t="s">
        <v>441</v>
      </c>
      <c r="D32" s="570">
        <f>(D106-F82)*24*350</f>
        <v>50400</v>
      </c>
      <c r="E32" s="571">
        <f>D124</f>
        <v>1176.3599999999999</v>
      </c>
      <c r="F32" s="572">
        <f>D32*E32/10^7</f>
        <v>5.9288543999999996</v>
      </c>
    </row>
    <row r="33" spans="1:10" x14ac:dyDescent="0.2">
      <c r="A33" s="551">
        <v>2</v>
      </c>
      <c r="B33" s="12" t="s">
        <v>467</v>
      </c>
      <c r="C33" s="574" t="s">
        <v>475</v>
      </c>
      <c r="D33" s="570">
        <f>(D107-F83)*24*350*780/10^6</f>
        <v>131040</v>
      </c>
      <c r="E33" s="571">
        <f>D116</f>
        <v>1080.19</v>
      </c>
      <c r="F33" s="572">
        <f>D33*E33/10^7</f>
        <v>14.154809759999999</v>
      </c>
    </row>
    <row r="34" spans="1:10" ht="18" x14ac:dyDescent="0.2">
      <c r="A34" s="573">
        <v>2</v>
      </c>
      <c r="B34" s="637" t="s">
        <v>491</v>
      </c>
      <c r="C34" s="638" t="s">
        <v>492</v>
      </c>
      <c r="D34" s="632">
        <f>(0)*24*350/10^3</f>
        <v>0</v>
      </c>
      <c r="E34" s="571">
        <f>D120+1000</f>
        <v>1935.5</v>
      </c>
      <c r="F34" s="575">
        <f t="shared" ref="F34:F37" si="1">D34*E34/10^7</f>
        <v>0</v>
      </c>
      <c r="H34" s="576"/>
      <c r="I34" s="576"/>
    </row>
    <row r="35" spans="1:10" x14ac:dyDescent="0.2">
      <c r="A35" s="573">
        <v>3</v>
      </c>
      <c r="B35" s="637" t="s">
        <v>451</v>
      </c>
      <c r="C35" s="638" t="s">
        <v>414</v>
      </c>
      <c r="D35" s="632">
        <f>0*24*350/10^3</f>
        <v>0</v>
      </c>
      <c r="E35" s="571">
        <f>D119</f>
        <v>5072.7</v>
      </c>
      <c r="F35" s="572">
        <f t="shared" si="1"/>
        <v>0</v>
      </c>
      <c r="H35" s="576"/>
      <c r="I35" s="576"/>
    </row>
    <row r="36" spans="1:10" ht="18" x14ac:dyDescent="0.2">
      <c r="A36" s="573">
        <v>4</v>
      </c>
      <c r="B36" s="637" t="s">
        <v>493</v>
      </c>
      <c r="C36" s="638" t="s">
        <v>492</v>
      </c>
      <c r="D36" s="632">
        <f>(0)*24*350/10^3</f>
        <v>0</v>
      </c>
      <c r="E36" s="571">
        <f>D121</f>
        <v>786.44</v>
      </c>
      <c r="F36" s="575">
        <f t="shared" si="1"/>
        <v>0</v>
      </c>
      <c r="H36" s="576"/>
      <c r="I36" s="576"/>
    </row>
    <row r="37" spans="1:10" ht="18" x14ac:dyDescent="0.2">
      <c r="A37" s="573">
        <v>5</v>
      </c>
      <c r="B37" s="637" t="s">
        <v>494</v>
      </c>
      <c r="C37" s="638" t="s">
        <v>495</v>
      </c>
      <c r="D37" s="633">
        <f>(0)*24*350/10^5</f>
        <v>0</v>
      </c>
      <c r="E37" s="571">
        <f>D122</f>
        <v>2216.2600000000002</v>
      </c>
      <c r="F37" s="575">
        <f t="shared" si="1"/>
        <v>0</v>
      </c>
      <c r="H37" s="576"/>
      <c r="I37" s="576"/>
    </row>
    <row r="38" spans="1:10" x14ac:dyDescent="0.2">
      <c r="A38" s="577">
        <v>6</v>
      </c>
      <c r="B38" s="578" t="s">
        <v>497</v>
      </c>
      <c r="C38" s="579"/>
      <c r="D38" s="580"/>
      <c r="E38" s="581"/>
      <c r="F38" s="582" t="e">
        <f>#REF!*0.025</f>
        <v>#REF!</v>
      </c>
      <c r="H38" s="576"/>
      <c r="I38" s="576"/>
    </row>
    <row r="39" spans="1:10" ht="15.75" x14ac:dyDescent="0.25">
      <c r="A39" s="583"/>
      <c r="B39" s="584" t="s">
        <v>452</v>
      </c>
      <c r="C39" s="15"/>
      <c r="D39" s="585"/>
      <c r="E39" s="585"/>
      <c r="F39" s="584" t="e">
        <f>SUM(F32:F38)</f>
        <v>#REF!</v>
      </c>
      <c r="H39" s="111"/>
      <c r="I39" s="111"/>
    </row>
    <row r="40" spans="1:10" ht="15.75" x14ac:dyDescent="0.25">
      <c r="A40" s="586"/>
      <c r="B40" s="587" t="s">
        <v>453</v>
      </c>
      <c r="C40" s="15" t="s">
        <v>153</v>
      </c>
      <c r="D40" s="588"/>
      <c r="E40" s="589"/>
      <c r="F40" s="584" t="e">
        <f>F30-F39</f>
        <v>#REF!</v>
      </c>
      <c r="G40">
        <v>49.816194747660603</v>
      </c>
      <c r="H40" s="111">
        <v>133.94723662613373</v>
      </c>
      <c r="I40" s="111"/>
    </row>
    <row r="41" spans="1:10" x14ac:dyDescent="0.2">
      <c r="G41">
        <v>108.39368225358277</v>
      </c>
      <c r="H41">
        <v>71.419693767441785</v>
      </c>
    </row>
    <row r="43" spans="1:10" x14ac:dyDescent="0.2">
      <c r="F43" s="591"/>
    </row>
    <row r="45" spans="1:10" ht="15.75" x14ac:dyDescent="0.25">
      <c r="B45" s="592" t="s">
        <v>454</v>
      </c>
      <c r="C45" s="593"/>
      <c r="D45" s="439"/>
      <c r="E45" s="439"/>
      <c r="F45" s="594"/>
    </row>
    <row r="46" spans="1:10" x14ac:dyDescent="0.2">
      <c r="B46" s="595"/>
      <c r="C46" s="595"/>
      <c r="D46" s="14" t="s">
        <v>345</v>
      </c>
      <c r="E46" s="90" t="s">
        <v>332</v>
      </c>
      <c r="F46" s="90" t="s">
        <v>346</v>
      </c>
      <c r="G46" s="98"/>
    </row>
    <row r="47" spans="1:10" ht="15.75" x14ac:dyDescent="0.25">
      <c r="B47" s="14" t="s">
        <v>347</v>
      </c>
      <c r="C47" s="90" t="s">
        <v>328</v>
      </c>
      <c r="D47" s="596">
        <f>F79</f>
        <v>2760.06</v>
      </c>
      <c r="E47" s="597">
        <f>(+D47+D47*(E49-D49)/100*C55)*0+G56</f>
        <v>2921.52351</v>
      </c>
      <c r="F47" s="598">
        <f>ROUND(+E47-D47,0)</f>
        <v>161</v>
      </c>
      <c r="G47" s="433"/>
      <c r="H47">
        <f>D47+H53</f>
        <v>2879.0185860000001</v>
      </c>
      <c r="J47" s="3"/>
    </row>
    <row r="48" spans="1:10" ht="15.75" x14ac:dyDescent="0.25">
      <c r="B48" s="14" t="s">
        <v>380</v>
      </c>
      <c r="C48" s="90" t="s">
        <v>331</v>
      </c>
      <c r="D48" s="596">
        <f>F80</f>
        <v>453</v>
      </c>
      <c r="E48" s="597">
        <f>(+D48-D48*(E49-D49)/100*D55)*0+F56</f>
        <v>431.21069999999997</v>
      </c>
      <c r="F48" s="598">
        <f>ROUND(+E48-D48,0)</f>
        <v>-22</v>
      </c>
      <c r="G48" s="433"/>
    </row>
    <row r="49" spans="1:9" x14ac:dyDescent="0.2">
      <c r="B49" s="14" t="s">
        <v>382</v>
      </c>
      <c r="C49" s="90" t="s">
        <v>383</v>
      </c>
      <c r="D49" s="596">
        <f>F78</f>
        <v>912</v>
      </c>
      <c r="E49" s="598">
        <f>1200</f>
        <v>1200</v>
      </c>
      <c r="F49" s="598">
        <f>+E49-D49</f>
        <v>288</v>
      </c>
      <c r="G49" s="599"/>
    </row>
    <row r="50" spans="1:9" x14ac:dyDescent="0.2">
      <c r="B50" s="600"/>
      <c r="D50" s="11"/>
      <c r="F50" s="601"/>
    </row>
    <row r="51" spans="1:9" ht="90" x14ac:dyDescent="0.2">
      <c r="B51" s="602" t="s">
        <v>455</v>
      </c>
      <c r="C51" s="80" t="s">
        <v>456</v>
      </c>
      <c r="D51" s="80" t="s">
        <v>457</v>
      </c>
      <c r="E51" s="603" t="s">
        <v>458</v>
      </c>
      <c r="F51" t="s">
        <v>380</v>
      </c>
      <c r="G51" t="s">
        <v>347</v>
      </c>
    </row>
    <row r="52" spans="1:9" x14ac:dyDescent="0.2">
      <c r="B52" s="602" t="s">
        <v>459</v>
      </c>
      <c r="C52" s="604">
        <v>0.02</v>
      </c>
      <c r="D52" s="604">
        <v>0.02</v>
      </c>
      <c r="E52">
        <f>1000-D49</f>
        <v>88</v>
      </c>
      <c r="F52" s="605">
        <f>D48*E52*D52/100</f>
        <v>7.9727999999999994</v>
      </c>
      <c r="G52" s="605">
        <f>D47*C52*E52/100</f>
        <v>48.577055999999999</v>
      </c>
      <c r="H52">
        <f>D47*0.02*F49/100</f>
        <v>158.979456</v>
      </c>
      <c r="I52" s="440" t="s">
        <v>379</v>
      </c>
    </row>
    <row r="53" spans="1:9" x14ac:dyDescent="0.2">
      <c r="B53" s="602" t="s">
        <v>460</v>
      </c>
      <c r="C53" s="604">
        <v>1.4999999999999999E-2</v>
      </c>
      <c r="D53" s="604">
        <v>1.4999999999999999E-2</v>
      </c>
      <c r="E53">
        <v>100</v>
      </c>
      <c r="F53" s="605">
        <f>D48*E53*D53/100</f>
        <v>6.7949999999999999</v>
      </c>
      <c r="G53" s="605">
        <f>D47*E53*C53/100</f>
        <v>41.4009</v>
      </c>
      <c r="H53">
        <f>SUM(G52:G54)</f>
        <v>118.95858600000001</v>
      </c>
      <c r="I53" t="s">
        <v>461</v>
      </c>
    </row>
    <row r="54" spans="1:9" x14ac:dyDescent="0.2">
      <c r="B54" s="602" t="s">
        <v>462</v>
      </c>
      <c r="C54" s="604">
        <v>1.0500000000000001E-2</v>
      </c>
      <c r="D54" s="604">
        <v>8.5000000000000006E-3</v>
      </c>
      <c r="E54">
        <v>100</v>
      </c>
      <c r="F54" s="605">
        <f>D48*E54*D54/100</f>
        <v>3.8505000000000003</v>
      </c>
      <c r="G54" s="605">
        <f>D47*E54*C54/100</f>
        <v>28.980630000000001</v>
      </c>
      <c r="H54">
        <f>D48*0.033*F49/100</f>
        <v>43.05312</v>
      </c>
      <c r="I54" s="440" t="s">
        <v>381</v>
      </c>
    </row>
    <row r="55" spans="1:9" ht="47.25" x14ac:dyDescent="0.25">
      <c r="B55" s="602" t="s">
        <v>335</v>
      </c>
      <c r="C55" s="604">
        <f>AVERAGE(C52:C54)</f>
        <v>1.5166666666666669E-2</v>
      </c>
      <c r="D55" s="604">
        <f>AVERAGE(D52:D54)</f>
        <v>1.4500000000000001E-2</v>
      </c>
      <c r="E55" s="606" t="s">
        <v>463</v>
      </c>
      <c r="F55" s="605">
        <f>D61*D20</f>
        <v>3.1710000000000003</v>
      </c>
      <c r="G55" s="605">
        <f>D60*D9</f>
        <v>42.504924000000003</v>
      </c>
      <c r="H55">
        <f>SUM(F52:F54)</f>
        <v>18.618299999999998</v>
      </c>
      <c r="I55" t="s">
        <v>461</v>
      </c>
    </row>
    <row r="56" spans="1:9" ht="31.5" x14ac:dyDescent="0.25">
      <c r="B56" s="112"/>
      <c r="C56" s="607"/>
      <c r="D56" s="607"/>
      <c r="E56" s="606" t="s">
        <v>464</v>
      </c>
      <c r="F56" s="605">
        <f>D48-SUM(F52:F55)</f>
        <v>431.21069999999997</v>
      </c>
      <c r="G56" s="605">
        <f>D47+SUM(G52:G55)</f>
        <v>2921.52351</v>
      </c>
    </row>
    <row r="57" spans="1:9" ht="15.75" x14ac:dyDescent="0.25">
      <c r="B57" s="608" t="s">
        <v>385</v>
      </c>
      <c r="G57" s="608"/>
      <c r="H57" s="605"/>
      <c r="I57" s="605"/>
    </row>
    <row r="58" spans="1:9" ht="15.75" x14ac:dyDescent="0.25">
      <c r="A58" s="609">
        <v>1</v>
      </c>
      <c r="B58" s="610" t="s">
        <v>386</v>
      </c>
      <c r="C58" s="611" t="s">
        <v>387</v>
      </c>
      <c r="D58" s="612">
        <f>F81</f>
        <v>0.86</v>
      </c>
      <c r="G58" s="608"/>
      <c r="H58" s="605"/>
      <c r="I58" s="605"/>
    </row>
    <row r="59" spans="1:9" ht="15.75" x14ac:dyDescent="0.25">
      <c r="A59" s="609">
        <v>2</v>
      </c>
      <c r="B59" s="610" t="s">
        <v>388</v>
      </c>
      <c r="C59" s="611" t="s">
        <v>389</v>
      </c>
      <c r="D59" s="612">
        <f>D98</f>
        <v>1</v>
      </c>
      <c r="G59" s="608"/>
      <c r="H59" s="605"/>
      <c r="I59" s="605"/>
    </row>
    <row r="60" spans="1:9" ht="15.75" x14ac:dyDescent="0.25">
      <c r="A60" s="609">
        <v>3</v>
      </c>
      <c r="B60" s="610" t="s">
        <v>390</v>
      </c>
      <c r="C60" s="611"/>
      <c r="D60" s="613">
        <f>0.011*(D59-D58)/0.1</f>
        <v>1.54E-2</v>
      </c>
      <c r="E60" s="440" t="s">
        <v>391</v>
      </c>
      <c r="G60" s="608"/>
      <c r="H60" s="605"/>
      <c r="I60" s="605"/>
    </row>
    <row r="61" spans="1:9" ht="15.75" x14ac:dyDescent="0.25">
      <c r="A61" s="609">
        <v>4</v>
      </c>
      <c r="B61" s="610" t="s">
        <v>392</v>
      </c>
      <c r="C61" s="611" t="s">
        <v>331</v>
      </c>
      <c r="D61" s="614">
        <f>(D59-D58)*(0.05)*0+0.005*(D59-D58)/0.1</f>
        <v>7.000000000000001E-3</v>
      </c>
      <c r="E61" s="440" t="s">
        <v>393</v>
      </c>
      <c r="G61" s="608"/>
      <c r="H61" s="605"/>
      <c r="I61" s="605"/>
    </row>
    <row r="62" spans="1:9" x14ac:dyDescent="0.2">
      <c r="B62" s="590"/>
      <c r="C62" s="590"/>
      <c r="D62" s="590"/>
      <c r="E62" s="590"/>
      <c r="F62" s="590"/>
    </row>
    <row r="63" spans="1:9" x14ac:dyDescent="0.2">
      <c r="A63" s="615"/>
      <c r="B63" s="615"/>
      <c r="C63" s="615"/>
      <c r="D63" s="615"/>
      <c r="E63" s="615"/>
      <c r="F63" s="615"/>
    </row>
    <row r="64" spans="1:9" ht="15.75" x14ac:dyDescent="0.2">
      <c r="A64" s="616" t="s">
        <v>337</v>
      </c>
      <c r="B64" s="617"/>
      <c r="C64" s="618"/>
      <c r="D64" s="617"/>
      <c r="E64" s="617"/>
    </row>
    <row r="65" spans="1:9" x14ac:dyDescent="0.2">
      <c r="A65" s="619">
        <v>1</v>
      </c>
      <c r="B65" s="620" t="s">
        <v>338</v>
      </c>
      <c r="C65" s="621" t="s">
        <v>15</v>
      </c>
      <c r="D65" s="618">
        <f>D9*D10</f>
        <v>966021</v>
      </c>
      <c r="E65" s="617"/>
    </row>
    <row r="66" spans="1:9" x14ac:dyDescent="0.2">
      <c r="A66" s="619">
        <f t="shared" ref="A66:A71" si="2">+A65+1</f>
        <v>2</v>
      </c>
      <c r="B66" s="620" t="s">
        <v>339</v>
      </c>
      <c r="C66" s="622" t="s">
        <v>327</v>
      </c>
      <c r="D66" s="623">
        <f>D126</f>
        <v>180</v>
      </c>
      <c r="E66" s="617"/>
    </row>
    <row r="67" spans="1:9" x14ac:dyDescent="0.2">
      <c r="A67" s="619">
        <v>3</v>
      </c>
      <c r="B67" s="620" t="s">
        <v>422</v>
      </c>
      <c r="C67" s="622" t="s">
        <v>327</v>
      </c>
      <c r="D67" s="623">
        <f>D127</f>
        <v>180</v>
      </c>
      <c r="E67" s="617"/>
    </row>
    <row r="68" spans="1:9" x14ac:dyDescent="0.2">
      <c r="A68" s="619">
        <f t="shared" si="2"/>
        <v>4</v>
      </c>
      <c r="B68" s="620" t="s">
        <v>340</v>
      </c>
      <c r="C68" s="622" t="s">
        <v>327</v>
      </c>
      <c r="D68" s="624">
        <f>+D66-D67</f>
        <v>0</v>
      </c>
      <c r="E68" s="617"/>
    </row>
    <row r="69" spans="1:9" x14ac:dyDescent="0.2">
      <c r="A69" s="619">
        <f t="shared" si="2"/>
        <v>5</v>
      </c>
      <c r="B69" s="625" t="s">
        <v>341</v>
      </c>
      <c r="C69" s="626" t="s">
        <v>342</v>
      </c>
      <c r="D69" s="618">
        <f>+D68*D65/350</f>
        <v>0</v>
      </c>
      <c r="E69" s="617"/>
    </row>
    <row r="70" spans="1:9" x14ac:dyDescent="0.2">
      <c r="A70" s="619">
        <f t="shared" si="2"/>
        <v>6</v>
      </c>
      <c r="B70" s="627" t="s">
        <v>330</v>
      </c>
      <c r="C70" s="622" t="s">
        <v>329</v>
      </c>
      <c r="D70" s="618">
        <f>D69*D123</f>
        <v>0</v>
      </c>
      <c r="E70" s="617"/>
    </row>
    <row r="71" spans="1:9" ht="15.75" x14ac:dyDescent="0.2">
      <c r="A71" s="619">
        <f t="shared" si="2"/>
        <v>7</v>
      </c>
      <c r="B71" s="628" t="s">
        <v>343</v>
      </c>
      <c r="C71" s="629" t="s">
        <v>344</v>
      </c>
      <c r="D71" s="630">
        <f>D70*E28/10^7</f>
        <v>0</v>
      </c>
      <c r="E71" s="617"/>
    </row>
    <row r="72" spans="1:9" x14ac:dyDescent="0.2">
      <c r="A72" s="619"/>
      <c r="B72" s="628"/>
      <c r="C72" s="629"/>
      <c r="D72" s="628"/>
      <c r="E72" s="617"/>
    </row>
    <row r="74" spans="1:9" ht="18" x14ac:dyDescent="0.25">
      <c r="A74" s="440"/>
      <c r="B74" s="937" t="s">
        <v>364</v>
      </c>
      <c r="C74" s="937"/>
      <c r="D74" s="937"/>
      <c r="E74" s="937"/>
      <c r="F74" s="937"/>
      <c r="G74" s="937"/>
      <c r="H74" s="937"/>
      <c r="I74" s="440"/>
    </row>
    <row r="75" spans="1:9" x14ac:dyDescent="0.2">
      <c r="A75" s="440"/>
      <c r="B75" s="440"/>
      <c r="C75" s="440"/>
      <c r="D75" s="440"/>
      <c r="E75" s="440"/>
      <c r="F75" s="440"/>
      <c r="G75" s="440"/>
      <c r="H75" s="440"/>
      <c r="I75" s="440"/>
    </row>
    <row r="76" spans="1:9" ht="15.75" thickBot="1" x14ac:dyDescent="0.25">
      <c r="A76" s="440"/>
      <c r="B76" s="441" t="s">
        <v>348</v>
      </c>
      <c r="C76" s="442"/>
      <c r="D76" s="442"/>
      <c r="E76" s="442"/>
      <c r="F76" s="442"/>
      <c r="G76" s="440"/>
      <c r="H76" s="440"/>
      <c r="I76" s="440"/>
    </row>
    <row r="77" spans="1:9" ht="16.5" thickBot="1" x14ac:dyDescent="0.3">
      <c r="A77" s="440"/>
      <c r="B77" s="443" t="s">
        <v>3</v>
      </c>
      <c r="C77" s="444" t="s">
        <v>36</v>
      </c>
      <c r="D77" s="444" t="s">
        <v>334</v>
      </c>
      <c r="E77" s="444" t="s">
        <v>333</v>
      </c>
      <c r="F77" s="466" t="s">
        <v>349</v>
      </c>
      <c r="G77" s="465" t="s">
        <v>350</v>
      </c>
      <c r="H77" s="467"/>
      <c r="I77" s="440"/>
    </row>
    <row r="78" spans="1:9" x14ac:dyDescent="0.2">
      <c r="A78" s="440"/>
      <c r="B78" s="468" t="s">
        <v>365</v>
      </c>
      <c r="C78" s="469" t="s">
        <v>366</v>
      </c>
      <c r="D78" s="470">
        <v>901</v>
      </c>
      <c r="E78" s="470">
        <v>869</v>
      </c>
      <c r="F78" s="471">
        <v>912</v>
      </c>
      <c r="G78" s="472">
        <f>AVERAGE(D78:F78)</f>
        <v>894</v>
      </c>
      <c r="H78" s="473"/>
      <c r="I78" s="440"/>
    </row>
    <row r="79" spans="1:9" x14ac:dyDescent="0.2">
      <c r="A79" s="440"/>
      <c r="B79" s="446" t="s">
        <v>351</v>
      </c>
      <c r="C79" s="447" t="s">
        <v>328</v>
      </c>
      <c r="D79" s="474">
        <v>2681</v>
      </c>
      <c r="E79" s="474">
        <v>2827</v>
      </c>
      <c r="F79" s="475">
        <f>F88*1758</f>
        <v>2760.06</v>
      </c>
      <c r="G79" s="472">
        <f>AVERAGE(D79:F79)</f>
        <v>2756.02</v>
      </c>
      <c r="H79" s="473"/>
      <c r="I79" s="440"/>
    </row>
    <row r="80" spans="1:9" x14ac:dyDescent="0.2">
      <c r="A80" s="440"/>
      <c r="B80" s="446" t="s">
        <v>352</v>
      </c>
      <c r="C80" s="447" t="s">
        <v>353</v>
      </c>
      <c r="D80" s="474">
        <f>433833*1000/930981</f>
        <v>465.9955466330677</v>
      </c>
      <c r="E80" s="474">
        <f>483248*1000/981175</f>
        <v>492.51968303309809</v>
      </c>
      <c r="F80" s="475">
        <v>453</v>
      </c>
      <c r="G80" s="472">
        <f>(D79*D80+E79*E80+F79*F80)/(D79+E79+F79)</f>
        <v>470.72643213254656</v>
      </c>
      <c r="H80" s="473"/>
      <c r="I80" s="440"/>
    </row>
    <row r="81" spans="1:12" x14ac:dyDescent="0.2">
      <c r="A81" s="440"/>
      <c r="B81" s="446" t="s">
        <v>367</v>
      </c>
      <c r="C81" s="447" t="s">
        <v>368</v>
      </c>
      <c r="D81" s="476">
        <v>0.89</v>
      </c>
      <c r="E81" s="476">
        <v>0.86</v>
      </c>
      <c r="F81" s="477">
        <v>0.86</v>
      </c>
      <c r="G81" s="478">
        <f>AVERAGE(D81:F81)</f>
        <v>0.87</v>
      </c>
      <c r="H81" s="479"/>
      <c r="I81" s="440"/>
    </row>
    <row r="82" spans="1:12" x14ac:dyDescent="0.2">
      <c r="A82" s="440"/>
      <c r="B82" s="446" t="s">
        <v>369</v>
      </c>
      <c r="C82" s="447" t="s">
        <v>370</v>
      </c>
      <c r="D82" s="476">
        <v>1.96</v>
      </c>
      <c r="E82" s="476">
        <v>4</v>
      </c>
      <c r="F82" s="477">
        <v>4</v>
      </c>
      <c r="G82" s="478">
        <f>AVERAGE(D82:F82)</f>
        <v>3.3200000000000003</v>
      </c>
      <c r="H82" s="480"/>
      <c r="I82" s="440"/>
    </row>
    <row r="83" spans="1:12" x14ac:dyDescent="0.2">
      <c r="A83" s="440"/>
      <c r="B83" s="446" t="s">
        <v>371</v>
      </c>
      <c r="C83" s="447" t="s">
        <v>361</v>
      </c>
      <c r="D83" s="481">
        <v>90000</v>
      </c>
      <c r="E83" s="481">
        <v>90000</v>
      </c>
      <c r="F83" s="482">
        <v>90000</v>
      </c>
      <c r="G83" s="483">
        <v>90000</v>
      </c>
      <c r="H83" s="484"/>
      <c r="I83" s="440"/>
    </row>
    <row r="84" spans="1:12" x14ac:dyDescent="0.2">
      <c r="A84" s="440"/>
      <c r="B84" s="446" t="s">
        <v>372</v>
      </c>
      <c r="C84" s="447" t="s">
        <v>361</v>
      </c>
      <c r="D84" s="485" t="s">
        <v>373</v>
      </c>
      <c r="E84" s="485" t="s">
        <v>373</v>
      </c>
      <c r="F84" s="486" t="s">
        <v>373</v>
      </c>
      <c r="G84" s="485" t="s">
        <v>373</v>
      </c>
      <c r="H84" s="487"/>
      <c r="I84" s="440"/>
    </row>
    <row r="85" spans="1:12" ht="30.75" x14ac:dyDescent="0.2">
      <c r="A85" s="440"/>
      <c r="B85" s="464" t="s">
        <v>374</v>
      </c>
      <c r="C85" s="447" t="s">
        <v>362</v>
      </c>
      <c r="D85" s="485" t="s">
        <v>373</v>
      </c>
      <c r="E85" s="485" t="s">
        <v>373</v>
      </c>
      <c r="F85" s="486" t="s">
        <v>373</v>
      </c>
      <c r="G85" s="485" t="s">
        <v>373</v>
      </c>
      <c r="H85" s="487"/>
      <c r="I85" s="440" t="s">
        <v>487</v>
      </c>
    </row>
    <row r="86" spans="1:12" ht="29.25" x14ac:dyDescent="0.25">
      <c r="A86" s="440"/>
      <c r="B86" s="438" t="s">
        <v>354</v>
      </c>
      <c r="C86" s="447" t="s">
        <v>355</v>
      </c>
      <c r="D86" s="488">
        <v>27172</v>
      </c>
      <c r="E86" s="488">
        <v>24776</v>
      </c>
      <c r="F86" s="489">
        <v>21829</v>
      </c>
      <c r="G86" s="490">
        <f>AVERAGE(D86:F86)</f>
        <v>24592.333333333332</v>
      </c>
      <c r="H86" s="473" t="s">
        <v>375</v>
      </c>
      <c r="I86" s="635" t="s">
        <v>485</v>
      </c>
      <c r="L86">
        <f>36956</f>
        <v>36956</v>
      </c>
    </row>
    <row r="87" spans="1:12" ht="15.75" x14ac:dyDescent="0.25">
      <c r="A87" s="440"/>
      <c r="B87" s="438" t="s">
        <v>376</v>
      </c>
      <c r="C87" s="447"/>
      <c r="D87" s="488">
        <v>19215</v>
      </c>
      <c r="E87" s="488">
        <v>17775.04</v>
      </c>
      <c r="F87" s="488">
        <v>15018.09</v>
      </c>
      <c r="G87" s="490">
        <f>AVERAGE(D87:F87)</f>
        <v>17336.043333333335</v>
      </c>
      <c r="H87" s="473" t="s">
        <v>377</v>
      </c>
      <c r="I87" s="635" t="s">
        <v>486</v>
      </c>
      <c r="L87">
        <v>19105</v>
      </c>
    </row>
    <row r="88" spans="1:12" ht="15.75" x14ac:dyDescent="0.25">
      <c r="A88" s="440"/>
      <c r="B88" s="448" t="s">
        <v>336</v>
      </c>
      <c r="C88" s="438" t="s">
        <v>356</v>
      </c>
      <c r="D88" s="491">
        <v>1.5249999999999999</v>
      </c>
      <c r="E88" s="491">
        <v>1.6080000000000001</v>
      </c>
      <c r="F88" s="492">
        <v>1.57</v>
      </c>
      <c r="G88" s="493">
        <f>AVERAGE(D88:F88)</f>
        <v>1.5676666666666668</v>
      </c>
      <c r="H88" s="445"/>
      <c r="I88" s="440"/>
    </row>
    <row r="89" spans="1:12" x14ac:dyDescent="0.2">
      <c r="A89" s="440"/>
      <c r="B89" s="440"/>
      <c r="C89" s="440"/>
      <c r="D89" s="440"/>
      <c r="E89" s="440"/>
      <c r="F89" s="440"/>
      <c r="G89" s="440"/>
      <c r="H89" s="440"/>
      <c r="I89" s="440"/>
    </row>
    <row r="90" spans="1:12" ht="15.75" x14ac:dyDescent="0.25">
      <c r="A90" s="440"/>
      <c r="B90" s="449" t="s">
        <v>378</v>
      </c>
      <c r="C90" s="450"/>
      <c r="D90" s="451"/>
      <c r="E90" s="451"/>
      <c r="F90" s="452"/>
      <c r="G90" s="440"/>
      <c r="H90" s="440"/>
      <c r="I90" s="440"/>
    </row>
    <row r="91" spans="1:12" x14ac:dyDescent="0.2">
      <c r="A91" s="440"/>
      <c r="B91" s="438"/>
      <c r="C91" s="438"/>
      <c r="D91" s="438" t="s">
        <v>345</v>
      </c>
      <c r="E91" s="453" t="s">
        <v>332</v>
      </c>
      <c r="F91" s="453" t="s">
        <v>346</v>
      </c>
      <c r="G91" s="440"/>
      <c r="H91" s="440"/>
      <c r="I91" s="440"/>
    </row>
    <row r="92" spans="1:12" ht="15.75" x14ac:dyDescent="0.25">
      <c r="A92" s="440"/>
      <c r="B92" s="438" t="s">
        <v>347</v>
      </c>
      <c r="C92" s="453" t="s">
        <v>328</v>
      </c>
      <c r="D92" s="494">
        <f>F79</f>
        <v>2760.06</v>
      </c>
      <c r="E92" s="495">
        <f>D92+D92*0.02*F94/100</f>
        <v>2919.039456</v>
      </c>
      <c r="F92" s="438">
        <f>E92-D92</f>
        <v>158.97945600000003</v>
      </c>
      <c r="G92" s="440" t="s">
        <v>379</v>
      </c>
      <c r="H92" s="440"/>
      <c r="I92" s="440"/>
    </row>
    <row r="93" spans="1:12" ht="15.75" x14ac:dyDescent="0.25">
      <c r="A93" s="440"/>
      <c r="B93" s="438" t="s">
        <v>380</v>
      </c>
      <c r="C93" s="453" t="s">
        <v>331</v>
      </c>
      <c r="D93" s="494">
        <f>F80</f>
        <v>453</v>
      </c>
      <c r="E93" s="495">
        <f>D93-D93*0.033*F94/100</f>
        <v>409.94688000000002</v>
      </c>
      <c r="F93" s="454">
        <f>E93-D93</f>
        <v>-43.053119999999979</v>
      </c>
      <c r="G93" s="440" t="s">
        <v>381</v>
      </c>
      <c r="H93" s="440"/>
      <c r="I93" s="440"/>
    </row>
    <row r="94" spans="1:12" x14ac:dyDescent="0.2">
      <c r="A94" s="440"/>
      <c r="B94" s="438" t="s">
        <v>382</v>
      </c>
      <c r="C94" s="453" t="s">
        <v>383</v>
      </c>
      <c r="D94" s="494">
        <f>F78</f>
        <v>912</v>
      </c>
      <c r="E94" s="496">
        <v>1200</v>
      </c>
      <c r="F94" s="454">
        <f>+E94-D94</f>
        <v>288</v>
      </c>
      <c r="G94" s="440" t="s">
        <v>384</v>
      </c>
      <c r="H94" s="440"/>
      <c r="I94" s="440"/>
    </row>
    <row r="95" spans="1:12" x14ac:dyDescent="0.2">
      <c r="A95" s="440"/>
      <c r="B95" s="440"/>
      <c r="C95" s="440"/>
      <c r="D95" s="440"/>
      <c r="E95" s="440"/>
      <c r="F95" s="440"/>
      <c r="G95" s="440"/>
      <c r="H95" s="440"/>
      <c r="I95" s="440"/>
    </row>
    <row r="96" spans="1:12" ht="15.75" x14ac:dyDescent="0.25">
      <c r="A96" s="440"/>
      <c r="B96" s="455" t="s">
        <v>385</v>
      </c>
      <c r="C96" s="440"/>
      <c r="D96" s="440"/>
      <c r="E96" s="440"/>
      <c r="F96" s="440"/>
      <c r="G96" s="440"/>
      <c r="H96" s="440"/>
      <c r="I96" s="440"/>
    </row>
    <row r="97" spans="1:9" x14ac:dyDescent="0.2">
      <c r="A97" s="497">
        <v>1</v>
      </c>
      <c r="B97" s="498" t="s">
        <v>386</v>
      </c>
      <c r="C97" s="453" t="s">
        <v>387</v>
      </c>
      <c r="D97" s="499">
        <f>F81</f>
        <v>0.86</v>
      </c>
      <c r="E97" s="440"/>
      <c r="F97" s="440"/>
      <c r="G97" s="440"/>
      <c r="H97" s="440"/>
      <c r="I97" s="440"/>
    </row>
    <row r="98" spans="1:9" x14ac:dyDescent="0.2">
      <c r="A98" s="497">
        <v>2</v>
      </c>
      <c r="B98" s="498" t="s">
        <v>388</v>
      </c>
      <c r="C98" s="453" t="s">
        <v>389</v>
      </c>
      <c r="D98" s="500">
        <v>1</v>
      </c>
      <c r="E98" s="440"/>
      <c r="F98" s="440"/>
      <c r="G98" s="440"/>
      <c r="H98" s="440"/>
      <c r="I98" s="440"/>
    </row>
    <row r="99" spans="1:9" x14ac:dyDescent="0.2">
      <c r="A99" s="497">
        <v>3</v>
      </c>
      <c r="B99" s="498" t="s">
        <v>390</v>
      </c>
      <c r="C99" s="453" t="s">
        <v>33</v>
      </c>
      <c r="D99" s="501">
        <f>0.011*(D98-D97)/0.1</f>
        <v>1.54E-2</v>
      </c>
      <c r="E99" s="440" t="s">
        <v>391</v>
      </c>
      <c r="F99" s="440"/>
      <c r="G99" s="440"/>
      <c r="H99" s="440"/>
      <c r="I99" s="440"/>
    </row>
    <row r="100" spans="1:9" x14ac:dyDescent="0.2">
      <c r="A100" s="497">
        <v>4</v>
      </c>
      <c r="B100" s="498" t="s">
        <v>392</v>
      </c>
      <c r="C100" s="453" t="s">
        <v>33</v>
      </c>
      <c r="D100" s="502">
        <f>0.005*(D98-D97)/0.1</f>
        <v>7.000000000000001E-3</v>
      </c>
      <c r="E100" s="440" t="s">
        <v>393</v>
      </c>
      <c r="F100" s="440"/>
      <c r="G100" s="440"/>
      <c r="H100" s="440"/>
      <c r="I100" s="440"/>
    </row>
    <row r="101" spans="1:9" x14ac:dyDescent="0.2">
      <c r="A101" s="440"/>
      <c r="B101" s="440"/>
      <c r="C101" s="440"/>
      <c r="D101" s="440"/>
      <c r="E101" s="440"/>
      <c r="F101" s="440"/>
      <c r="G101" s="440"/>
      <c r="H101" s="440"/>
      <c r="I101" s="440"/>
    </row>
    <row r="102" spans="1:9" x14ac:dyDescent="0.2">
      <c r="A102" s="442"/>
      <c r="B102" s="456" t="s">
        <v>357</v>
      </c>
      <c r="C102" s="442"/>
      <c r="D102" s="442"/>
      <c r="E102" s="442" t="s">
        <v>465</v>
      </c>
      <c r="F102" s="442"/>
      <c r="G102" s="440"/>
      <c r="H102" s="440"/>
      <c r="I102" s="440"/>
    </row>
    <row r="103" spans="1:9" x14ac:dyDescent="0.2">
      <c r="A103" s="434">
        <v>1</v>
      </c>
      <c r="B103" s="457" t="s">
        <v>358</v>
      </c>
      <c r="C103" s="438" t="s">
        <v>359</v>
      </c>
      <c r="D103" s="500">
        <v>0</v>
      </c>
      <c r="E103" s="458"/>
      <c r="F103" s="442"/>
      <c r="G103" s="440"/>
      <c r="H103" s="440" t="s">
        <v>0</v>
      </c>
      <c r="I103" s="440"/>
    </row>
    <row r="104" spans="1:9" x14ac:dyDescent="0.2">
      <c r="A104" s="434">
        <v>2</v>
      </c>
      <c r="B104" s="457" t="s">
        <v>394</v>
      </c>
      <c r="C104" s="438" t="s">
        <v>362</v>
      </c>
      <c r="D104" s="500">
        <v>0</v>
      </c>
      <c r="E104" s="442"/>
      <c r="F104" s="442"/>
      <c r="G104" s="440"/>
      <c r="H104" s="440"/>
      <c r="I104" s="440"/>
    </row>
    <row r="105" spans="1:9" x14ac:dyDescent="0.2">
      <c r="A105" s="434">
        <v>3</v>
      </c>
      <c r="B105" s="434" t="s">
        <v>360</v>
      </c>
      <c r="C105" s="438" t="s">
        <v>361</v>
      </c>
      <c r="D105" s="503">
        <v>0</v>
      </c>
      <c r="E105" s="442"/>
      <c r="F105" s="442"/>
      <c r="G105" s="440"/>
      <c r="H105" s="440"/>
      <c r="I105" s="440"/>
    </row>
    <row r="106" spans="1:9" x14ac:dyDescent="0.2">
      <c r="A106" s="434">
        <v>4</v>
      </c>
      <c r="B106" s="504" t="s">
        <v>395</v>
      </c>
      <c r="C106" s="438" t="s">
        <v>370</v>
      </c>
      <c r="D106" s="505">
        <v>10</v>
      </c>
      <c r="E106" s="442">
        <f>4</f>
        <v>4</v>
      </c>
      <c r="F106" s="442">
        <f>D106-E106</f>
        <v>6</v>
      </c>
      <c r="G106" s="440"/>
      <c r="H106" s="440"/>
      <c r="I106" s="440"/>
    </row>
    <row r="107" spans="1:9" x14ac:dyDescent="0.2">
      <c r="A107" s="434">
        <v>5</v>
      </c>
      <c r="B107" s="464" t="s">
        <v>396</v>
      </c>
      <c r="C107" s="438" t="s">
        <v>361</v>
      </c>
      <c r="D107" s="505">
        <v>110000</v>
      </c>
      <c r="E107" s="442">
        <v>90000</v>
      </c>
      <c r="F107" s="442">
        <f>D107-E107</f>
        <v>20000</v>
      </c>
      <c r="G107" s="440"/>
      <c r="H107" s="440"/>
      <c r="I107" s="440"/>
    </row>
    <row r="108" spans="1:9" x14ac:dyDescent="0.2">
      <c r="A108" s="434">
        <v>6</v>
      </c>
      <c r="B108" s="464" t="s">
        <v>397</v>
      </c>
      <c r="C108" s="438" t="s">
        <v>361</v>
      </c>
      <c r="D108" s="506">
        <v>0</v>
      </c>
      <c r="E108" s="442"/>
      <c r="F108" s="442"/>
      <c r="G108" s="440"/>
      <c r="H108" s="440"/>
      <c r="I108" s="440"/>
    </row>
    <row r="109" spans="1:9" ht="28.5" x14ac:dyDescent="0.2">
      <c r="A109" s="434">
        <v>7</v>
      </c>
      <c r="B109" s="464" t="s">
        <v>398</v>
      </c>
      <c r="C109" s="438" t="s">
        <v>361</v>
      </c>
      <c r="D109" s="507">
        <v>0</v>
      </c>
      <c r="E109" s="442"/>
      <c r="F109" s="442"/>
      <c r="G109" s="440"/>
      <c r="H109" s="440"/>
      <c r="I109" s="440"/>
    </row>
    <row r="110" spans="1:9" x14ac:dyDescent="0.2">
      <c r="A110" s="440"/>
      <c r="B110" s="440"/>
      <c r="C110" s="440"/>
      <c r="D110" s="440"/>
      <c r="E110" s="440"/>
      <c r="F110" s="440"/>
      <c r="G110" s="440"/>
      <c r="H110" s="440"/>
      <c r="I110" s="440"/>
    </row>
    <row r="111" spans="1:9" x14ac:dyDescent="0.2">
      <c r="A111" s="434" t="s">
        <v>25</v>
      </c>
      <c r="B111" s="463" t="s">
        <v>3</v>
      </c>
      <c r="C111" s="463" t="s">
        <v>399</v>
      </c>
      <c r="D111" s="463" t="s">
        <v>400</v>
      </c>
      <c r="E111" s="508"/>
      <c r="F111" s="440"/>
      <c r="G111" s="440"/>
      <c r="H111" s="440"/>
      <c r="I111" s="440"/>
    </row>
    <row r="112" spans="1:9" ht="71.25" x14ac:dyDescent="0.2">
      <c r="A112" s="509">
        <v>1</v>
      </c>
      <c r="B112" s="434" t="s">
        <v>401</v>
      </c>
      <c r="C112" s="510"/>
      <c r="D112" s="511">
        <f>G86</f>
        <v>24592.333333333332</v>
      </c>
      <c r="E112" s="473" t="s">
        <v>402</v>
      </c>
      <c r="F112" s="440"/>
      <c r="G112" s="440"/>
      <c r="H112" s="440"/>
      <c r="I112" s="440"/>
    </row>
    <row r="113" spans="1:9" ht="57" x14ac:dyDescent="0.2">
      <c r="A113" s="509">
        <v>2</v>
      </c>
      <c r="B113" s="434" t="s">
        <v>403</v>
      </c>
      <c r="C113" s="463" t="s">
        <v>404</v>
      </c>
      <c r="D113" s="636">
        <f>17336*0+L87</f>
        <v>19105</v>
      </c>
      <c r="E113" s="512" t="s">
        <v>488</v>
      </c>
      <c r="F113" s="440"/>
      <c r="G113" s="445"/>
      <c r="H113" s="440"/>
      <c r="I113" s="440"/>
    </row>
    <row r="114" spans="1:9" x14ac:dyDescent="0.2">
      <c r="A114" s="509">
        <v>3</v>
      </c>
      <c r="B114" s="434" t="s">
        <v>405</v>
      </c>
      <c r="C114" s="463" t="s">
        <v>404</v>
      </c>
      <c r="D114" s="513">
        <f>+D112-D113</f>
        <v>5487.3333333333321</v>
      </c>
      <c r="E114" s="514"/>
      <c r="F114" s="440"/>
      <c r="G114" s="445"/>
      <c r="H114" s="440"/>
      <c r="I114" s="440"/>
    </row>
    <row r="115" spans="1:9" ht="42.75" x14ac:dyDescent="0.3">
      <c r="A115" s="509">
        <v>4</v>
      </c>
      <c r="B115" s="434" t="s">
        <v>406</v>
      </c>
      <c r="C115" s="463" t="s">
        <v>404</v>
      </c>
      <c r="D115" s="515">
        <v>23586.55</v>
      </c>
      <c r="E115" s="512" t="s">
        <v>407</v>
      </c>
      <c r="F115" s="440"/>
      <c r="G115" s="445"/>
      <c r="H115" s="440"/>
      <c r="I115" s="631"/>
    </row>
    <row r="116" spans="1:9" ht="42.75" x14ac:dyDescent="0.3">
      <c r="A116" s="509">
        <v>5</v>
      </c>
      <c r="B116" s="434" t="s">
        <v>408</v>
      </c>
      <c r="C116" s="463" t="s">
        <v>409</v>
      </c>
      <c r="D116" s="515">
        <v>1080.19</v>
      </c>
      <c r="E116" s="512" t="s">
        <v>407</v>
      </c>
      <c r="F116" s="516"/>
      <c r="G116" s="440"/>
      <c r="H116" s="440"/>
      <c r="I116" s="631"/>
    </row>
    <row r="117" spans="1:9" ht="42.75" x14ac:dyDescent="0.3">
      <c r="A117" s="509">
        <v>6</v>
      </c>
      <c r="B117" s="434" t="s">
        <v>410</v>
      </c>
      <c r="C117" s="463" t="s">
        <v>409</v>
      </c>
      <c r="D117" s="515">
        <v>1074.07</v>
      </c>
      <c r="E117" s="512" t="s">
        <v>407</v>
      </c>
      <c r="F117" s="516"/>
      <c r="G117" s="440"/>
      <c r="H117" s="440"/>
      <c r="I117" s="631"/>
    </row>
    <row r="118" spans="1:9" ht="16.5" x14ac:dyDescent="0.25">
      <c r="A118" s="509">
        <v>7</v>
      </c>
      <c r="B118" s="434" t="s">
        <v>411</v>
      </c>
      <c r="C118" s="463" t="s">
        <v>412</v>
      </c>
      <c r="D118" s="517" t="s">
        <v>373</v>
      </c>
      <c r="E118" s="518"/>
      <c r="F118" s="516"/>
      <c r="G118" s="440"/>
      <c r="H118" s="440"/>
      <c r="I118" s="631"/>
    </row>
    <row r="119" spans="1:9" ht="42.75" x14ac:dyDescent="0.3">
      <c r="A119" s="509">
        <v>8</v>
      </c>
      <c r="B119" s="434" t="s">
        <v>413</v>
      </c>
      <c r="C119" s="463" t="s">
        <v>414</v>
      </c>
      <c r="D119" s="515">
        <v>5072.7</v>
      </c>
      <c r="E119" s="512" t="s">
        <v>407</v>
      </c>
      <c r="F119" s="516"/>
      <c r="G119" s="440"/>
      <c r="H119" s="440"/>
      <c r="I119" s="631"/>
    </row>
    <row r="120" spans="1:9" ht="42.75" x14ac:dyDescent="0.3">
      <c r="A120" s="509">
        <v>9</v>
      </c>
      <c r="B120" s="434" t="s">
        <v>415</v>
      </c>
      <c r="C120" s="463" t="s">
        <v>416</v>
      </c>
      <c r="D120" s="519">
        <v>935.5</v>
      </c>
      <c r="E120" s="512" t="s">
        <v>407</v>
      </c>
      <c r="F120" s="516"/>
      <c r="G120" s="440"/>
      <c r="H120" s="440"/>
      <c r="I120" s="631"/>
    </row>
    <row r="121" spans="1:9" ht="42.75" x14ac:dyDescent="0.3">
      <c r="A121" s="509">
        <v>10</v>
      </c>
      <c r="B121" s="434" t="s">
        <v>417</v>
      </c>
      <c r="C121" s="463" t="s">
        <v>416</v>
      </c>
      <c r="D121" s="515">
        <v>786.44</v>
      </c>
      <c r="E121" s="512" t="s">
        <v>407</v>
      </c>
      <c r="F121" s="516"/>
      <c r="G121" s="440"/>
      <c r="H121" s="440"/>
      <c r="I121" s="631"/>
    </row>
    <row r="122" spans="1:9" ht="42.75" x14ac:dyDescent="0.3">
      <c r="A122" s="509">
        <v>10</v>
      </c>
      <c r="B122" s="434" t="s">
        <v>418</v>
      </c>
      <c r="C122" s="463" t="s">
        <v>416</v>
      </c>
      <c r="D122" s="515">
        <v>2216.2600000000002</v>
      </c>
      <c r="E122" s="512" t="s">
        <v>407</v>
      </c>
      <c r="F122" s="516"/>
      <c r="G122" s="440"/>
      <c r="H122" s="440"/>
      <c r="I122" s="631"/>
    </row>
    <row r="123" spans="1:9" ht="57" x14ac:dyDescent="0.25">
      <c r="A123" s="509">
        <v>11</v>
      </c>
      <c r="B123" s="508" t="s">
        <v>419</v>
      </c>
      <c r="C123" s="520" t="s">
        <v>33</v>
      </c>
      <c r="D123" s="521">
        <v>0.93</v>
      </c>
      <c r="E123" s="512" t="s">
        <v>420</v>
      </c>
      <c r="F123" s="516"/>
      <c r="G123" s="440"/>
      <c r="H123" s="440"/>
      <c r="I123" s="631"/>
    </row>
    <row r="124" spans="1:9" ht="42.75" x14ac:dyDescent="0.3">
      <c r="A124" s="509">
        <v>12</v>
      </c>
      <c r="B124" s="508" t="s">
        <v>421</v>
      </c>
      <c r="C124" s="463" t="s">
        <v>404</v>
      </c>
      <c r="D124" s="515">
        <v>1176.3599999999999</v>
      </c>
      <c r="E124" s="512" t="s">
        <v>407</v>
      </c>
      <c r="F124" s="440"/>
      <c r="G124" s="440"/>
      <c r="H124" s="440"/>
      <c r="I124" s="440"/>
    </row>
    <row r="125" spans="1:9" ht="16.5" x14ac:dyDescent="0.3">
      <c r="A125" s="440"/>
      <c r="B125" s="440"/>
      <c r="C125" s="440"/>
      <c r="D125" s="522"/>
      <c r="E125" s="523"/>
      <c r="F125" s="440"/>
      <c r="G125" s="440"/>
      <c r="H125" s="440"/>
      <c r="I125" s="440"/>
    </row>
    <row r="126" spans="1:9" x14ac:dyDescent="0.2">
      <c r="A126" s="440"/>
      <c r="B126" s="524" t="s">
        <v>339</v>
      </c>
      <c r="C126" s="525" t="s">
        <v>327</v>
      </c>
      <c r="D126" s="526">
        <v>180</v>
      </c>
      <c r="E126" s="440"/>
      <c r="F126" s="440"/>
      <c r="G126" s="440"/>
      <c r="H126" s="440"/>
      <c r="I126" s="440"/>
    </row>
    <row r="127" spans="1:9" x14ac:dyDescent="0.2">
      <c r="A127" s="440"/>
      <c r="B127" s="524" t="s">
        <v>422</v>
      </c>
      <c r="C127" s="525" t="s">
        <v>327</v>
      </c>
      <c r="D127" s="526">
        <v>180</v>
      </c>
      <c r="E127" s="440"/>
      <c r="F127" s="440"/>
      <c r="G127" s="440"/>
      <c r="H127" s="440"/>
      <c r="I127" s="440"/>
    </row>
    <row r="128" spans="1:9" x14ac:dyDescent="0.2">
      <c r="A128" s="440"/>
      <c r="B128" s="524" t="s">
        <v>340</v>
      </c>
      <c r="C128" s="525" t="s">
        <v>327</v>
      </c>
      <c r="D128" s="526">
        <v>0</v>
      </c>
      <c r="E128" s="440"/>
      <c r="F128" s="440"/>
      <c r="G128" s="440"/>
      <c r="H128" s="440"/>
      <c r="I128" s="440"/>
    </row>
    <row r="129" spans="1:9" x14ac:dyDescent="0.2">
      <c r="A129" s="440"/>
      <c r="B129" s="434" t="s">
        <v>423</v>
      </c>
      <c r="C129" s="463" t="s">
        <v>424</v>
      </c>
      <c r="D129" s="496">
        <v>1758</v>
      </c>
      <c r="E129" s="440"/>
      <c r="F129" s="440"/>
      <c r="G129" s="440"/>
      <c r="H129" s="440"/>
      <c r="I129" s="440"/>
    </row>
    <row r="130" spans="1:9" ht="15.75" x14ac:dyDescent="0.25">
      <c r="A130" s="440"/>
      <c r="B130" s="434" t="s">
        <v>425</v>
      </c>
      <c r="C130" s="525" t="s">
        <v>327</v>
      </c>
      <c r="D130" s="527">
        <v>350</v>
      </c>
      <c r="E130" s="528"/>
      <c r="F130" s="440"/>
      <c r="G130" s="440"/>
      <c r="H130" s="440"/>
      <c r="I130" s="440"/>
    </row>
    <row r="131" spans="1:9" x14ac:dyDescent="0.2">
      <c r="A131" s="440"/>
      <c r="B131" s="440"/>
      <c r="C131" s="440"/>
      <c r="D131" s="440"/>
      <c r="E131" s="440"/>
      <c r="F131" s="440"/>
      <c r="G131" s="440"/>
      <c r="H131" s="440"/>
      <c r="I131" s="440"/>
    </row>
    <row r="132" spans="1:9" ht="15.75" x14ac:dyDescent="0.25">
      <c r="A132" s="440"/>
      <c r="B132" s="455" t="s">
        <v>426</v>
      </c>
      <c r="C132" s="440"/>
      <c r="D132" s="440"/>
      <c r="E132" s="440"/>
      <c r="F132" s="440"/>
      <c r="G132" s="440"/>
      <c r="H132" s="440"/>
      <c r="I132" s="440"/>
    </row>
    <row r="133" spans="1:9" x14ac:dyDescent="0.2">
      <c r="A133" s="440"/>
      <c r="B133" s="440"/>
      <c r="C133" s="440"/>
      <c r="D133" s="440"/>
      <c r="E133" s="440"/>
      <c r="F133" s="440"/>
      <c r="G133" s="440"/>
      <c r="H133" s="440"/>
      <c r="I133" s="440"/>
    </row>
    <row r="134" spans="1:9" x14ac:dyDescent="0.2">
      <c r="A134" s="440"/>
      <c r="B134" s="440"/>
      <c r="C134" s="440"/>
      <c r="D134" s="440"/>
      <c r="E134" s="440"/>
      <c r="F134" s="440"/>
      <c r="G134" s="440"/>
      <c r="H134" s="440"/>
      <c r="I134" s="440"/>
    </row>
    <row r="135" spans="1:9" x14ac:dyDescent="0.2">
      <c r="A135" s="440"/>
      <c r="B135" s="440"/>
      <c r="C135" s="440"/>
      <c r="D135" s="440"/>
      <c r="E135" s="440"/>
      <c r="F135" s="440"/>
      <c r="G135" s="440"/>
      <c r="H135" s="440"/>
      <c r="I135" s="440"/>
    </row>
    <row r="136" spans="1:9" x14ac:dyDescent="0.2">
      <c r="A136" s="440"/>
      <c r="B136" s="440"/>
      <c r="C136" s="440"/>
      <c r="D136" s="440"/>
      <c r="E136" s="440"/>
      <c r="F136" s="440"/>
      <c r="G136" s="440"/>
      <c r="H136" s="440"/>
      <c r="I136" s="440"/>
    </row>
    <row r="137" spans="1:9" x14ac:dyDescent="0.2">
      <c r="A137" s="440"/>
      <c r="B137" s="440"/>
      <c r="C137" s="440"/>
      <c r="D137" s="440"/>
      <c r="E137" s="440"/>
      <c r="F137" s="440"/>
      <c r="G137" s="440"/>
      <c r="H137" s="440"/>
      <c r="I137" s="440"/>
    </row>
    <row r="138" spans="1:9" x14ac:dyDescent="0.2">
      <c r="A138" s="440"/>
      <c r="B138" s="440"/>
      <c r="C138" s="440"/>
      <c r="D138" s="440"/>
      <c r="E138" s="440"/>
      <c r="F138" s="440"/>
      <c r="G138" s="440"/>
      <c r="H138" s="440"/>
      <c r="I138" s="440"/>
    </row>
    <row r="139" spans="1:9" x14ac:dyDescent="0.2">
      <c r="A139" s="440"/>
      <c r="B139" s="440"/>
      <c r="C139" s="440"/>
      <c r="D139" s="440"/>
      <c r="E139" s="440"/>
      <c r="F139" s="440"/>
      <c r="G139" s="440"/>
      <c r="H139" s="440"/>
      <c r="I139" s="440"/>
    </row>
    <row r="140" spans="1:9" x14ac:dyDescent="0.2">
      <c r="A140" s="440"/>
      <c r="B140" s="440"/>
      <c r="C140" s="440"/>
      <c r="D140" s="440"/>
      <c r="E140" s="440"/>
      <c r="F140" s="440"/>
      <c r="G140" s="440"/>
      <c r="H140" s="440"/>
      <c r="I140" s="440"/>
    </row>
    <row r="141" spans="1:9" x14ac:dyDescent="0.2">
      <c r="A141" s="440"/>
      <c r="B141" s="440"/>
      <c r="C141" s="440"/>
      <c r="D141" s="440"/>
      <c r="E141" s="440"/>
      <c r="F141" s="440"/>
      <c r="G141" s="440"/>
      <c r="H141" s="440"/>
      <c r="I141" s="440"/>
    </row>
    <row r="142" spans="1:9" x14ac:dyDescent="0.2">
      <c r="A142" s="440"/>
      <c r="B142" s="440"/>
      <c r="C142" s="440"/>
      <c r="D142" s="440"/>
      <c r="E142" s="440"/>
      <c r="F142" s="440"/>
      <c r="G142" s="440"/>
      <c r="H142" s="440"/>
      <c r="I142" s="440"/>
    </row>
    <row r="143" spans="1:9" x14ac:dyDescent="0.2">
      <c r="A143" s="440"/>
      <c r="B143" s="440"/>
      <c r="C143" s="440"/>
      <c r="D143" s="440"/>
      <c r="E143" s="440"/>
      <c r="F143" s="440"/>
      <c r="G143" s="440"/>
      <c r="H143" s="440"/>
      <c r="I143" s="440"/>
    </row>
    <row r="144" spans="1:9" x14ac:dyDescent="0.2">
      <c r="A144" s="440"/>
      <c r="B144" s="440"/>
      <c r="C144" s="440"/>
      <c r="D144" s="440"/>
      <c r="E144" s="440"/>
      <c r="F144" s="440"/>
      <c r="G144" s="440"/>
      <c r="H144" s="440"/>
      <c r="I144" s="440"/>
    </row>
    <row r="145" spans="1:9" x14ac:dyDescent="0.2">
      <c r="A145" s="440"/>
      <c r="B145" s="440"/>
      <c r="C145" s="440"/>
      <c r="D145" s="440"/>
      <c r="E145" s="440"/>
      <c r="F145" s="440"/>
      <c r="G145" s="440"/>
      <c r="H145" s="440"/>
      <c r="I145" s="440"/>
    </row>
    <row r="146" spans="1:9" x14ac:dyDescent="0.2">
      <c r="A146" s="440"/>
      <c r="B146" s="440"/>
      <c r="C146" s="440"/>
      <c r="D146" s="440"/>
      <c r="E146" s="440"/>
      <c r="F146" s="440"/>
      <c r="G146" s="440"/>
      <c r="H146" s="440"/>
      <c r="I146" s="440"/>
    </row>
    <row r="147" spans="1:9" x14ac:dyDescent="0.2">
      <c r="A147" s="440"/>
      <c r="B147" s="440"/>
      <c r="C147" s="440"/>
      <c r="D147" s="440"/>
      <c r="E147" s="440"/>
      <c r="F147" s="440"/>
      <c r="G147" s="440"/>
      <c r="H147" s="440"/>
      <c r="I147" s="440"/>
    </row>
    <row r="148" spans="1:9" x14ac:dyDescent="0.2">
      <c r="A148" s="440"/>
      <c r="B148" s="440"/>
      <c r="C148" s="440"/>
      <c r="D148" s="440"/>
      <c r="E148" s="440"/>
      <c r="F148" s="440"/>
      <c r="G148" s="440"/>
      <c r="H148" s="440"/>
      <c r="I148" s="440"/>
    </row>
  </sheetData>
  <mergeCells count="4">
    <mergeCell ref="A3:F3"/>
    <mergeCell ref="A4:F4"/>
    <mergeCell ref="A5:F5"/>
    <mergeCell ref="B74:H74"/>
  </mergeCells>
  <pageMargins left="0.70866141732283472" right="0.70866141732283472" top="0.74803149606299213" bottom="0.74803149606299213" header="0.31496062992125984" footer="0.31496062992125984"/>
  <pageSetup paperSize="9" scale="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C37"/>
  <sheetViews>
    <sheetView zoomScale="72" zoomScaleNormal="72" workbookViewId="0">
      <selection activeCell="G29" sqref="G29"/>
    </sheetView>
  </sheetViews>
  <sheetFormatPr defaultRowHeight="15" x14ac:dyDescent="0.2"/>
  <cols>
    <col min="2" max="2" width="41.21875" customWidth="1"/>
    <col min="3" max="3" width="12.33203125" customWidth="1"/>
  </cols>
  <sheetData>
    <row r="2" spans="2:3" ht="30" customHeight="1" x14ac:dyDescent="0.2">
      <c r="B2" s="822" t="s">
        <v>30</v>
      </c>
    </row>
    <row r="4" spans="2:3" x14ac:dyDescent="0.2">
      <c r="B4" t="s">
        <v>16</v>
      </c>
      <c r="C4" s="11">
        <v>10000</v>
      </c>
    </row>
    <row r="5" spans="2:3" x14ac:dyDescent="0.2">
      <c r="B5" t="s">
        <v>29</v>
      </c>
      <c r="C5" s="11">
        <v>8000</v>
      </c>
    </row>
    <row r="6" spans="2:3" x14ac:dyDescent="0.2">
      <c r="B6" t="s">
        <v>637</v>
      </c>
      <c r="C6" s="11">
        <v>4000</v>
      </c>
    </row>
    <row r="8" spans="2:3" ht="19.5" customHeight="1" x14ac:dyDescent="0.2">
      <c r="B8" s="822" t="s">
        <v>321</v>
      </c>
    </row>
    <row r="10" spans="2:3" x14ac:dyDescent="0.2">
      <c r="B10" s="3" t="s">
        <v>672</v>
      </c>
      <c r="C10" s="11">
        <v>10000</v>
      </c>
    </row>
    <row r="11" spans="2:3" x14ac:dyDescent="0.2">
      <c r="B11" s="3" t="s">
        <v>674</v>
      </c>
      <c r="C11" s="11">
        <v>6500</v>
      </c>
    </row>
    <row r="12" spans="2:3" x14ac:dyDescent="0.2">
      <c r="B12" s="3"/>
      <c r="C12" s="11"/>
    </row>
    <row r="13" spans="2:3" ht="15.75" x14ac:dyDescent="0.25">
      <c r="B13" s="8" t="s">
        <v>671</v>
      </c>
      <c r="C13" s="11"/>
    </row>
    <row r="14" spans="2:3" ht="15.75" x14ac:dyDescent="0.25">
      <c r="B14" s="8"/>
      <c r="C14" s="11"/>
    </row>
    <row r="15" spans="2:3" x14ac:dyDescent="0.2">
      <c r="B15" s="3" t="s">
        <v>670</v>
      </c>
      <c r="C15" s="11">
        <v>4000</v>
      </c>
    </row>
    <row r="16" spans="2:3" x14ac:dyDescent="0.2">
      <c r="B16" s="3" t="s">
        <v>673</v>
      </c>
      <c r="C16" s="11">
        <v>10000</v>
      </c>
    </row>
    <row r="17" spans="2:3" x14ac:dyDescent="0.2">
      <c r="B17" s="3"/>
      <c r="C17" s="11"/>
    </row>
    <row r="18" spans="2:3" ht="15.75" x14ac:dyDescent="0.2">
      <c r="B18" s="822" t="s">
        <v>513</v>
      </c>
    </row>
    <row r="20" spans="2:3" x14ac:dyDescent="0.2">
      <c r="B20" s="3" t="s">
        <v>29</v>
      </c>
      <c r="C20" s="11">
        <v>110000</v>
      </c>
    </row>
    <row r="21" spans="2:3" x14ac:dyDescent="0.2">
      <c r="B21" s="3" t="s">
        <v>638</v>
      </c>
      <c r="C21" s="11">
        <v>120000</v>
      </c>
    </row>
    <row r="23" spans="2:3" ht="15.75" x14ac:dyDescent="0.2">
      <c r="B23" s="822" t="s">
        <v>639</v>
      </c>
    </row>
    <row r="25" spans="2:3" x14ac:dyDescent="0.2">
      <c r="B25" s="3" t="s">
        <v>529</v>
      </c>
      <c r="C25" s="11">
        <v>150000</v>
      </c>
    </row>
    <row r="26" spans="2:3" x14ac:dyDescent="0.2">
      <c r="B26" s="3" t="s">
        <v>640</v>
      </c>
      <c r="C26" s="11">
        <v>200000</v>
      </c>
    </row>
    <row r="28" spans="2:3" ht="19.5" customHeight="1" x14ac:dyDescent="0.2">
      <c r="B28" s="822" t="s">
        <v>641</v>
      </c>
    </row>
    <row r="30" spans="2:3" x14ac:dyDescent="0.2">
      <c r="B30" s="3" t="s">
        <v>642</v>
      </c>
      <c r="C30" s="11">
        <v>120000</v>
      </c>
    </row>
    <row r="31" spans="2:3" x14ac:dyDescent="0.2">
      <c r="B31" s="3" t="s">
        <v>643</v>
      </c>
      <c r="C31" s="11">
        <v>110000</v>
      </c>
    </row>
    <row r="32" spans="2:3" x14ac:dyDescent="0.2">
      <c r="B32" s="3" t="s">
        <v>644</v>
      </c>
      <c r="C32" s="11">
        <v>100000</v>
      </c>
    </row>
    <row r="33" spans="2:3" x14ac:dyDescent="0.2">
      <c r="B33" s="3" t="s">
        <v>645</v>
      </c>
      <c r="C33" s="11">
        <v>300000</v>
      </c>
    </row>
    <row r="34" spans="2:3" x14ac:dyDescent="0.2">
      <c r="B34" s="3" t="s">
        <v>647</v>
      </c>
      <c r="C34" s="11">
        <v>120000</v>
      </c>
    </row>
    <row r="35" spans="2:3" x14ac:dyDescent="0.2">
      <c r="B35" s="3" t="s">
        <v>646</v>
      </c>
      <c r="C35" s="11">
        <v>100000</v>
      </c>
    </row>
    <row r="36" spans="2:3" x14ac:dyDescent="0.2">
      <c r="B36" s="3" t="s">
        <v>648</v>
      </c>
      <c r="C36" s="11">
        <v>120000</v>
      </c>
    </row>
    <row r="37" spans="2:3" x14ac:dyDescent="0.2">
      <c r="B37" s="3" t="s">
        <v>649</v>
      </c>
      <c r="C37" s="11">
        <v>400000</v>
      </c>
    </row>
  </sheetData>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I33"/>
  <sheetViews>
    <sheetView topLeftCell="A13" zoomScale="80" zoomScaleNormal="80" workbookViewId="0">
      <selection activeCell="J24" sqref="J24"/>
    </sheetView>
  </sheetViews>
  <sheetFormatPr defaultRowHeight="15.75" x14ac:dyDescent="0.2"/>
  <cols>
    <col min="1" max="1" width="4.77734375" style="833" customWidth="1"/>
    <col min="2" max="2" width="34.21875" style="669" customWidth="1"/>
    <col min="3" max="3" width="4.88671875" style="669" customWidth="1"/>
    <col min="4" max="4" width="10" style="826" bestFit="1" customWidth="1"/>
    <col min="5" max="5" width="10.5546875" style="826" bestFit="1" customWidth="1"/>
    <col min="6" max="6" width="12" style="669" bestFit="1" customWidth="1"/>
  </cols>
  <sheetData>
    <row r="2" spans="1:9" ht="21.75" customHeight="1" x14ac:dyDescent="0.2">
      <c r="C2" s="1056" t="s">
        <v>732</v>
      </c>
      <c r="D2" s="1056"/>
      <c r="E2" s="1056"/>
      <c r="F2" s="1056"/>
    </row>
    <row r="4" spans="1:9" ht="25.5" customHeight="1" x14ac:dyDescent="0.2">
      <c r="A4" s="1060" t="s">
        <v>666</v>
      </c>
      <c r="B4" s="1060"/>
    </row>
    <row r="6" spans="1:9" ht="31.5" x14ac:dyDescent="0.2">
      <c r="A6" s="832"/>
      <c r="B6" s="108" t="s">
        <v>3</v>
      </c>
      <c r="C6" s="108" t="s">
        <v>36</v>
      </c>
      <c r="D6" s="846" t="s">
        <v>650</v>
      </c>
      <c r="E6" s="846" t="s">
        <v>651</v>
      </c>
      <c r="F6" s="847" t="s">
        <v>701</v>
      </c>
    </row>
    <row r="7" spans="1:9" ht="20.25" customHeight="1" x14ac:dyDescent="0.2">
      <c r="A7" s="832"/>
      <c r="B7" s="840"/>
      <c r="C7" s="823"/>
      <c r="D7" s="830"/>
      <c r="E7" s="830"/>
      <c r="F7" s="823"/>
    </row>
    <row r="8" spans="1:9" ht="20.25" customHeight="1" x14ac:dyDescent="0.2">
      <c r="A8" s="832">
        <v>1</v>
      </c>
      <c r="B8" s="109" t="s">
        <v>652</v>
      </c>
      <c r="C8" s="109" t="s">
        <v>501</v>
      </c>
      <c r="D8" s="830">
        <v>1</v>
      </c>
      <c r="E8" s="830" t="e">
        <f>#REF!</f>
        <v>#REF!</v>
      </c>
      <c r="F8" s="823" t="e">
        <f>D8*E8/10^5</f>
        <v>#REF!</v>
      </c>
    </row>
    <row r="9" spans="1:9" ht="21.75" customHeight="1" x14ac:dyDescent="0.2">
      <c r="A9" s="832">
        <v>2</v>
      </c>
      <c r="B9" s="109" t="s">
        <v>653</v>
      </c>
      <c r="C9" s="109" t="s">
        <v>501</v>
      </c>
      <c r="D9" s="830">
        <v>1</v>
      </c>
      <c r="E9" s="830" t="e">
        <f>#REF!</f>
        <v>#REF!</v>
      </c>
      <c r="F9" s="823" t="e">
        <f t="shared" ref="F9:F18" si="0">D9*E9/10^5</f>
        <v>#REF!</v>
      </c>
    </row>
    <row r="10" spans="1:9" ht="51.75" customHeight="1" x14ac:dyDescent="0.2">
      <c r="A10" s="832">
        <v>3</v>
      </c>
      <c r="B10" s="820" t="s">
        <v>658</v>
      </c>
      <c r="C10" s="823"/>
      <c r="D10" s="830">
        <v>1</v>
      </c>
      <c r="E10" s="830">
        <f>(7.04-14)*10^5</f>
        <v>-696000</v>
      </c>
      <c r="F10" s="823">
        <f t="shared" si="0"/>
        <v>-6.96</v>
      </c>
    </row>
    <row r="11" spans="1:9" ht="33" customHeight="1" x14ac:dyDescent="0.2">
      <c r="A11" s="832">
        <v>4</v>
      </c>
      <c r="B11" s="820" t="e">
        <f>#REF!</f>
        <v>#REF!</v>
      </c>
      <c r="C11" s="109" t="s">
        <v>527</v>
      </c>
      <c r="D11" s="830" t="e">
        <f>#REF!</f>
        <v>#REF!</v>
      </c>
      <c r="E11" s="830" t="e">
        <f>#REF!</f>
        <v>#REF!</v>
      </c>
      <c r="F11" s="823" t="e">
        <f t="shared" si="0"/>
        <v>#REF!</v>
      </c>
    </row>
    <row r="12" spans="1:9" ht="19.5" customHeight="1" x14ac:dyDescent="0.2">
      <c r="A12" s="832">
        <v>5</v>
      </c>
      <c r="B12" s="109" t="s">
        <v>526</v>
      </c>
      <c r="C12" s="109" t="s">
        <v>501</v>
      </c>
      <c r="D12" s="830">
        <v>1</v>
      </c>
      <c r="E12" s="830" t="e">
        <f>#REF!</f>
        <v>#REF!</v>
      </c>
      <c r="F12" s="823" t="e">
        <f t="shared" si="0"/>
        <v>#REF!</v>
      </c>
    </row>
    <row r="13" spans="1:9" x14ac:dyDescent="0.2">
      <c r="A13" s="832">
        <v>6</v>
      </c>
      <c r="B13" s="109" t="s">
        <v>656</v>
      </c>
      <c r="C13" s="109" t="s">
        <v>501</v>
      </c>
      <c r="D13" s="830">
        <v>1</v>
      </c>
      <c r="E13" s="830" t="e">
        <f>#REF!</f>
        <v>#REF!</v>
      </c>
      <c r="F13" s="823" t="e">
        <f t="shared" si="0"/>
        <v>#REF!</v>
      </c>
    </row>
    <row r="14" spans="1:9" x14ac:dyDescent="0.2">
      <c r="A14" s="832">
        <v>7</v>
      </c>
      <c r="B14" s="109" t="s">
        <v>657</v>
      </c>
      <c r="C14" s="109" t="s">
        <v>501</v>
      </c>
      <c r="D14" s="830">
        <v>1</v>
      </c>
      <c r="E14" s="830" t="e">
        <f>#REF!</f>
        <v>#REF!</v>
      </c>
      <c r="F14" s="823" t="e">
        <f t="shared" si="0"/>
        <v>#REF!</v>
      </c>
      <c r="I14" s="3" t="s">
        <v>0</v>
      </c>
    </row>
    <row r="15" spans="1:9" ht="33" customHeight="1" x14ac:dyDescent="0.2">
      <c r="A15" s="832">
        <v>8</v>
      </c>
      <c r="B15" s="820" t="s">
        <v>664</v>
      </c>
      <c r="C15" s="109" t="s">
        <v>501</v>
      </c>
      <c r="D15" s="830">
        <v>1</v>
      </c>
      <c r="E15" s="830" t="e">
        <f>#REF!-23.1*10^5</f>
        <v>#REF!</v>
      </c>
      <c r="F15" s="823" t="e">
        <f t="shared" si="0"/>
        <v>#REF!</v>
      </c>
    </row>
    <row r="16" spans="1:9" ht="30.75" customHeight="1" x14ac:dyDescent="0.2">
      <c r="A16" s="832">
        <v>9</v>
      </c>
      <c r="B16" s="820" t="e">
        <f>#REF!</f>
        <v>#REF!</v>
      </c>
      <c r="C16" s="109" t="s">
        <v>501</v>
      </c>
      <c r="D16" s="830">
        <v>1</v>
      </c>
      <c r="E16" s="830">
        <f>838.203021516354*10^5</f>
        <v>83820302.151635408</v>
      </c>
      <c r="F16" s="823">
        <f t="shared" si="0"/>
        <v>838.20302151635406</v>
      </c>
    </row>
    <row r="17" spans="1:6" ht="18" customHeight="1" x14ac:dyDescent="0.2">
      <c r="A17" s="832">
        <v>10</v>
      </c>
      <c r="B17" s="109" t="s">
        <v>663</v>
      </c>
      <c r="C17" s="823" t="s">
        <v>532</v>
      </c>
      <c r="D17" s="830">
        <v>550</v>
      </c>
      <c r="E17" s="830" t="e">
        <f>#REF!</f>
        <v>#REF!</v>
      </c>
      <c r="F17" s="823" t="e">
        <f t="shared" si="0"/>
        <v>#REF!</v>
      </c>
    </row>
    <row r="18" spans="1:6" ht="18.75" customHeight="1" x14ac:dyDescent="0.2">
      <c r="A18" s="832">
        <v>11</v>
      </c>
      <c r="B18" s="823" t="s">
        <v>661</v>
      </c>
      <c r="C18" s="823" t="s">
        <v>532</v>
      </c>
      <c r="D18" s="830">
        <v>550</v>
      </c>
      <c r="E18" s="830" t="e">
        <f>#REF!</f>
        <v>#REF!</v>
      </c>
      <c r="F18" s="823" t="e">
        <f t="shared" si="0"/>
        <v>#REF!</v>
      </c>
    </row>
    <row r="19" spans="1:6" ht="18.75" customHeight="1" x14ac:dyDescent="0.2">
      <c r="A19" s="832">
        <v>12</v>
      </c>
      <c r="B19" s="109" t="s">
        <v>665</v>
      </c>
      <c r="C19" s="823" t="s">
        <v>532</v>
      </c>
      <c r="D19" s="830">
        <v>90</v>
      </c>
      <c r="E19" s="830" t="e">
        <f>#REF!</f>
        <v>#REF!</v>
      </c>
      <c r="F19" s="823" t="e">
        <f>D19*E19/10^5</f>
        <v>#REF!</v>
      </c>
    </row>
    <row r="20" spans="1:6" ht="33.75" customHeight="1" x14ac:dyDescent="0.2">
      <c r="A20" s="832">
        <v>13</v>
      </c>
      <c r="B20" s="831" t="e">
        <f>#REF!</f>
        <v>#REF!</v>
      </c>
      <c r="C20" s="823" t="s">
        <v>501</v>
      </c>
      <c r="D20" s="830">
        <v>2</v>
      </c>
      <c r="E20" s="830" t="e">
        <f>#REF!</f>
        <v>#REF!</v>
      </c>
      <c r="F20" s="823" t="e">
        <f>D20*E20/10^5</f>
        <v>#REF!</v>
      </c>
    </row>
    <row r="21" spans="1:6" ht="18.75" customHeight="1" x14ac:dyDescent="0.2">
      <c r="A21" s="832">
        <v>14</v>
      </c>
      <c r="B21" s="823" t="e">
        <f>#REF!</f>
        <v>#REF!</v>
      </c>
      <c r="C21" s="823" t="s">
        <v>532</v>
      </c>
      <c r="D21" s="830" t="e">
        <f>#REF!</f>
        <v>#REF!</v>
      </c>
      <c r="E21" s="830" t="e">
        <f>#REF!</f>
        <v>#REF!</v>
      </c>
      <c r="F21" s="823" t="e">
        <f>D21*E21/10^5</f>
        <v>#REF!</v>
      </c>
    </row>
    <row r="22" spans="1:6" ht="18.75" customHeight="1" x14ac:dyDescent="0.2">
      <c r="A22" s="832">
        <v>15</v>
      </c>
      <c r="B22" s="109" t="s">
        <v>667</v>
      </c>
      <c r="C22" s="823"/>
      <c r="D22" s="830"/>
      <c r="E22" s="830"/>
      <c r="F22" s="109" t="e">
        <f>#REF!+#REF!+#REF!</f>
        <v>#REF!</v>
      </c>
    </row>
    <row r="23" spans="1:6" ht="18.75" customHeight="1" x14ac:dyDescent="0.2">
      <c r="A23" s="832">
        <v>16</v>
      </c>
      <c r="B23" s="109" t="s">
        <v>668</v>
      </c>
      <c r="C23" s="823"/>
      <c r="D23" s="830"/>
      <c r="E23" s="830"/>
      <c r="F23" s="109">
        <f>-132</f>
        <v>-132</v>
      </c>
    </row>
    <row r="24" spans="1:6" ht="18.75" customHeight="1" x14ac:dyDescent="0.2">
      <c r="A24" s="832">
        <v>17</v>
      </c>
      <c r="B24" s="642" t="e">
        <f>#REF!</f>
        <v>#REF!</v>
      </c>
      <c r="C24" s="823" t="s">
        <v>502</v>
      </c>
      <c r="D24" s="830">
        <v>1</v>
      </c>
      <c r="E24" s="830" t="e">
        <f>#REF!*10^5</f>
        <v>#REF!</v>
      </c>
      <c r="F24" s="109" t="e">
        <f>D24*E24/10^5</f>
        <v>#REF!</v>
      </c>
    </row>
    <row r="25" spans="1:6" ht="18.75" customHeight="1" x14ac:dyDescent="0.2">
      <c r="A25" s="832">
        <v>18</v>
      </c>
      <c r="B25" s="642" t="e">
        <f>#REF!</f>
        <v>#REF!</v>
      </c>
      <c r="C25" s="823" t="s">
        <v>502</v>
      </c>
      <c r="D25" s="830">
        <v>1</v>
      </c>
      <c r="E25" s="830" t="e">
        <f>#REF!</f>
        <v>#REF!</v>
      </c>
      <c r="F25" s="109" t="e">
        <f>D25*E25/10^5</f>
        <v>#REF!</v>
      </c>
    </row>
    <row r="26" spans="1:6" ht="18.75" customHeight="1" x14ac:dyDescent="0.2">
      <c r="A26" s="832">
        <v>19</v>
      </c>
      <c r="B26" s="642" t="e">
        <f>#REF!</f>
        <v>#REF!</v>
      </c>
      <c r="C26" s="823" t="s">
        <v>501</v>
      </c>
      <c r="D26" s="830">
        <v>1</v>
      </c>
      <c r="E26" s="830" t="e">
        <f>#REF!</f>
        <v>#REF!</v>
      </c>
      <c r="F26" s="109" t="e">
        <f>D26*E26/10^5</f>
        <v>#REF!</v>
      </c>
    </row>
    <row r="27" spans="1:6" ht="20.25" customHeight="1" x14ac:dyDescent="0.2">
      <c r="A27" s="832"/>
      <c r="B27" s="1053" t="s">
        <v>669</v>
      </c>
      <c r="C27" s="1054"/>
      <c r="D27" s="1054"/>
      <c r="E27" s="1055"/>
      <c r="F27" s="823" t="e">
        <f>SUM(F8:F26)</f>
        <v>#REF!</v>
      </c>
    </row>
    <row r="28" spans="1:6" x14ac:dyDescent="0.2">
      <c r="A28" s="832">
        <v>20</v>
      </c>
      <c r="B28" s="109" t="s">
        <v>192</v>
      </c>
      <c r="C28" s="823"/>
      <c r="D28" s="830"/>
      <c r="E28" s="829"/>
      <c r="F28" s="823">
        <f>'Civil scope change from R1'!G33</f>
        <v>1730.0705340151235</v>
      </c>
    </row>
    <row r="30" spans="1:6" ht="18" x14ac:dyDescent="0.2">
      <c r="A30" s="1057" t="s">
        <v>702</v>
      </c>
      <c r="B30" s="1058"/>
      <c r="C30" s="1058"/>
      <c r="D30" s="1058"/>
      <c r="E30" s="1059"/>
      <c r="F30" s="108" t="e">
        <f>(F27+F28)/100</f>
        <v>#REF!</v>
      </c>
    </row>
    <row r="33" spans="2:6" ht="30" x14ac:dyDescent="0.2">
      <c r="B33" s="828" t="s">
        <v>662</v>
      </c>
      <c r="F33" s="669">
        <f>(5369-2000)</f>
        <v>3369</v>
      </c>
    </row>
  </sheetData>
  <mergeCells count="4">
    <mergeCell ref="B27:E27"/>
    <mergeCell ref="C2:F2"/>
    <mergeCell ref="A30:E30"/>
    <mergeCell ref="A4:B4"/>
  </mergeCells>
  <pageMargins left="0.7" right="0.7" top="0.75" bottom="0.75" header="0.3" footer="0.3"/>
  <pageSetup paperSize="9" scale="96"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33"/>
  <sheetViews>
    <sheetView zoomScale="88" zoomScaleNormal="88" workbookViewId="0">
      <selection activeCell="K16" sqref="K16"/>
    </sheetView>
  </sheetViews>
  <sheetFormatPr defaultRowHeight="15" x14ac:dyDescent="0.2"/>
  <cols>
    <col min="1" max="1" width="3.6640625" customWidth="1"/>
    <col min="2" max="2" width="20.6640625" style="669" customWidth="1"/>
    <col min="5" max="5" width="8.88671875" style="11"/>
    <col min="6" max="6" width="8.88671875" style="9"/>
    <col min="7" max="7" width="8.88671875" style="639"/>
  </cols>
  <sheetData>
    <row r="1" spans="1:7" ht="31.5" x14ac:dyDescent="0.2">
      <c r="A1" s="1061" t="s">
        <v>660</v>
      </c>
      <c r="B1" s="1061"/>
      <c r="C1" s="671"/>
      <c r="D1" s="674"/>
      <c r="E1" s="827" t="s">
        <v>498</v>
      </c>
      <c r="F1" s="674" t="s">
        <v>651</v>
      </c>
      <c r="G1" s="848" t="s">
        <v>703</v>
      </c>
    </row>
    <row r="2" spans="1:7" ht="15.75" x14ac:dyDescent="0.2">
      <c r="A2" s="674"/>
      <c r="B2" s="674"/>
      <c r="C2" s="671"/>
      <c r="D2" s="674"/>
      <c r="E2" s="827"/>
      <c r="F2" s="674"/>
      <c r="G2" s="821"/>
    </row>
    <row r="3" spans="1:7" ht="15.75" x14ac:dyDescent="0.25">
      <c r="A3" s="825">
        <v>1</v>
      </c>
      <c r="B3" s="670" t="s">
        <v>325</v>
      </c>
      <c r="C3" s="675"/>
      <c r="D3" s="674" t="s">
        <v>424</v>
      </c>
      <c r="E3" s="672">
        <v>13331</v>
      </c>
      <c r="F3" s="835">
        <v>473.30434782608694</v>
      </c>
      <c r="G3" s="821">
        <f>E3*F3/10^5</f>
        <v>63.096202608695656</v>
      </c>
    </row>
    <row r="4" spans="1:7" ht="15.75" x14ac:dyDescent="0.25">
      <c r="A4" s="825">
        <v>2</v>
      </c>
      <c r="B4" s="670" t="s">
        <v>530</v>
      </c>
      <c r="C4" s="675"/>
      <c r="D4" s="674" t="s">
        <v>424</v>
      </c>
      <c r="E4" s="672">
        <v>349</v>
      </c>
      <c r="F4" s="835">
        <v>7253.1739130434789</v>
      </c>
      <c r="G4" s="821">
        <f t="shared" ref="G4:G30" si="0">E4*F4/10^5</f>
        <v>25.313576956521743</v>
      </c>
    </row>
    <row r="5" spans="1:7" ht="15.75" x14ac:dyDescent="0.25">
      <c r="A5" s="825">
        <v>3</v>
      </c>
      <c r="B5" s="670" t="s">
        <v>531</v>
      </c>
      <c r="C5" s="675"/>
      <c r="D5" s="674" t="s">
        <v>424</v>
      </c>
      <c r="E5" s="672">
        <f>5209+410</f>
        <v>5619</v>
      </c>
      <c r="F5" s="835">
        <v>11410.347826086958</v>
      </c>
      <c r="G5" s="821">
        <f t="shared" si="0"/>
        <v>641.14744434782619</v>
      </c>
    </row>
    <row r="6" spans="1:7" ht="15.75" x14ac:dyDescent="0.2">
      <c r="A6" s="825">
        <v>4</v>
      </c>
      <c r="B6" s="670" t="s">
        <v>537</v>
      </c>
      <c r="C6" s="675"/>
      <c r="D6" s="674" t="s">
        <v>424</v>
      </c>
      <c r="E6" s="672">
        <v>5</v>
      </c>
      <c r="F6" s="836">
        <v>50000</v>
      </c>
      <c r="G6" s="821">
        <f t="shared" si="0"/>
        <v>2.5</v>
      </c>
    </row>
    <row r="7" spans="1:7" ht="15.75" x14ac:dyDescent="0.2">
      <c r="A7" s="825">
        <v>5</v>
      </c>
      <c r="B7" s="670" t="s">
        <v>659</v>
      </c>
      <c r="C7" s="675"/>
      <c r="D7" s="674" t="s">
        <v>424</v>
      </c>
      <c r="E7" s="672">
        <v>60</v>
      </c>
      <c r="F7" s="836">
        <v>13623.021739130436</v>
      </c>
      <c r="G7" s="821">
        <f t="shared" si="0"/>
        <v>8.1738130434782619</v>
      </c>
    </row>
    <row r="8" spans="1:7" ht="15.75" x14ac:dyDescent="0.25">
      <c r="A8" s="825">
        <v>6</v>
      </c>
      <c r="B8" s="670" t="s">
        <v>484</v>
      </c>
      <c r="C8" s="675"/>
      <c r="D8" s="674" t="s">
        <v>532</v>
      </c>
      <c r="E8" s="672">
        <v>767</v>
      </c>
      <c r="F8" s="837">
        <v>77956.521739130447</v>
      </c>
      <c r="G8" s="821">
        <f t="shared" si="0"/>
        <v>597.92652173913052</v>
      </c>
    </row>
    <row r="9" spans="1:7" ht="15.75" x14ac:dyDescent="0.2">
      <c r="A9" s="825">
        <v>8</v>
      </c>
      <c r="B9" s="670" t="s">
        <v>533</v>
      </c>
      <c r="C9" s="675"/>
      <c r="D9" s="674" t="s">
        <v>532</v>
      </c>
      <c r="E9" s="672">
        <v>8</v>
      </c>
      <c r="F9" s="836">
        <v>100000</v>
      </c>
      <c r="G9" s="821">
        <f t="shared" si="0"/>
        <v>8</v>
      </c>
    </row>
    <row r="10" spans="1:7" ht="15.75" x14ac:dyDescent="0.2">
      <c r="A10" s="825">
        <v>10</v>
      </c>
      <c r="B10" s="670" t="s">
        <v>538</v>
      </c>
      <c r="C10" s="675"/>
      <c r="D10" s="674" t="s">
        <v>500</v>
      </c>
      <c r="E10" s="672">
        <v>720</v>
      </c>
      <c r="F10" s="673">
        <v>473.91304347826093</v>
      </c>
      <c r="G10" s="821">
        <f t="shared" si="0"/>
        <v>3.4121739130434792</v>
      </c>
    </row>
    <row r="11" spans="1:7" ht="15.75" x14ac:dyDescent="0.2">
      <c r="A11" s="825">
        <v>14</v>
      </c>
      <c r="B11" s="670" t="s">
        <v>539</v>
      </c>
      <c r="C11" s="675"/>
      <c r="D11" s="674" t="s">
        <v>424</v>
      </c>
      <c r="E11" s="672">
        <v>569</v>
      </c>
      <c r="F11" s="673">
        <v>7317.086956521739</v>
      </c>
      <c r="G11" s="821">
        <f t="shared" si="0"/>
        <v>41.634224782608698</v>
      </c>
    </row>
    <row r="12" spans="1:7" ht="15.75" x14ac:dyDescent="0.2">
      <c r="A12" s="825">
        <v>15</v>
      </c>
      <c r="B12" s="670" t="s">
        <v>540</v>
      </c>
      <c r="C12" s="675"/>
      <c r="D12" s="674" t="s">
        <v>500</v>
      </c>
      <c r="E12" s="672">
        <v>1824</v>
      </c>
      <c r="F12" s="673">
        <v>349.69565217391306</v>
      </c>
      <c r="G12" s="821">
        <f t="shared" si="0"/>
        <v>6.3784486956521738</v>
      </c>
    </row>
    <row r="13" spans="1:7" ht="15.75" x14ac:dyDescent="0.2">
      <c r="A13" s="825">
        <v>16</v>
      </c>
      <c r="B13" s="670" t="s">
        <v>541</v>
      </c>
      <c r="C13" s="675"/>
      <c r="D13" s="674" t="s">
        <v>500</v>
      </c>
      <c r="E13" s="672">
        <v>1604</v>
      </c>
      <c r="F13" s="673">
        <v>295.39130434782612</v>
      </c>
      <c r="G13" s="821">
        <f t="shared" si="0"/>
        <v>4.7380765217391305</v>
      </c>
    </row>
    <row r="14" spans="1:7" ht="15.75" x14ac:dyDescent="0.2">
      <c r="A14" s="825">
        <v>17</v>
      </c>
      <c r="B14" s="670" t="s">
        <v>542</v>
      </c>
      <c r="C14" s="675"/>
      <c r="D14" s="674" t="s">
        <v>500</v>
      </c>
      <c r="E14" s="672">
        <v>2772</v>
      </c>
      <c r="F14" s="673">
        <v>253.05</v>
      </c>
      <c r="G14" s="821">
        <f t="shared" si="0"/>
        <v>7.0145460000000002</v>
      </c>
    </row>
    <row r="15" spans="1:7" ht="15.75" x14ac:dyDescent="0.2">
      <c r="A15" s="825">
        <v>18</v>
      </c>
      <c r="B15" s="670" t="s">
        <v>543</v>
      </c>
      <c r="C15" s="675"/>
      <c r="D15" s="674" t="s">
        <v>500</v>
      </c>
      <c r="E15" s="672">
        <v>1824</v>
      </c>
      <c r="F15" s="673">
        <v>213.04347826086959</v>
      </c>
      <c r="G15" s="821">
        <f t="shared" si="0"/>
        <v>3.8859130434782609</v>
      </c>
    </row>
    <row r="16" spans="1:7" ht="15.75" x14ac:dyDescent="0.2">
      <c r="A16" s="825">
        <v>19</v>
      </c>
      <c r="B16" s="670" t="s">
        <v>544</v>
      </c>
      <c r="C16" s="675"/>
      <c r="D16" s="674" t="s">
        <v>500</v>
      </c>
      <c r="E16" s="672">
        <v>4320</v>
      </c>
      <c r="F16" s="673">
        <v>28.217391304347831</v>
      </c>
      <c r="G16" s="821">
        <f t="shared" si="0"/>
        <v>1.2189913043478264</v>
      </c>
    </row>
    <row r="17" spans="1:7" ht="15.75" x14ac:dyDescent="0.2">
      <c r="A17" s="825">
        <v>20</v>
      </c>
      <c r="B17" s="670" t="s">
        <v>499</v>
      </c>
      <c r="C17" s="675"/>
      <c r="D17" s="674" t="s">
        <v>424</v>
      </c>
      <c r="E17" s="672">
        <v>180</v>
      </c>
      <c r="F17" s="673">
        <v>1562.8695652173915</v>
      </c>
      <c r="G17" s="821">
        <f t="shared" si="0"/>
        <v>2.8131652173913051</v>
      </c>
    </row>
    <row r="18" spans="1:7" ht="15.75" x14ac:dyDescent="0.2">
      <c r="A18" s="825">
        <v>21</v>
      </c>
      <c r="B18" s="670" t="s">
        <v>545</v>
      </c>
      <c r="C18" s="675"/>
      <c r="D18" s="674" t="s">
        <v>500</v>
      </c>
      <c r="E18" s="672">
        <v>696</v>
      </c>
      <c r="F18" s="673">
        <v>490.00000000000006</v>
      </c>
      <c r="G18" s="821">
        <f t="shared" si="0"/>
        <v>3.4104000000000005</v>
      </c>
    </row>
    <row r="19" spans="1:7" ht="15.75" x14ac:dyDescent="0.2">
      <c r="A19" s="825">
        <v>22</v>
      </c>
      <c r="B19" s="670" t="s">
        <v>546</v>
      </c>
      <c r="C19" s="675"/>
      <c r="D19" s="674" t="s">
        <v>500</v>
      </c>
      <c r="E19" s="672">
        <v>19</v>
      </c>
      <c r="F19" s="673">
        <v>7234.826086956522</v>
      </c>
      <c r="G19" s="821">
        <f t="shared" si="0"/>
        <v>1.3746169565217392</v>
      </c>
    </row>
    <row r="20" spans="1:7" ht="15.75" x14ac:dyDescent="0.2">
      <c r="A20" s="825">
        <v>23</v>
      </c>
      <c r="B20" s="670" t="s">
        <v>547</v>
      </c>
      <c r="C20" s="675"/>
      <c r="D20" s="674" t="s">
        <v>500</v>
      </c>
      <c r="E20" s="672">
        <v>31</v>
      </c>
      <c r="F20" s="673">
        <v>7234.826086956522</v>
      </c>
      <c r="G20" s="821">
        <f t="shared" si="0"/>
        <v>2.2427960869565218</v>
      </c>
    </row>
    <row r="21" spans="1:7" ht="15.75" x14ac:dyDescent="0.2">
      <c r="A21" s="825">
        <v>25</v>
      </c>
      <c r="B21" s="670" t="s">
        <v>548</v>
      </c>
      <c r="C21" s="675"/>
      <c r="D21" s="674" t="s">
        <v>500</v>
      </c>
      <c r="E21" s="672">
        <v>24</v>
      </c>
      <c r="F21" s="673">
        <v>4701.869565217391</v>
      </c>
      <c r="G21" s="821">
        <f t="shared" si="0"/>
        <v>1.1284486956521738</v>
      </c>
    </row>
    <row r="22" spans="1:7" ht="15.75" x14ac:dyDescent="0.2">
      <c r="A22" s="825">
        <v>27</v>
      </c>
      <c r="B22" s="670" t="s">
        <v>534</v>
      </c>
      <c r="C22" s="675"/>
      <c r="D22" s="674" t="s">
        <v>535</v>
      </c>
      <c r="E22" s="672">
        <v>2176</v>
      </c>
      <c r="F22" s="673">
        <v>2546.1739130434785</v>
      </c>
      <c r="G22" s="821">
        <f t="shared" si="0"/>
        <v>55.404744347826096</v>
      </c>
    </row>
    <row r="23" spans="1:7" ht="15.75" x14ac:dyDescent="0.2">
      <c r="A23" s="825">
        <v>32</v>
      </c>
      <c r="B23" s="670" t="s">
        <v>536</v>
      </c>
      <c r="C23" s="675"/>
      <c r="D23" s="674" t="s">
        <v>535</v>
      </c>
      <c r="E23" s="672">
        <v>4056</v>
      </c>
      <c r="F23" s="673">
        <v>3413.5349716446131</v>
      </c>
      <c r="G23" s="821">
        <f t="shared" si="0"/>
        <v>138.45297844990549</v>
      </c>
    </row>
    <row r="24" spans="1:7" ht="15.75" x14ac:dyDescent="0.2">
      <c r="A24" s="825">
        <v>33</v>
      </c>
      <c r="B24" s="670" t="s">
        <v>549</v>
      </c>
      <c r="C24" s="675"/>
      <c r="D24" s="674" t="s">
        <v>500</v>
      </c>
      <c r="E24" s="672">
        <v>32</v>
      </c>
      <c r="F24" s="673">
        <v>322.47826086956525</v>
      </c>
      <c r="G24" s="821">
        <f t="shared" si="0"/>
        <v>0.10319304347826087</v>
      </c>
    </row>
    <row r="25" spans="1:7" ht="15.75" x14ac:dyDescent="0.2">
      <c r="A25" s="825">
        <v>34</v>
      </c>
      <c r="B25" s="670" t="s">
        <v>550</v>
      </c>
      <c r="C25" s="675"/>
      <c r="D25" s="674" t="s">
        <v>500</v>
      </c>
      <c r="E25" s="672">
        <v>70</v>
      </c>
      <c r="F25" s="673">
        <v>592.73913043478262</v>
      </c>
      <c r="G25" s="821">
        <f t="shared" si="0"/>
        <v>0.41491739130434785</v>
      </c>
    </row>
    <row r="26" spans="1:7" ht="15.75" x14ac:dyDescent="0.2">
      <c r="A26" s="825">
        <v>35</v>
      </c>
      <c r="B26" s="670" t="s">
        <v>551</v>
      </c>
      <c r="C26" s="675"/>
      <c r="D26" s="674" t="s">
        <v>500</v>
      </c>
      <c r="E26" s="672">
        <v>684</v>
      </c>
      <c r="F26" s="673">
        <v>1582.6521739130435</v>
      </c>
      <c r="G26" s="821">
        <f t="shared" si="0"/>
        <v>10.825340869565217</v>
      </c>
    </row>
    <row r="27" spans="1:7" ht="30" x14ac:dyDescent="0.2">
      <c r="A27" s="825">
        <v>52</v>
      </c>
      <c r="B27" s="820" t="s">
        <v>552</v>
      </c>
      <c r="C27" s="676"/>
      <c r="D27" s="674" t="s">
        <v>500</v>
      </c>
      <c r="E27" s="672">
        <v>20</v>
      </c>
      <c r="F27" s="673">
        <v>6000</v>
      </c>
      <c r="G27" s="821">
        <f t="shared" si="0"/>
        <v>1.2</v>
      </c>
    </row>
    <row r="28" spans="1:7" ht="30" x14ac:dyDescent="0.2">
      <c r="A28" s="825">
        <v>53</v>
      </c>
      <c r="B28" s="820" t="s">
        <v>553</v>
      </c>
      <c r="C28" s="676"/>
      <c r="D28" s="674" t="s">
        <v>554</v>
      </c>
      <c r="E28" s="672">
        <v>1</v>
      </c>
      <c r="F28" s="838">
        <v>800000</v>
      </c>
      <c r="G28" s="821">
        <f t="shared" si="0"/>
        <v>8</v>
      </c>
    </row>
    <row r="29" spans="1:7" ht="15.75" x14ac:dyDescent="0.2">
      <c r="A29" s="825">
        <v>54</v>
      </c>
      <c r="B29" s="820" t="s">
        <v>555</v>
      </c>
      <c r="C29" s="676"/>
      <c r="D29" s="674" t="s">
        <v>500</v>
      </c>
      <c r="E29" s="672">
        <v>684</v>
      </c>
      <c r="F29" s="673">
        <v>1500</v>
      </c>
      <c r="G29" s="821">
        <f t="shared" si="0"/>
        <v>10.26</v>
      </c>
    </row>
    <row r="30" spans="1:7" ht="15.75" x14ac:dyDescent="0.2">
      <c r="A30" s="825">
        <v>55</v>
      </c>
      <c r="B30" s="820" t="s">
        <v>556</v>
      </c>
      <c r="C30" s="676"/>
      <c r="D30" s="674" t="s">
        <v>532</v>
      </c>
      <c r="E30" s="672">
        <v>13</v>
      </c>
      <c r="F30" s="673">
        <v>400000</v>
      </c>
      <c r="G30" s="821">
        <f t="shared" si="0"/>
        <v>52</v>
      </c>
    </row>
    <row r="31" spans="1:7" ht="15.75" x14ac:dyDescent="0.2">
      <c r="A31" s="825">
        <v>29</v>
      </c>
      <c r="B31" s="109" t="s">
        <v>654</v>
      </c>
      <c r="C31" s="595"/>
      <c r="D31" s="674" t="s">
        <v>535</v>
      </c>
      <c r="E31" s="830">
        <v>80</v>
      </c>
      <c r="F31" s="839">
        <v>30000</v>
      </c>
      <c r="G31" s="641">
        <f t="shared" ref="G31:G32" si="1">E31*F31/10^5</f>
        <v>24</v>
      </c>
    </row>
    <row r="32" spans="1:7" ht="15.75" x14ac:dyDescent="0.2">
      <c r="A32" s="825">
        <v>30</v>
      </c>
      <c r="B32" s="109" t="s">
        <v>655</v>
      </c>
      <c r="C32" s="595"/>
      <c r="D32" s="674" t="s">
        <v>535</v>
      </c>
      <c r="E32" s="830">
        <v>80</v>
      </c>
      <c r="F32" s="839">
        <v>5000</v>
      </c>
      <c r="G32" s="641">
        <f t="shared" si="1"/>
        <v>4</v>
      </c>
    </row>
    <row r="33" spans="6:7" ht="15.75" x14ac:dyDescent="0.2">
      <c r="F33" s="834" t="s">
        <v>4</v>
      </c>
      <c r="G33" s="834">
        <f>SUM(G3:G32)</f>
        <v>1730.0705340151235</v>
      </c>
    </row>
  </sheetData>
  <mergeCells count="1">
    <mergeCell ref="A1:B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H39"/>
  <sheetViews>
    <sheetView showZeros="0" tabSelected="1" workbookViewId="0">
      <selection activeCell="D18" sqref="D18"/>
    </sheetView>
  </sheetViews>
  <sheetFormatPr defaultColWidth="32.6640625" defaultRowHeight="15" x14ac:dyDescent="0.2"/>
  <cols>
    <col min="1" max="1" width="6.6640625" style="615" customWidth="1"/>
    <col min="2" max="2" width="45.88671875" style="615" customWidth="1"/>
    <col min="3" max="3" width="12.109375" style="615" customWidth="1"/>
    <col min="4" max="4" width="14.21875" style="615" customWidth="1"/>
    <col min="5" max="5" width="12.109375" style="615" hidden="1" customWidth="1"/>
    <col min="6" max="6" width="14.88671875" style="615" customWidth="1"/>
    <col min="7" max="7" width="14.5546875" style="615" customWidth="1"/>
    <col min="8" max="253" width="8.88671875" style="615" customWidth="1"/>
    <col min="254" max="254" width="5.88671875" style="615" customWidth="1"/>
    <col min="255" max="255" width="6.6640625" style="615" customWidth="1"/>
    <col min="256" max="256" width="32.6640625" style="615"/>
    <col min="257" max="257" width="5.88671875" style="615" customWidth="1"/>
    <col min="258" max="258" width="6.6640625" style="615" customWidth="1"/>
    <col min="259" max="259" width="45.88671875" style="615" customWidth="1"/>
    <col min="260" max="260" width="12.109375" style="615" customWidth="1"/>
    <col min="261" max="261" width="16.6640625" style="615" customWidth="1"/>
    <col min="262" max="262" width="21.109375" style="615" customWidth="1"/>
    <col min="263" max="509" width="8.88671875" style="615" customWidth="1"/>
    <col min="510" max="510" width="5.88671875" style="615" customWidth="1"/>
    <col min="511" max="511" width="6.6640625" style="615" customWidth="1"/>
    <col min="512" max="512" width="32.6640625" style="615"/>
    <col min="513" max="513" width="5.88671875" style="615" customWidth="1"/>
    <col min="514" max="514" width="6.6640625" style="615" customWidth="1"/>
    <col min="515" max="515" width="45.88671875" style="615" customWidth="1"/>
    <col min="516" max="516" width="12.109375" style="615" customWidth="1"/>
    <col min="517" max="517" width="16.6640625" style="615" customWidth="1"/>
    <col min="518" max="518" width="21.109375" style="615" customWidth="1"/>
    <col min="519" max="765" width="8.88671875" style="615" customWidth="1"/>
    <col min="766" max="766" width="5.88671875" style="615" customWidth="1"/>
    <col min="767" max="767" width="6.6640625" style="615" customWidth="1"/>
    <col min="768" max="768" width="32.6640625" style="615"/>
    <col min="769" max="769" width="5.88671875" style="615" customWidth="1"/>
    <col min="770" max="770" width="6.6640625" style="615" customWidth="1"/>
    <col min="771" max="771" width="45.88671875" style="615" customWidth="1"/>
    <col min="772" max="772" width="12.109375" style="615" customWidth="1"/>
    <col min="773" max="773" width="16.6640625" style="615" customWidth="1"/>
    <col min="774" max="774" width="21.109375" style="615" customWidth="1"/>
    <col min="775" max="1021" width="8.88671875" style="615" customWidth="1"/>
    <col min="1022" max="1022" width="5.88671875" style="615" customWidth="1"/>
    <col min="1023" max="1023" width="6.6640625" style="615" customWidth="1"/>
    <col min="1024" max="1024" width="32.6640625" style="615"/>
    <col min="1025" max="1025" width="5.88671875" style="615" customWidth="1"/>
    <col min="1026" max="1026" width="6.6640625" style="615" customWidth="1"/>
    <col min="1027" max="1027" width="45.88671875" style="615" customWidth="1"/>
    <col min="1028" max="1028" width="12.109375" style="615" customWidth="1"/>
    <col min="1029" max="1029" width="16.6640625" style="615" customWidth="1"/>
    <col min="1030" max="1030" width="21.109375" style="615" customWidth="1"/>
    <col min="1031" max="1277" width="8.88671875" style="615" customWidth="1"/>
    <col min="1278" max="1278" width="5.88671875" style="615" customWidth="1"/>
    <col min="1279" max="1279" width="6.6640625" style="615" customWidth="1"/>
    <col min="1280" max="1280" width="32.6640625" style="615"/>
    <col min="1281" max="1281" width="5.88671875" style="615" customWidth="1"/>
    <col min="1282" max="1282" width="6.6640625" style="615" customWidth="1"/>
    <col min="1283" max="1283" width="45.88671875" style="615" customWidth="1"/>
    <col min="1284" max="1284" width="12.109375" style="615" customWidth="1"/>
    <col min="1285" max="1285" width="16.6640625" style="615" customWidth="1"/>
    <col min="1286" max="1286" width="21.109375" style="615" customWidth="1"/>
    <col min="1287" max="1533" width="8.88671875" style="615" customWidth="1"/>
    <col min="1534" max="1534" width="5.88671875" style="615" customWidth="1"/>
    <col min="1535" max="1535" width="6.6640625" style="615" customWidth="1"/>
    <col min="1536" max="1536" width="32.6640625" style="615"/>
    <col min="1537" max="1537" width="5.88671875" style="615" customWidth="1"/>
    <col min="1538" max="1538" width="6.6640625" style="615" customWidth="1"/>
    <col min="1539" max="1539" width="45.88671875" style="615" customWidth="1"/>
    <col min="1540" max="1540" width="12.109375" style="615" customWidth="1"/>
    <col min="1541" max="1541" width="16.6640625" style="615" customWidth="1"/>
    <col min="1542" max="1542" width="21.109375" style="615" customWidth="1"/>
    <col min="1543" max="1789" width="8.88671875" style="615" customWidth="1"/>
    <col min="1790" max="1790" width="5.88671875" style="615" customWidth="1"/>
    <col min="1791" max="1791" width="6.6640625" style="615" customWidth="1"/>
    <col min="1792" max="1792" width="32.6640625" style="615"/>
    <col min="1793" max="1793" width="5.88671875" style="615" customWidth="1"/>
    <col min="1794" max="1794" width="6.6640625" style="615" customWidth="1"/>
    <col min="1795" max="1795" width="45.88671875" style="615" customWidth="1"/>
    <col min="1796" max="1796" width="12.109375" style="615" customWidth="1"/>
    <col min="1797" max="1797" width="16.6640625" style="615" customWidth="1"/>
    <col min="1798" max="1798" width="21.109375" style="615" customWidth="1"/>
    <col min="1799" max="2045" width="8.88671875" style="615" customWidth="1"/>
    <col min="2046" max="2046" width="5.88671875" style="615" customWidth="1"/>
    <col min="2047" max="2047" width="6.6640625" style="615" customWidth="1"/>
    <col min="2048" max="2048" width="32.6640625" style="615"/>
    <col min="2049" max="2049" width="5.88671875" style="615" customWidth="1"/>
    <col min="2050" max="2050" width="6.6640625" style="615" customWidth="1"/>
    <col min="2051" max="2051" width="45.88671875" style="615" customWidth="1"/>
    <col min="2052" max="2052" width="12.109375" style="615" customWidth="1"/>
    <col min="2053" max="2053" width="16.6640625" style="615" customWidth="1"/>
    <col min="2054" max="2054" width="21.109375" style="615" customWidth="1"/>
    <col min="2055" max="2301" width="8.88671875" style="615" customWidth="1"/>
    <col min="2302" max="2302" width="5.88671875" style="615" customWidth="1"/>
    <col min="2303" max="2303" width="6.6640625" style="615" customWidth="1"/>
    <col min="2304" max="2304" width="32.6640625" style="615"/>
    <col min="2305" max="2305" width="5.88671875" style="615" customWidth="1"/>
    <col min="2306" max="2306" width="6.6640625" style="615" customWidth="1"/>
    <col min="2307" max="2307" width="45.88671875" style="615" customWidth="1"/>
    <col min="2308" max="2308" width="12.109375" style="615" customWidth="1"/>
    <col min="2309" max="2309" width="16.6640625" style="615" customWidth="1"/>
    <col min="2310" max="2310" width="21.109375" style="615" customWidth="1"/>
    <col min="2311" max="2557" width="8.88671875" style="615" customWidth="1"/>
    <col min="2558" max="2558" width="5.88671875" style="615" customWidth="1"/>
    <col min="2559" max="2559" width="6.6640625" style="615" customWidth="1"/>
    <col min="2560" max="2560" width="32.6640625" style="615"/>
    <col min="2561" max="2561" width="5.88671875" style="615" customWidth="1"/>
    <col min="2562" max="2562" width="6.6640625" style="615" customWidth="1"/>
    <col min="2563" max="2563" width="45.88671875" style="615" customWidth="1"/>
    <col min="2564" max="2564" width="12.109375" style="615" customWidth="1"/>
    <col min="2565" max="2565" width="16.6640625" style="615" customWidth="1"/>
    <col min="2566" max="2566" width="21.109375" style="615" customWidth="1"/>
    <col min="2567" max="2813" width="8.88671875" style="615" customWidth="1"/>
    <col min="2814" max="2814" width="5.88671875" style="615" customWidth="1"/>
    <col min="2815" max="2815" width="6.6640625" style="615" customWidth="1"/>
    <col min="2816" max="2816" width="32.6640625" style="615"/>
    <col min="2817" max="2817" width="5.88671875" style="615" customWidth="1"/>
    <col min="2818" max="2818" width="6.6640625" style="615" customWidth="1"/>
    <col min="2819" max="2819" width="45.88671875" style="615" customWidth="1"/>
    <col min="2820" max="2820" width="12.109375" style="615" customWidth="1"/>
    <col min="2821" max="2821" width="16.6640625" style="615" customWidth="1"/>
    <col min="2822" max="2822" width="21.109375" style="615" customWidth="1"/>
    <col min="2823" max="3069" width="8.88671875" style="615" customWidth="1"/>
    <col min="3070" max="3070" width="5.88671875" style="615" customWidth="1"/>
    <col min="3071" max="3071" width="6.6640625" style="615" customWidth="1"/>
    <col min="3072" max="3072" width="32.6640625" style="615"/>
    <col min="3073" max="3073" width="5.88671875" style="615" customWidth="1"/>
    <col min="3074" max="3074" width="6.6640625" style="615" customWidth="1"/>
    <col min="3075" max="3075" width="45.88671875" style="615" customWidth="1"/>
    <col min="3076" max="3076" width="12.109375" style="615" customWidth="1"/>
    <col min="3077" max="3077" width="16.6640625" style="615" customWidth="1"/>
    <col min="3078" max="3078" width="21.109375" style="615" customWidth="1"/>
    <col min="3079" max="3325" width="8.88671875" style="615" customWidth="1"/>
    <col min="3326" max="3326" width="5.88671875" style="615" customWidth="1"/>
    <col min="3327" max="3327" width="6.6640625" style="615" customWidth="1"/>
    <col min="3328" max="3328" width="32.6640625" style="615"/>
    <col min="3329" max="3329" width="5.88671875" style="615" customWidth="1"/>
    <col min="3330" max="3330" width="6.6640625" style="615" customWidth="1"/>
    <col min="3331" max="3331" width="45.88671875" style="615" customWidth="1"/>
    <col min="3332" max="3332" width="12.109375" style="615" customWidth="1"/>
    <col min="3333" max="3333" width="16.6640625" style="615" customWidth="1"/>
    <col min="3334" max="3334" width="21.109375" style="615" customWidth="1"/>
    <col min="3335" max="3581" width="8.88671875" style="615" customWidth="1"/>
    <col min="3582" max="3582" width="5.88671875" style="615" customWidth="1"/>
    <col min="3583" max="3583" width="6.6640625" style="615" customWidth="1"/>
    <col min="3584" max="3584" width="32.6640625" style="615"/>
    <col min="3585" max="3585" width="5.88671875" style="615" customWidth="1"/>
    <col min="3586" max="3586" width="6.6640625" style="615" customWidth="1"/>
    <col min="3587" max="3587" width="45.88671875" style="615" customWidth="1"/>
    <col min="3588" max="3588" width="12.109375" style="615" customWidth="1"/>
    <col min="3589" max="3589" width="16.6640625" style="615" customWidth="1"/>
    <col min="3590" max="3590" width="21.109375" style="615" customWidth="1"/>
    <col min="3591" max="3837" width="8.88671875" style="615" customWidth="1"/>
    <col min="3838" max="3838" width="5.88671875" style="615" customWidth="1"/>
    <col min="3839" max="3839" width="6.6640625" style="615" customWidth="1"/>
    <col min="3840" max="3840" width="32.6640625" style="615"/>
    <col min="3841" max="3841" width="5.88671875" style="615" customWidth="1"/>
    <col min="3842" max="3842" width="6.6640625" style="615" customWidth="1"/>
    <col min="3843" max="3843" width="45.88671875" style="615" customWidth="1"/>
    <col min="3844" max="3844" width="12.109375" style="615" customWidth="1"/>
    <col min="3845" max="3845" width="16.6640625" style="615" customWidth="1"/>
    <col min="3846" max="3846" width="21.109375" style="615" customWidth="1"/>
    <col min="3847" max="4093" width="8.88671875" style="615" customWidth="1"/>
    <col min="4094" max="4094" width="5.88671875" style="615" customWidth="1"/>
    <col min="4095" max="4095" width="6.6640625" style="615" customWidth="1"/>
    <col min="4096" max="4096" width="32.6640625" style="615"/>
    <col min="4097" max="4097" width="5.88671875" style="615" customWidth="1"/>
    <col min="4098" max="4098" width="6.6640625" style="615" customWidth="1"/>
    <col min="4099" max="4099" width="45.88671875" style="615" customWidth="1"/>
    <col min="4100" max="4100" width="12.109375" style="615" customWidth="1"/>
    <col min="4101" max="4101" width="16.6640625" style="615" customWidth="1"/>
    <col min="4102" max="4102" width="21.109375" style="615" customWidth="1"/>
    <col min="4103" max="4349" width="8.88671875" style="615" customWidth="1"/>
    <col min="4350" max="4350" width="5.88671875" style="615" customWidth="1"/>
    <col min="4351" max="4351" width="6.6640625" style="615" customWidth="1"/>
    <col min="4352" max="4352" width="32.6640625" style="615"/>
    <col min="4353" max="4353" width="5.88671875" style="615" customWidth="1"/>
    <col min="4354" max="4354" width="6.6640625" style="615" customWidth="1"/>
    <col min="4355" max="4355" width="45.88671875" style="615" customWidth="1"/>
    <col min="4356" max="4356" width="12.109375" style="615" customWidth="1"/>
    <col min="4357" max="4357" width="16.6640625" style="615" customWidth="1"/>
    <col min="4358" max="4358" width="21.109375" style="615" customWidth="1"/>
    <col min="4359" max="4605" width="8.88671875" style="615" customWidth="1"/>
    <col min="4606" max="4606" width="5.88671875" style="615" customWidth="1"/>
    <col min="4607" max="4607" width="6.6640625" style="615" customWidth="1"/>
    <col min="4608" max="4608" width="32.6640625" style="615"/>
    <col min="4609" max="4609" width="5.88671875" style="615" customWidth="1"/>
    <col min="4610" max="4610" width="6.6640625" style="615" customWidth="1"/>
    <col min="4611" max="4611" width="45.88671875" style="615" customWidth="1"/>
    <col min="4612" max="4612" width="12.109375" style="615" customWidth="1"/>
    <col min="4613" max="4613" width="16.6640625" style="615" customWidth="1"/>
    <col min="4614" max="4614" width="21.109375" style="615" customWidth="1"/>
    <col min="4615" max="4861" width="8.88671875" style="615" customWidth="1"/>
    <col min="4862" max="4862" width="5.88671875" style="615" customWidth="1"/>
    <col min="4863" max="4863" width="6.6640625" style="615" customWidth="1"/>
    <col min="4864" max="4864" width="32.6640625" style="615"/>
    <col min="4865" max="4865" width="5.88671875" style="615" customWidth="1"/>
    <col min="4866" max="4866" width="6.6640625" style="615" customWidth="1"/>
    <col min="4867" max="4867" width="45.88671875" style="615" customWidth="1"/>
    <col min="4868" max="4868" width="12.109375" style="615" customWidth="1"/>
    <col min="4869" max="4869" width="16.6640625" style="615" customWidth="1"/>
    <col min="4870" max="4870" width="21.109375" style="615" customWidth="1"/>
    <col min="4871" max="5117" width="8.88671875" style="615" customWidth="1"/>
    <col min="5118" max="5118" width="5.88671875" style="615" customWidth="1"/>
    <col min="5119" max="5119" width="6.6640625" style="615" customWidth="1"/>
    <col min="5120" max="5120" width="32.6640625" style="615"/>
    <col min="5121" max="5121" width="5.88671875" style="615" customWidth="1"/>
    <col min="5122" max="5122" width="6.6640625" style="615" customWidth="1"/>
    <col min="5123" max="5123" width="45.88671875" style="615" customWidth="1"/>
    <col min="5124" max="5124" width="12.109375" style="615" customWidth="1"/>
    <col min="5125" max="5125" width="16.6640625" style="615" customWidth="1"/>
    <col min="5126" max="5126" width="21.109375" style="615" customWidth="1"/>
    <col min="5127" max="5373" width="8.88671875" style="615" customWidth="1"/>
    <col min="5374" max="5374" width="5.88671875" style="615" customWidth="1"/>
    <col min="5375" max="5375" width="6.6640625" style="615" customWidth="1"/>
    <col min="5376" max="5376" width="32.6640625" style="615"/>
    <col min="5377" max="5377" width="5.88671875" style="615" customWidth="1"/>
    <col min="5378" max="5378" width="6.6640625" style="615" customWidth="1"/>
    <col min="5379" max="5379" width="45.88671875" style="615" customWidth="1"/>
    <col min="5380" max="5380" width="12.109375" style="615" customWidth="1"/>
    <col min="5381" max="5381" width="16.6640625" style="615" customWidth="1"/>
    <col min="5382" max="5382" width="21.109375" style="615" customWidth="1"/>
    <col min="5383" max="5629" width="8.88671875" style="615" customWidth="1"/>
    <col min="5630" max="5630" width="5.88671875" style="615" customWidth="1"/>
    <col min="5631" max="5631" width="6.6640625" style="615" customWidth="1"/>
    <col min="5632" max="5632" width="32.6640625" style="615"/>
    <col min="5633" max="5633" width="5.88671875" style="615" customWidth="1"/>
    <col min="5634" max="5634" width="6.6640625" style="615" customWidth="1"/>
    <col min="5635" max="5635" width="45.88671875" style="615" customWidth="1"/>
    <col min="5636" max="5636" width="12.109375" style="615" customWidth="1"/>
    <col min="5637" max="5637" width="16.6640625" style="615" customWidth="1"/>
    <col min="5638" max="5638" width="21.109375" style="615" customWidth="1"/>
    <col min="5639" max="5885" width="8.88671875" style="615" customWidth="1"/>
    <col min="5886" max="5886" width="5.88671875" style="615" customWidth="1"/>
    <col min="5887" max="5887" width="6.6640625" style="615" customWidth="1"/>
    <col min="5888" max="5888" width="32.6640625" style="615"/>
    <col min="5889" max="5889" width="5.88671875" style="615" customWidth="1"/>
    <col min="5890" max="5890" width="6.6640625" style="615" customWidth="1"/>
    <col min="5891" max="5891" width="45.88671875" style="615" customWidth="1"/>
    <col min="5892" max="5892" width="12.109375" style="615" customWidth="1"/>
    <col min="5893" max="5893" width="16.6640625" style="615" customWidth="1"/>
    <col min="5894" max="5894" width="21.109375" style="615" customWidth="1"/>
    <col min="5895" max="6141" width="8.88671875" style="615" customWidth="1"/>
    <col min="6142" max="6142" width="5.88671875" style="615" customWidth="1"/>
    <col min="6143" max="6143" width="6.6640625" style="615" customWidth="1"/>
    <col min="6144" max="6144" width="32.6640625" style="615"/>
    <col min="6145" max="6145" width="5.88671875" style="615" customWidth="1"/>
    <col min="6146" max="6146" width="6.6640625" style="615" customWidth="1"/>
    <col min="6147" max="6147" width="45.88671875" style="615" customWidth="1"/>
    <col min="6148" max="6148" width="12.109375" style="615" customWidth="1"/>
    <col min="6149" max="6149" width="16.6640625" style="615" customWidth="1"/>
    <col min="6150" max="6150" width="21.109375" style="615" customWidth="1"/>
    <col min="6151" max="6397" width="8.88671875" style="615" customWidth="1"/>
    <col min="6398" max="6398" width="5.88671875" style="615" customWidth="1"/>
    <col min="6399" max="6399" width="6.6640625" style="615" customWidth="1"/>
    <col min="6400" max="6400" width="32.6640625" style="615"/>
    <col min="6401" max="6401" width="5.88671875" style="615" customWidth="1"/>
    <col min="6402" max="6402" width="6.6640625" style="615" customWidth="1"/>
    <col min="6403" max="6403" width="45.88671875" style="615" customWidth="1"/>
    <col min="6404" max="6404" width="12.109375" style="615" customWidth="1"/>
    <col min="6405" max="6405" width="16.6640625" style="615" customWidth="1"/>
    <col min="6406" max="6406" width="21.109375" style="615" customWidth="1"/>
    <col min="6407" max="6653" width="8.88671875" style="615" customWidth="1"/>
    <col min="6654" max="6654" width="5.88671875" style="615" customWidth="1"/>
    <col min="6655" max="6655" width="6.6640625" style="615" customWidth="1"/>
    <col min="6656" max="6656" width="32.6640625" style="615"/>
    <col min="6657" max="6657" width="5.88671875" style="615" customWidth="1"/>
    <col min="6658" max="6658" width="6.6640625" style="615" customWidth="1"/>
    <col min="6659" max="6659" width="45.88671875" style="615" customWidth="1"/>
    <col min="6660" max="6660" width="12.109375" style="615" customWidth="1"/>
    <col min="6661" max="6661" width="16.6640625" style="615" customWidth="1"/>
    <col min="6662" max="6662" width="21.109375" style="615" customWidth="1"/>
    <col min="6663" max="6909" width="8.88671875" style="615" customWidth="1"/>
    <col min="6910" max="6910" width="5.88671875" style="615" customWidth="1"/>
    <col min="6911" max="6911" width="6.6640625" style="615" customWidth="1"/>
    <col min="6912" max="6912" width="32.6640625" style="615"/>
    <col min="6913" max="6913" width="5.88671875" style="615" customWidth="1"/>
    <col min="6914" max="6914" width="6.6640625" style="615" customWidth="1"/>
    <col min="6915" max="6915" width="45.88671875" style="615" customWidth="1"/>
    <col min="6916" max="6916" width="12.109375" style="615" customWidth="1"/>
    <col min="6917" max="6917" width="16.6640625" style="615" customWidth="1"/>
    <col min="6918" max="6918" width="21.109375" style="615" customWidth="1"/>
    <col min="6919" max="7165" width="8.88671875" style="615" customWidth="1"/>
    <col min="7166" max="7166" width="5.88671875" style="615" customWidth="1"/>
    <col min="7167" max="7167" width="6.6640625" style="615" customWidth="1"/>
    <col min="7168" max="7168" width="32.6640625" style="615"/>
    <col min="7169" max="7169" width="5.88671875" style="615" customWidth="1"/>
    <col min="7170" max="7170" width="6.6640625" style="615" customWidth="1"/>
    <col min="7171" max="7171" width="45.88671875" style="615" customWidth="1"/>
    <col min="7172" max="7172" width="12.109375" style="615" customWidth="1"/>
    <col min="7173" max="7173" width="16.6640625" style="615" customWidth="1"/>
    <col min="7174" max="7174" width="21.109375" style="615" customWidth="1"/>
    <col min="7175" max="7421" width="8.88671875" style="615" customWidth="1"/>
    <col min="7422" max="7422" width="5.88671875" style="615" customWidth="1"/>
    <col min="7423" max="7423" width="6.6640625" style="615" customWidth="1"/>
    <col min="7424" max="7424" width="32.6640625" style="615"/>
    <col min="7425" max="7425" width="5.88671875" style="615" customWidth="1"/>
    <col min="7426" max="7426" width="6.6640625" style="615" customWidth="1"/>
    <col min="7427" max="7427" width="45.88671875" style="615" customWidth="1"/>
    <col min="7428" max="7428" width="12.109375" style="615" customWidth="1"/>
    <col min="7429" max="7429" width="16.6640625" style="615" customWidth="1"/>
    <col min="7430" max="7430" width="21.109375" style="615" customWidth="1"/>
    <col min="7431" max="7677" width="8.88671875" style="615" customWidth="1"/>
    <col min="7678" max="7678" width="5.88671875" style="615" customWidth="1"/>
    <col min="7679" max="7679" width="6.6640625" style="615" customWidth="1"/>
    <col min="7680" max="7680" width="32.6640625" style="615"/>
    <col min="7681" max="7681" width="5.88671875" style="615" customWidth="1"/>
    <col min="7682" max="7682" width="6.6640625" style="615" customWidth="1"/>
    <col min="7683" max="7683" width="45.88671875" style="615" customWidth="1"/>
    <col min="7684" max="7684" width="12.109375" style="615" customWidth="1"/>
    <col min="7685" max="7685" width="16.6640625" style="615" customWidth="1"/>
    <col min="7686" max="7686" width="21.109375" style="615" customWidth="1"/>
    <col min="7687" max="7933" width="8.88671875" style="615" customWidth="1"/>
    <col min="7934" max="7934" width="5.88671875" style="615" customWidth="1"/>
    <col min="7935" max="7935" width="6.6640625" style="615" customWidth="1"/>
    <col min="7936" max="7936" width="32.6640625" style="615"/>
    <col min="7937" max="7937" width="5.88671875" style="615" customWidth="1"/>
    <col min="7938" max="7938" width="6.6640625" style="615" customWidth="1"/>
    <col min="7939" max="7939" width="45.88671875" style="615" customWidth="1"/>
    <col min="7940" max="7940" width="12.109375" style="615" customWidth="1"/>
    <col min="7941" max="7941" width="16.6640625" style="615" customWidth="1"/>
    <col min="7942" max="7942" width="21.109375" style="615" customWidth="1"/>
    <col min="7943" max="8189" width="8.88671875" style="615" customWidth="1"/>
    <col min="8190" max="8190" width="5.88671875" style="615" customWidth="1"/>
    <col min="8191" max="8191" width="6.6640625" style="615" customWidth="1"/>
    <col min="8192" max="8192" width="32.6640625" style="615"/>
    <col min="8193" max="8193" width="5.88671875" style="615" customWidth="1"/>
    <col min="8194" max="8194" width="6.6640625" style="615" customWidth="1"/>
    <col min="8195" max="8195" width="45.88671875" style="615" customWidth="1"/>
    <col min="8196" max="8196" width="12.109375" style="615" customWidth="1"/>
    <col min="8197" max="8197" width="16.6640625" style="615" customWidth="1"/>
    <col min="8198" max="8198" width="21.109375" style="615" customWidth="1"/>
    <col min="8199" max="8445" width="8.88671875" style="615" customWidth="1"/>
    <col min="8446" max="8446" width="5.88671875" style="615" customWidth="1"/>
    <col min="8447" max="8447" width="6.6640625" style="615" customWidth="1"/>
    <col min="8448" max="8448" width="32.6640625" style="615"/>
    <col min="8449" max="8449" width="5.88671875" style="615" customWidth="1"/>
    <col min="8450" max="8450" width="6.6640625" style="615" customWidth="1"/>
    <col min="8451" max="8451" width="45.88671875" style="615" customWidth="1"/>
    <col min="8452" max="8452" width="12.109375" style="615" customWidth="1"/>
    <col min="8453" max="8453" width="16.6640625" style="615" customWidth="1"/>
    <col min="8454" max="8454" width="21.109375" style="615" customWidth="1"/>
    <col min="8455" max="8701" width="8.88671875" style="615" customWidth="1"/>
    <col min="8702" max="8702" width="5.88671875" style="615" customWidth="1"/>
    <col min="8703" max="8703" width="6.6640625" style="615" customWidth="1"/>
    <col min="8704" max="8704" width="32.6640625" style="615"/>
    <col min="8705" max="8705" width="5.88671875" style="615" customWidth="1"/>
    <col min="8706" max="8706" width="6.6640625" style="615" customWidth="1"/>
    <col min="8707" max="8707" width="45.88671875" style="615" customWidth="1"/>
    <col min="8708" max="8708" width="12.109375" style="615" customWidth="1"/>
    <col min="8709" max="8709" width="16.6640625" style="615" customWidth="1"/>
    <col min="8710" max="8710" width="21.109375" style="615" customWidth="1"/>
    <col min="8711" max="8957" width="8.88671875" style="615" customWidth="1"/>
    <col min="8958" max="8958" width="5.88671875" style="615" customWidth="1"/>
    <col min="8959" max="8959" width="6.6640625" style="615" customWidth="1"/>
    <col min="8960" max="8960" width="32.6640625" style="615"/>
    <col min="8961" max="8961" width="5.88671875" style="615" customWidth="1"/>
    <col min="8962" max="8962" width="6.6640625" style="615" customWidth="1"/>
    <col min="8963" max="8963" width="45.88671875" style="615" customWidth="1"/>
    <col min="8964" max="8964" width="12.109375" style="615" customWidth="1"/>
    <col min="8965" max="8965" width="16.6640625" style="615" customWidth="1"/>
    <col min="8966" max="8966" width="21.109375" style="615" customWidth="1"/>
    <col min="8967" max="9213" width="8.88671875" style="615" customWidth="1"/>
    <col min="9214" max="9214" width="5.88671875" style="615" customWidth="1"/>
    <col min="9215" max="9215" width="6.6640625" style="615" customWidth="1"/>
    <col min="9216" max="9216" width="32.6640625" style="615"/>
    <col min="9217" max="9217" width="5.88671875" style="615" customWidth="1"/>
    <col min="9218" max="9218" width="6.6640625" style="615" customWidth="1"/>
    <col min="9219" max="9219" width="45.88671875" style="615" customWidth="1"/>
    <col min="9220" max="9220" width="12.109375" style="615" customWidth="1"/>
    <col min="9221" max="9221" width="16.6640625" style="615" customWidth="1"/>
    <col min="9222" max="9222" width="21.109375" style="615" customWidth="1"/>
    <col min="9223" max="9469" width="8.88671875" style="615" customWidth="1"/>
    <col min="9470" max="9470" width="5.88671875" style="615" customWidth="1"/>
    <col min="9471" max="9471" width="6.6640625" style="615" customWidth="1"/>
    <col min="9472" max="9472" width="32.6640625" style="615"/>
    <col min="9473" max="9473" width="5.88671875" style="615" customWidth="1"/>
    <col min="9474" max="9474" width="6.6640625" style="615" customWidth="1"/>
    <col min="9475" max="9475" width="45.88671875" style="615" customWidth="1"/>
    <col min="9476" max="9476" width="12.109375" style="615" customWidth="1"/>
    <col min="9477" max="9477" width="16.6640625" style="615" customWidth="1"/>
    <col min="9478" max="9478" width="21.109375" style="615" customWidth="1"/>
    <col min="9479" max="9725" width="8.88671875" style="615" customWidth="1"/>
    <col min="9726" max="9726" width="5.88671875" style="615" customWidth="1"/>
    <col min="9727" max="9727" width="6.6640625" style="615" customWidth="1"/>
    <col min="9728" max="9728" width="32.6640625" style="615"/>
    <col min="9729" max="9729" width="5.88671875" style="615" customWidth="1"/>
    <col min="9730" max="9730" width="6.6640625" style="615" customWidth="1"/>
    <col min="9731" max="9731" width="45.88671875" style="615" customWidth="1"/>
    <col min="9732" max="9732" width="12.109375" style="615" customWidth="1"/>
    <col min="9733" max="9733" width="16.6640625" style="615" customWidth="1"/>
    <col min="9734" max="9734" width="21.109375" style="615" customWidth="1"/>
    <col min="9735" max="9981" width="8.88671875" style="615" customWidth="1"/>
    <col min="9982" max="9982" width="5.88671875" style="615" customWidth="1"/>
    <col min="9983" max="9983" width="6.6640625" style="615" customWidth="1"/>
    <col min="9984" max="9984" width="32.6640625" style="615"/>
    <col min="9985" max="9985" width="5.88671875" style="615" customWidth="1"/>
    <col min="9986" max="9986" width="6.6640625" style="615" customWidth="1"/>
    <col min="9987" max="9987" width="45.88671875" style="615" customWidth="1"/>
    <col min="9988" max="9988" width="12.109375" style="615" customWidth="1"/>
    <col min="9989" max="9989" width="16.6640625" style="615" customWidth="1"/>
    <col min="9990" max="9990" width="21.109375" style="615" customWidth="1"/>
    <col min="9991" max="10237" width="8.88671875" style="615" customWidth="1"/>
    <col min="10238" max="10238" width="5.88671875" style="615" customWidth="1"/>
    <col min="10239" max="10239" width="6.6640625" style="615" customWidth="1"/>
    <col min="10240" max="10240" width="32.6640625" style="615"/>
    <col min="10241" max="10241" width="5.88671875" style="615" customWidth="1"/>
    <col min="10242" max="10242" width="6.6640625" style="615" customWidth="1"/>
    <col min="10243" max="10243" width="45.88671875" style="615" customWidth="1"/>
    <col min="10244" max="10244" width="12.109375" style="615" customWidth="1"/>
    <col min="10245" max="10245" width="16.6640625" style="615" customWidth="1"/>
    <col min="10246" max="10246" width="21.109375" style="615" customWidth="1"/>
    <col min="10247" max="10493" width="8.88671875" style="615" customWidth="1"/>
    <col min="10494" max="10494" width="5.88671875" style="615" customWidth="1"/>
    <col min="10495" max="10495" width="6.6640625" style="615" customWidth="1"/>
    <col min="10496" max="10496" width="32.6640625" style="615"/>
    <col min="10497" max="10497" width="5.88671875" style="615" customWidth="1"/>
    <col min="10498" max="10498" width="6.6640625" style="615" customWidth="1"/>
    <col min="10499" max="10499" width="45.88671875" style="615" customWidth="1"/>
    <col min="10500" max="10500" width="12.109375" style="615" customWidth="1"/>
    <col min="10501" max="10501" width="16.6640625" style="615" customWidth="1"/>
    <col min="10502" max="10502" width="21.109375" style="615" customWidth="1"/>
    <col min="10503" max="10749" width="8.88671875" style="615" customWidth="1"/>
    <col min="10750" max="10750" width="5.88671875" style="615" customWidth="1"/>
    <col min="10751" max="10751" width="6.6640625" style="615" customWidth="1"/>
    <col min="10752" max="10752" width="32.6640625" style="615"/>
    <col min="10753" max="10753" width="5.88671875" style="615" customWidth="1"/>
    <col min="10754" max="10754" width="6.6640625" style="615" customWidth="1"/>
    <col min="10755" max="10755" width="45.88671875" style="615" customWidth="1"/>
    <col min="10756" max="10756" width="12.109375" style="615" customWidth="1"/>
    <col min="10757" max="10757" width="16.6640625" style="615" customWidth="1"/>
    <col min="10758" max="10758" width="21.109375" style="615" customWidth="1"/>
    <col min="10759" max="11005" width="8.88671875" style="615" customWidth="1"/>
    <col min="11006" max="11006" width="5.88671875" style="615" customWidth="1"/>
    <col min="11007" max="11007" width="6.6640625" style="615" customWidth="1"/>
    <col min="11008" max="11008" width="32.6640625" style="615"/>
    <col min="11009" max="11009" width="5.88671875" style="615" customWidth="1"/>
    <col min="11010" max="11010" width="6.6640625" style="615" customWidth="1"/>
    <col min="11011" max="11011" width="45.88671875" style="615" customWidth="1"/>
    <col min="11012" max="11012" width="12.109375" style="615" customWidth="1"/>
    <col min="11013" max="11013" width="16.6640625" style="615" customWidth="1"/>
    <col min="11014" max="11014" width="21.109375" style="615" customWidth="1"/>
    <col min="11015" max="11261" width="8.88671875" style="615" customWidth="1"/>
    <col min="11262" max="11262" width="5.88671875" style="615" customWidth="1"/>
    <col min="11263" max="11263" width="6.6640625" style="615" customWidth="1"/>
    <col min="11264" max="11264" width="32.6640625" style="615"/>
    <col min="11265" max="11265" width="5.88671875" style="615" customWidth="1"/>
    <col min="11266" max="11266" width="6.6640625" style="615" customWidth="1"/>
    <col min="11267" max="11267" width="45.88671875" style="615" customWidth="1"/>
    <col min="11268" max="11268" width="12.109375" style="615" customWidth="1"/>
    <col min="11269" max="11269" width="16.6640625" style="615" customWidth="1"/>
    <col min="11270" max="11270" width="21.109375" style="615" customWidth="1"/>
    <col min="11271" max="11517" width="8.88671875" style="615" customWidth="1"/>
    <col min="11518" max="11518" width="5.88671875" style="615" customWidth="1"/>
    <col min="11519" max="11519" width="6.6640625" style="615" customWidth="1"/>
    <col min="11520" max="11520" width="32.6640625" style="615"/>
    <col min="11521" max="11521" width="5.88671875" style="615" customWidth="1"/>
    <col min="11522" max="11522" width="6.6640625" style="615" customWidth="1"/>
    <col min="11523" max="11523" width="45.88671875" style="615" customWidth="1"/>
    <col min="11524" max="11524" width="12.109375" style="615" customWidth="1"/>
    <col min="11525" max="11525" width="16.6640625" style="615" customWidth="1"/>
    <col min="11526" max="11526" width="21.109375" style="615" customWidth="1"/>
    <col min="11527" max="11773" width="8.88671875" style="615" customWidth="1"/>
    <col min="11774" max="11774" width="5.88671875" style="615" customWidth="1"/>
    <col min="11775" max="11775" width="6.6640625" style="615" customWidth="1"/>
    <col min="11776" max="11776" width="32.6640625" style="615"/>
    <col min="11777" max="11777" width="5.88671875" style="615" customWidth="1"/>
    <col min="11778" max="11778" width="6.6640625" style="615" customWidth="1"/>
    <col min="11779" max="11779" width="45.88671875" style="615" customWidth="1"/>
    <col min="11780" max="11780" width="12.109375" style="615" customWidth="1"/>
    <col min="11781" max="11781" width="16.6640625" style="615" customWidth="1"/>
    <col min="11782" max="11782" width="21.109375" style="615" customWidth="1"/>
    <col min="11783" max="12029" width="8.88671875" style="615" customWidth="1"/>
    <col min="12030" max="12030" width="5.88671875" style="615" customWidth="1"/>
    <col min="12031" max="12031" width="6.6640625" style="615" customWidth="1"/>
    <col min="12032" max="12032" width="32.6640625" style="615"/>
    <col min="12033" max="12033" width="5.88671875" style="615" customWidth="1"/>
    <col min="12034" max="12034" width="6.6640625" style="615" customWidth="1"/>
    <col min="12035" max="12035" width="45.88671875" style="615" customWidth="1"/>
    <col min="12036" max="12036" width="12.109375" style="615" customWidth="1"/>
    <col min="12037" max="12037" width="16.6640625" style="615" customWidth="1"/>
    <col min="12038" max="12038" width="21.109375" style="615" customWidth="1"/>
    <col min="12039" max="12285" width="8.88671875" style="615" customWidth="1"/>
    <col min="12286" max="12286" width="5.88671875" style="615" customWidth="1"/>
    <col min="12287" max="12287" width="6.6640625" style="615" customWidth="1"/>
    <col min="12288" max="12288" width="32.6640625" style="615"/>
    <col min="12289" max="12289" width="5.88671875" style="615" customWidth="1"/>
    <col min="12290" max="12290" width="6.6640625" style="615" customWidth="1"/>
    <col min="12291" max="12291" width="45.88671875" style="615" customWidth="1"/>
    <col min="12292" max="12292" width="12.109375" style="615" customWidth="1"/>
    <col min="12293" max="12293" width="16.6640625" style="615" customWidth="1"/>
    <col min="12294" max="12294" width="21.109375" style="615" customWidth="1"/>
    <col min="12295" max="12541" width="8.88671875" style="615" customWidth="1"/>
    <col min="12542" max="12542" width="5.88671875" style="615" customWidth="1"/>
    <col min="12543" max="12543" width="6.6640625" style="615" customWidth="1"/>
    <col min="12544" max="12544" width="32.6640625" style="615"/>
    <col min="12545" max="12545" width="5.88671875" style="615" customWidth="1"/>
    <col min="12546" max="12546" width="6.6640625" style="615" customWidth="1"/>
    <col min="12547" max="12547" width="45.88671875" style="615" customWidth="1"/>
    <col min="12548" max="12548" width="12.109375" style="615" customWidth="1"/>
    <col min="12549" max="12549" width="16.6640625" style="615" customWidth="1"/>
    <col min="12550" max="12550" width="21.109375" style="615" customWidth="1"/>
    <col min="12551" max="12797" width="8.88671875" style="615" customWidth="1"/>
    <col min="12798" max="12798" width="5.88671875" style="615" customWidth="1"/>
    <col min="12799" max="12799" width="6.6640625" style="615" customWidth="1"/>
    <col min="12800" max="12800" width="32.6640625" style="615"/>
    <col min="12801" max="12801" width="5.88671875" style="615" customWidth="1"/>
    <col min="12802" max="12802" width="6.6640625" style="615" customWidth="1"/>
    <col min="12803" max="12803" width="45.88671875" style="615" customWidth="1"/>
    <col min="12804" max="12804" width="12.109375" style="615" customWidth="1"/>
    <col min="12805" max="12805" width="16.6640625" style="615" customWidth="1"/>
    <col min="12806" max="12806" width="21.109375" style="615" customWidth="1"/>
    <col min="12807" max="13053" width="8.88671875" style="615" customWidth="1"/>
    <col min="13054" max="13054" width="5.88671875" style="615" customWidth="1"/>
    <col min="13055" max="13055" width="6.6640625" style="615" customWidth="1"/>
    <col min="13056" max="13056" width="32.6640625" style="615"/>
    <col min="13057" max="13057" width="5.88671875" style="615" customWidth="1"/>
    <col min="13058" max="13058" width="6.6640625" style="615" customWidth="1"/>
    <col min="13059" max="13059" width="45.88671875" style="615" customWidth="1"/>
    <col min="13060" max="13060" width="12.109375" style="615" customWidth="1"/>
    <col min="13061" max="13061" width="16.6640625" style="615" customWidth="1"/>
    <col min="13062" max="13062" width="21.109375" style="615" customWidth="1"/>
    <col min="13063" max="13309" width="8.88671875" style="615" customWidth="1"/>
    <col min="13310" max="13310" width="5.88671875" style="615" customWidth="1"/>
    <col min="13311" max="13311" width="6.6640625" style="615" customWidth="1"/>
    <col min="13312" max="13312" width="32.6640625" style="615"/>
    <col min="13313" max="13313" width="5.88671875" style="615" customWidth="1"/>
    <col min="13314" max="13314" width="6.6640625" style="615" customWidth="1"/>
    <col min="13315" max="13315" width="45.88671875" style="615" customWidth="1"/>
    <col min="13316" max="13316" width="12.109375" style="615" customWidth="1"/>
    <col min="13317" max="13317" width="16.6640625" style="615" customWidth="1"/>
    <col min="13318" max="13318" width="21.109375" style="615" customWidth="1"/>
    <col min="13319" max="13565" width="8.88671875" style="615" customWidth="1"/>
    <col min="13566" max="13566" width="5.88671875" style="615" customWidth="1"/>
    <col min="13567" max="13567" width="6.6640625" style="615" customWidth="1"/>
    <col min="13568" max="13568" width="32.6640625" style="615"/>
    <col min="13569" max="13569" width="5.88671875" style="615" customWidth="1"/>
    <col min="13570" max="13570" width="6.6640625" style="615" customWidth="1"/>
    <col min="13571" max="13571" width="45.88671875" style="615" customWidth="1"/>
    <col min="13572" max="13572" width="12.109375" style="615" customWidth="1"/>
    <col min="13573" max="13573" width="16.6640625" style="615" customWidth="1"/>
    <col min="13574" max="13574" width="21.109375" style="615" customWidth="1"/>
    <col min="13575" max="13821" width="8.88671875" style="615" customWidth="1"/>
    <col min="13822" max="13822" width="5.88671875" style="615" customWidth="1"/>
    <col min="13823" max="13823" width="6.6640625" style="615" customWidth="1"/>
    <col min="13824" max="13824" width="32.6640625" style="615"/>
    <col min="13825" max="13825" width="5.88671875" style="615" customWidth="1"/>
    <col min="13826" max="13826" width="6.6640625" style="615" customWidth="1"/>
    <col min="13827" max="13827" width="45.88671875" style="615" customWidth="1"/>
    <col min="13828" max="13828" width="12.109375" style="615" customWidth="1"/>
    <col min="13829" max="13829" width="16.6640625" style="615" customWidth="1"/>
    <col min="13830" max="13830" width="21.109375" style="615" customWidth="1"/>
    <col min="13831" max="14077" width="8.88671875" style="615" customWidth="1"/>
    <col min="14078" max="14078" width="5.88671875" style="615" customWidth="1"/>
    <col min="14079" max="14079" width="6.6640625" style="615" customWidth="1"/>
    <col min="14080" max="14080" width="32.6640625" style="615"/>
    <col min="14081" max="14081" width="5.88671875" style="615" customWidth="1"/>
    <col min="14082" max="14082" width="6.6640625" style="615" customWidth="1"/>
    <col min="14083" max="14083" width="45.88671875" style="615" customWidth="1"/>
    <col min="14084" max="14084" width="12.109375" style="615" customWidth="1"/>
    <col min="14085" max="14085" width="16.6640625" style="615" customWidth="1"/>
    <col min="14086" max="14086" width="21.109375" style="615" customWidth="1"/>
    <col min="14087" max="14333" width="8.88671875" style="615" customWidth="1"/>
    <col min="14334" max="14334" width="5.88671875" style="615" customWidth="1"/>
    <col min="14335" max="14335" width="6.6640625" style="615" customWidth="1"/>
    <col min="14336" max="14336" width="32.6640625" style="615"/>
    <col min="14337" max="14337" width="5.88671875" style="615" customWidth="1"/>
    <col min="14338" max="14338" width="6.6640625" style="615" customWidth="1"/>
    <col min="14339" max="14339" width="45.88671875" style="615" customWidth="1"/>
    <col min="14340" max="14340" width="12.109375" style="615" customWidth="1"/>
    <col min="14341" max="14341" width="16.6640625" style="615" customWidth="1"/>
    <col min="14342" max="14342" width="21.109375" style="615" customWidth="1"/>
    <col min="14343" max="14589" width="8.88671875" style="615" customWidth="1"/>
    <col min="14590" max="14590" width="5.88671875" style="615" customWidth="1"/>
    <col min="14591" max="14591" width="6.6640625" style="615" customWidth="1"/>
    <col min="14592" max="14592" width="32.6640625" style="615"/>
    <col min="14593" max="14593" width="5.88671875" style="615" customWidth="1"/>
    <col min="14594" max="14594" width="6.6640625" style="615" customWidth="1"/>
    <col min="14595" max="14595" width="45.88671875" style="615" customWidth="1"/>
    <col min="14596" max="14596" width="12.109375" style="615" customWidth="1"/>
    <col min="14597" max="14597" width="16.6640625" style="615" customWidth="1"/>
    <col min="14598" max="14598" width="21.109375" style="615" customWidth="1"/>
    <col min="14599" max="14845" width="8.88671875" style="615" customWidth="1"/>
    <col min="14846" max="14846" width="5.88671875" style="615" customWidth="1"/>
    <col min="14847" max="14847" width="6.6640625" style="615" customWidth="1"/>
    <col min="14848" max="14848" width="32.6640625" style="615"/>
    <col min="14849" max="14849" width="5.88671875" style="615" customWidth="1"/>
    <col min="14850" max="14850" width="6.6640625" style="615" customWidth="1"/>
    <col min="14851" max="14851" width="45.88671875" style="615" customWidth="1"/>
    <col min="14852" max="14852" width="12.109375" style="615" customWidth="1"/>
    <col min="14853" max="14853" width="16.6640625" style="615" customWidth="1"/>
    <col min="14854" max="14854" width="21.109375" style="615" customWidth="1"/>
    <col min="14855" max="15101" width="8.88671875" style="615" customWidth="1"/>
    <col min="15102" max="15102" width="5.88671875" style="615" customWidth="1"/>
    <col min="15103" max="15103" width="6.6640625" style="615" customWidth="1"/>
    <col min="15104" max="15104" width="32.6640625" style="615"/>
    <col min="15105" max="15105" width="5.88671875" style="615" customWidth="1"/>
    <col min="15106" max="15106" width="6.6640625" style="615" customWidth="1"/>
    <col min="15107" max="15107" width="45.88671875" style="615" customWidth="1"/>
    <col min="15108" max="15108" width="12.109375" style="615" customWidth="1"/>
    <col min="15109" max="15109" width="16.6640625" style="615" customWidth="1"/>
    <col min="15110" max="15110" width="21.109375" style="615" customWidth="1"/>
    <col min="15111" max="15357" width="8.88671875" style="615" customWidth="1"/>
    <col min="15358" max="15358" width="5.88671875" style="615" customWidth="1"/>
    <col min="15359" max="15359" width="6.6640625" style="615" customWidth="1"/>
    <col min="15360" max="15360" width="32.6640625" style="615"/>
    <col min="15361" max="15361" width="5.88671875" style="615" customWidth="1"/>
    <col min="15362" max="15362" width="6.6640625" style="615" customWidth="1"/>
    <col min="15363" max="15363" width="45.88671875" style="615" customWidth="1"/>
    <col min="15364" max="15364" width="12.109375" style="615" customWidth="1"/>
    <col min="15365" max="15365" width="16.6640625" style="615" customWidth="1"/>
    <col min="15366" max="15366" width="21.109375" style="615" customWidth="1"/>
    <col min="15367" max="15613" width="8.88671875" style="615" customWidth="1"/>
    <col min="15614" max="15614" width="5.88671875" style="615" customWidth="1"/>
    <col min="15615" max="15615" width="6.6640625" style="615" customWidth="1"/>
    <col min="15616" max="15616" width="32.6640625" style="615"/>
    <col min="15617" max="15617" width="5.88671875" style="615" customWidth="1"/>
    <col min="15618" max="15618" width="6.6640625" style="615" customWidth="1"/>
    <col min="15619" max="15619" width="45.88671875" style="615" customWidth="1"/>
    <col min="15620" max="15620" width="12.109375" style="615" customWidth="1"/>
    <col min="15621" max="15621" width="16.6640625" style="615" customWidth="1"/>
    <col min="15622" max="15622" width="21.109375" style="615" customWidth="1"/>
    <col min="15623" max="15869" width="8.88671875" style="615" customWidth="1"/>
    <col min="15870" max="15870" width="5.88671875" style="615" customWidth="1"/>
    <col min="15871" max="15871" width="6.6640625" style="615" customWidth="1"/>
    <col min="15872" max="15872" width="32.6640625" style="615"/>
    <col min="15873" max="15873" width="5.88671875" style="615" customWidth="1"/>
    <col min="15874" max="15874" width="6.6640625" style="615" customWidth="1"/>
    <col min="15875" max="15875" width="45.88671875" style="615" customWidth="1"/>
    <col min="15876" max="15876" width="12.109375" style="615" customWidth="1"/>
    <col min="15877" max="15877" width="16.6640625" style="615" customWidth="1"/>
    <col min="15878" max="15878" width="21.109375" style="615" customWidth="1"/>
    <col min="15879" max="16125" width="8.88671875" style="615" customWidth="1"/>
    <col min="16126" max="16126" width="5.88671875" style="615" customWidth="1"/>
    <col min="16127" max="16127" width="6.6640625" style="615" customWidth="1"/>
    <col min="16128" max="16128" width="32.6640625" style="615"/>
    <col min="16129" max="16129" width="5.88671875" style="615" customWidth="1"/>
    <col min="16130" max="16130" width="6.6640625" style="615" customWidth="1"/>
    <col min="16131" max="16131" width="45.88671875" style="615" customWidth="1"/>
    <col min="16132" max="16132" width="12.109375" style="615" customWidth="1"/>
    <col min="16133" max="16133" width="16.6640625" style="615" customWidth="1"/>
    <col min="16134" max="16134" width="21.109375" style="615" customWidth="1"/>
    <col min="16135" max="16381" width="8.88671875" style="615" customWidth="1"/>
    <col min="16382" max="16382" width="5.88671875" style="615" customWidth="1"/>
    <col min="16383" max="16384" width="6.6640625" style="615" customWidth="1"/>
  </cols>
  <sheetData>
    <row r="1" spans="1:8" ht="15.75" x14ac:dyDescent="0.2">
      <c r="G1" s="879" t="s">
        <v>250</v>
      </c>
    </row>
    <row r="2" spans="1:8" x14ac:dyDescent="0.2">
      <c r="A2" s="189"/>
      <c r="B2" s="189"/>
      <c r="C2" s="189"/>
      <c r="D2" s="189"/>
      <c r="E2" s="189"/>
      <c r="G2" s="914" t="s">
        <v>770</v>
      </c>
    </row>
    <row r="3" spans="1:8" x14ac:dyDescent="0.2">
      <c r="A3" s="189"/>
      <c r="B3" s="189"/>
      <c r="C3" s="189"/>
      <c r="D3" s="189"/>
      <c r="E3" s="189"/>
      <c r="G3" s="914" t="s">
        <v>768</v>
      </c>
    </row>
    <row r="4" spans="1:8" ht="18" customHeight="1" x14ac:dyDescent="0.2">
      <c r="A4" s="1068" t="s">
        <v>253</v>
      </c>
      <c r="B4" s="1068"/>
      <c r="C4" s="1068"/>
      <c r="D4" s="1068"/>
      <c r="E4" s="1068"/>
      <c r="F4" s="1068"/>
      <c r="G4" s="1068"/>
    </row>
    <row r="5" spans="1:8" ht="18" customHeight="1" x14ac:dyDescent="0.2">
      <c r="A5" s="1068" t="s">
        <v>740</v>
      </c>
      <c r="B5" s="1068"/>
      <c r="C5" s="1068"/>
      <c r="D5" s="1068"/>
      <c r="E5" s="1068"/>
      <c r="F5" s="1068"/>
      <c r="G5" s="1068"/>
    </row>
    <row r="6" spans="1:8" ht="18" customHeight="1" x14ac:dyDescent="0.2">
      <c r="A6" s="1068" t="s">
        <v>741</v>
      </c>
      <c r="B6" s="1068"/>
      <c r="C6" s="1068"/>
      <c r="D6" s="1068"/>
      <c r="E6" s="1068"/>
      <c r="F6" s="1068"/>
      <c r="G6" s="1068"/>
      <c r="H6" s="112"/>
    </row>
    <row r="7" spans="1:8" ht="18" customHeight="1" x14ac:dyDescent="0.2">
      <c r="A7" s="1068" t="s">
        <v>767</v>
      </c>
      <c r="B7" s="1068"/>
      <c r="C7" s="1068"/>
      <c r="D7" s="1068"/>
      <c r="E7" s="1068"/>
      <c r="F7" s="1068"/>
      <c r="G7" s="1068"/>
      <c r="H7" s="112"/>
    </row>
    <row r="8" spans="1:8" ht="18" customHeight="1" x14ac:dyDescent="0.2">
      <c r="A8" s="1068" t="s">
        <v>755</v>
      </c>
      <c r="B8" s="1068"/>
      <c r="C8" s="1068"/>
      <c r="D8" s="1068"/>
      <c r="E8" s="1068"/>
      <c r="F8" s="1068"/>
      <c r="G8" s="1068"/>
    </row>
    <row r="9" spans="1:8" ht="18" customHeight="1" x14ac:dyDescent="0.2">
      <c r="A9" s="1068" t="s">
        <v>756</v>
      </c>
      <c r="B9" s="1068"/>
      <c r="C9" s="1068"/>
      <c r="D9" s="1068"/>
      <c r="E9" s="1068"/>
      <c r="F9" s="1068"/>
      <c r="G9" s="1068"/>
    </row>
    <row r="10" spans="1:8" ht="16.5" thickBot="1" x14ac:dyDescent="0.25">
      <c r="A10" s="880"/>
      <c r="B10" s="881"/>
      <c r="C10" s="189"/>
      <c r="D10" s="189"/>
      <c r="E10" s="189"/>
      <c r="G10" s="882" t="s">
        <v>743</v>
      </c>
    </row>
    <row r="11" spans="1:8" ht="15.75" customHeight="1" x14ac:dyDescent="0.2">
      <c r="A11" s="1069" t="s">
        <v>260</v>
      </c>
      <c r="B11" s="1071" t="s">
        <v>261</v>
      </c>
      <c r="C11" s="1073" t="s">
        <v>757</v>
      </c>
      <c r="D11" s="1065" t="s">
        <v>761</v>
      </c>
      <c r="E11" s="1066"/>
      <c r="F11" s="1066"/>
      <c r="G11" s="1067"/>
    </row>
    <row r="12" spans="1:8" ht="31.5" customHeight="1" thickBot="1" x14ac:dyDescent="0.25">
      <c r="A12" s="1070"/>
      <c r="B12" s="1072"/>
      <c r="C12" s="1074"/>
      <c r="D12" s="915" t="s">
        <v>764</v>
      </c>
      <c r="E12" s="916" t="s">
        <v>766</v>
      </c>
      <c r="F12" s="915" t="s">
        <v>765</v>
      </c>
      <c r="G12" s="917" t="s">
        <v>769</v>
      </c>
    </row>
    <row r="13" spans="1:8" x14ac:dyDescent="0.2">
      <c r="A13" s="893">
        <v>1</v>
      </c>
      <c r="B13" s="883" t="s">
        <v>744</v>
      </c>
      <c r="C13" s="884">
        <v>0.54383660603251038</v>
      </c>
      <c r="D13" s="905">
        <v>1.0620000000000001</v>
      </c>
      <c r="E13" s="884"/>
      <c r="F13" s="918">
        <v>1.0620000000000001</v>
      </c>
      <c r="G13" s="930">
        <v>1.0620000000000001</v>
      </c>
    </row>
    <row r="14" spans="1:8" ht="30" x14ac:dyDescent="0.2">
      <c r="A14" s="893">
        <v>2</v>
      </c>
      <c r="B14" s="883" t="s">
        <v>263</v>
      </c>
      <c r="C14" s="884">
        <v>8.9513871197364416</v>
      </c>
      <c r="D14" s="905">
        <v>10.572800000000001</v>
      </c>
      <c r="E14" s="884"/>
      <c r="F14" s="918">
        <v>10.572800000000001</v>
      </c>
      <c r="G14" s="930">
        <v>10.266</v>
      </c>
    </row>
    <row r="15" spans="1:8" ht="30" x14ac:dyDescent="0.2">
      <c r="A15" s="893">
        <v>3</v>
      </c>
      <c r="B15" s="883" t="s">
        <v>745</v>
      </c>
      <c r="C15" s="884">
        <v>7.1688401839999999E-2</v>
      </c>
      <c r="D15" s="905">
        <v>0.1062</v>
      </c>
      <c r="E15" s="884"/>
      <c r="F15" s="918">
        <v>0.1062</v>
      </c>
      <c r="G15" s="931">
        <v>9.7467999999999999E-2</v>
      </c>
    </row>
    <row r="16" spans="1:8" x14ac:dyDescent="0.2">
      <c r="A16" s="893">
        <v>4</v>
      </c>
      <c r="B16" s="883" t="s">
        <v>265</v>
      </c>
      <c r="C16" s="884">
        <v>0</v>
      </c>
      <c r="D16" s="905"/>
      <c r="E16" s="884"/>
      <c r="F16" s="918"/>
      <c r="G16" s="930"/>
    </row>
    <row r="17" spans="1:7" ht="30" x14ac:dyDescent="0.2">
      <c r="A17" s="893">
        <v>5</v>
      </c>
      <c r="B17" s="883" t="s">
        <v>266</v>
      </c>
      <c r="C17" s="884">
        <v>0.93712982957308499</v>
      </c>
      <c r="D17" s="905">
        <v>0.96760000000000002</v>
      </c>
      <c r="E17" s="884"/>
      <c r="F17" s="918">
        <v>0.49790099999999998</v>
      </c>
      <c r="G17" s="930">
        <v>0.13098000000000001</v>
      </c>
    </row>
    <row r="18" spans="1:7" ht="30" x14ac:dyDescent="0.2">
      <c r="A18" s="893">
        <v>6</v>
      </c>
      <c r="B18" s="883" t="s">
        <v>746</v>
      </c>
      <c r="C18" s="884">
        <v>2.1042605595221364E-2</v>
      </c>
      <c r="D18" s="905">
        <v>0.4602</v>
      </c>
      <c r="E18" s="884"/>
      <c r="F18" s="918">
        <v>0.2596</v>
      </c>
      <c r="G18" s="931">
        <v>2.1711999999999999E-2</v>
      </c>
    </row>
    <row r="19" spans="1:7" ht="45" x14ac:dyDescent="0.2">
      <c r="A19" s="893">
        <v>7</v>
      </c>
      <c r="B19" s="883" t="s">
        <v>747</v>
      </c>
      <c r="C19" s="884">
        <v>1.063635410698095</v>
      </c>
      <c r="D19" s="905">
        <v>1.0855999999999999</v>
      </c>
      <c r="E19" s="884"/>
      <c r="F19" s="918">
        <v>1.0855999999999999</v>
      </c>
      <c r="G19" s="930">
        <v>0.99877559999999999</v>
      </c>
    </row>
    <row r="20" spans="1:7" ht="30" x14ac:dyDescent="0.2">
      <c r="A20" s="893">
        <v>8</v>
      </c>
      <c r="B20" s="883" t="s">
        <v>748</v>
      </c>
      <c r="C20" s="884">
        <v>1.3285373552000001E-2</v>
      </c>
      <c r="D20" s="905">
        <v>0.2006</v>
      </c>
      <c r="E20" s="884"/>
      <c r="F20" s="918">
        <v>0.16225000000000001</v>
      </c>
      <c r="G20" s="930">
        <v>0.15340000000000001</v>
      </c>
    </row>
    <row r="21" spans="1:7" ht="30" x14ac:dyDescent="0.2">
      <c r="A21" s="893">
        <v>9</v>
      </c>
      <c r="B21" s="883" t="s">
        <v>771</v>
      </c>
      <c r="C21" s="884">
        <v>0</v>
      </c>
      <c r="D21" s="905"/>
      <c r="E21" s="884"/>
      <c r="F21" s="918"/>
      <c r="G21" s="930"/>
    </row>
    <row r="22" spans="1:7" ht="45" x14ac:dyDescent="0.2">
      <c r="A22" s="893">
        <v>10</v>
      </c>
      <c r="B22" s="883" t="s">
        <v>749</v>
      </c>
      <c r="C22" s="884">
        <v>0</v>
      </c>
      <c r="D22" s="905"/>
      <c r="E22" s="884"/>
      <c r="F22" s="918"/>
      <c r="G22" s="930"/>
    </row>
    <row r="23" spans="1:7" ht="45" x14ac:dyDescent="0.2">
      <c r="A23" s="893">
        <v>11</v>
      </c>
      <c r="B23" s="883" t="s">
        <v>750</v>
      </c>
      <c r="C23" s="884">
        <v>0</v>
      </c>
      <c r="D23" s="905"/>
      <c r="E23" s="884"/>
      <c r="F23" s="918"/>
      <c r="G23" s="930"/>
    </row>
    <row r="24" spans="1:7" ht="30" x14ac:dyDescent="0.2">
      <c r="A24" s="893">
        <v>12</v>
      </c>
      <c r="B24" s="883" t="s">
        <v>751</v>
      </c>
      <c r="C24" s="884" t="s">
        <v>273</v>
      </c>
      <c r="D24" s="905">
        <v>2.3599999999999999E-2</v>
      </c>
      <c r="E24" s="884"/>
      <c r="F24" s="918">
        <v>2.3599999999999999E-2</v>
      </c>
      <c r="G24" s="930">
        <v>2.3599999999999999E-2</v>
      </c>
    </row>
    <row r="25" spans="1:7" ht="15.75" thickBot="1" x14ac:dyDescent="0.25">
      <c r="A25" s="923">
        <v>13</v>
      </c>
      <c r="B25" s="924" t="s">
        <v>752</v>
      </c>
      <c r="C25" s="925">
        <v>0</v>
      </c>
      <c r="D25" s="926"/>
      <c r="E25" s="925"/>
      <c r="F25" s="927"/>
      <c r="G25" s="932"/>
    </row>
    <row r="26" spans="1:7" x14ac:dyDescent="0.2">
      <c r="A26" s="902">
        <v>14</v>
      </c>
      <c r="B26" s="903" t="s">
        <v>753</v>
      </c>
      <c r="C26" s="904">
        <v>11.602005347027353</v>
      </c>
      <c r="D26" s="906">
        <v>14.4786</v>
      </c>
      <c r="E26" s="904"/>
      <c r="F26" s="919">
        <v>13.769951000000001</v>
      </c>
      <c r="G26" s="933">
        <v>12.753935599999998</v>
      </c>
    </row>
    <row r="27" spans="1:7" x14ac:dyDescent="0.2">
      <c r="A27" s="894">
        <v>15</v>
      </c>
      <c r="B27" s="887" t="s">
        <v>754</v>
      </c>
      <c r="C27" s="885">
        <v>1.7536254354976473</v>
      </c>
      <c r="D27" s="886">
        <v>2.107800000000001</v>
      </c>
      <c r="E27" s="885"/>
      <c r="F27" s="920">
        <v>2.0199509999999998</v>
      </c>
      <c r="G27" s="934">
        <v>1.9039356000000001</v>
      </c>
    </row>
    <row r="28" spans="1:7" ht="15.75" x14ac:dyDescent="0.2">
      <c r="A28" s="894">
        <v>16</v>
      </c>
      <c r="B28" s="888" t="s">
        <v>758</v>
      </c>
      <c r="C28" s="889">
        <v>9.8483799115297046</v>
      </c>
      <c r="D28" s="890">
        <v>12.370799999999999</v>
      </c>
      <c r="E28" s="889"/>
      <c r="F28" s="921">
        <v>11.75</v>
      </c>
      <c r="G28" s="934">
        <v>10.849999999999998</v>
      </c>
    </row>
    <row r="29" spans="1:7" ht="15.75" x14ac:dyDescent="0.2">
      <c r="A29" s="894">
        <v>17</v>
      </c>
      <c r="B29" s="887" t="s">
        <v>759</v>
      </c>
      <c r="C29" s="891"/>
      <c r="D29" s="907"/>
      <c r="E29" s="891"/>
      <c r="F29" s="922">
        <v>0.19308963561042458</v>
      </c>
      <c r="G29" s="928">
        <v>0.10170404649983866</v>
      </c>
    </row>
    <row r="30" spans="1:7" ht="16.5" thickBot="1" x14ac:dyDescent="0.25">
      <c r="A30" s="895">
        <v>18</v>
      </c>
      <c r="B30" s="896" t="s">
        <v>760</v>
      </c>
      <c r="C30" s="897"/>
      <c r="D30" s="908"/>
      <c r="E30" s="897"/>
      <c r="F30" s="929"/>
      <c r="G30" s="898" t="s">
        <v>762</v>
      </c>
    </row>
    <row r="31" spans="1:7" ht="9.75" customHeight="1" thickBot="1" x14ac:dyDescent="0.25">
      <c r="A31" s="899"/>
      <c r="B31" s="900"/>
      <c r="C31" s="189"/>
      <c r="D31" s="189"/>
      <c r="E31" s="189"/>
      <c r="F31" s="901"/>
    </row>
    <row r="32" spans="1:7" ht="16.5" thickBot="1" x14ac:dyDescent="0.25">
      <c r="A32" s="1062" t="s">
        <v>763</v>
      </c>
      <c r="B32" s="1063"/>
      <c r="C32" s="1063"/>
      <c r="D32" s="1063"/>
      <c r="E32" s="1063"/>
      <c r="F32" s="1064"/>
    </row>
    <row r="33" spans="1:6" x14ac:dyDescent="0.2">
      <c r="A33" s="192"/>
      <c r="B33" s="892"/>
      <c r="C33" s="189"/>
      <c r="D33" s="189"/>
      <c r="E33" s="189"/>
    </row>
    <row r="36" spans="1:6" ht="16.5" x14ac:dyDescent="0.3">
      <c r="C36" s="912"/>
      <c r="D36" s="913"/>
      <c r="E36" s="912"/>
    </row>
    <row r="37" spans="1:6" ht="16.5" x14ac:dyDescent="0.25">
      <c r="B37" s="911"/>
      <c r="C37" s="911"/>
      <c r="D37" s="910"/>
      <c r="E37" s="909"/>
    </row>
    <row r="38" spans="1:6" x14ac:dyDescent="0.2">
      <c r="D38" s="909"/>
      <c r="E38" s="909"/>
      <c r="F38" s="909"/>
    </row>
    <row r="39" spans="1:6" x14ac:dyDescent="0.2">
      <c r="D39" s="909"/>
    </row>
  </sheetData>
  <mergeCells count="11">
    <mergeCell ref="A32:F32"/>
    <mergeCell ref="D11:G11"/>
    <mergeCell ref="A4:G4"/>
    <mergeCell ref="A5:G5"/>
    <mergeCell ref="A6:G6"/>
    <mergeCell ref="A7:G7"/>
    <mergeCell ref="A8:G8"/>
    <mergeCell ref="A9:G9"/>
    <mergeCell ref="A11:A12"/>
    <mergeCell ref="B11:B12"/>
    <mergeCell ref="C11:C12"/>
  </mergeCells>
  <pageMargins left="0.7" right="0.7" top="0.75" bottom="0.75" header="0.3" footer="0.3"/>
  <pageSetup paperSize="9" scale="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BS86"/>
  <sheetViews>
    <sheetView showZeros="0" topLeftCell="E1" workbookViewId="0">
      <selection activeCell="X58" sqref="X58"/>
    </sheetView>
  </sheetViews>
  <sheetFormatPr defaultRowHeight="15" x14ac:dyDescent="0.2"/>
  <cols>
    <col min="2" max="2" width="24.44140625" customWidth="1"/>
    <col min="4" max="4" width="13.21875" bestFit="1" customWidth="1"/>
    <col min="5" max="5" width="11.88671875" customWidth="1"/>
    <col min="6" max="6" width="8.33203125" bestFit="1" customWidth="1"/>
    <col min="7" max="7" width="16.88671875" customWidth="1"/>
    <col min="8" max="8" width="10" customWidth="1"/>
    <col min="9" max="9" width="10.21875" customWidth="1"/>
    <col min="10" max="10" width="8.33203125" bestFit="1" customWidth="1"/>
    <col min="11" max="11" width="7.5546875" bestFit="1" customWidth="1"/>
    <col min="21" max="21" width="8.33203125" bestFit="1" customWidth="1"/>
    <col min="22" max="22" width="11.109375" customWidth="1"/>
    <col min="23" max="23" width="41.88671875" customWidth="1"/>
    <col min="24" max="24" width="11.5546875" customWidth="1"/>
    <col min="25" max="25" width="9.88671875" customWidth="1"/>
    <col min="26" max="26" width="12.77734375" customWidth="1"/>
    <col min="27" max="27" width="9" bestFit="1" customWidth="1"/>
    <col min="28" max="28" width="10.33203125" customWidth="1"/>
    <col min="29" max="29" width="11.33203125" customWidth="1"/>
    <col min="30" max="30" width="11.21875" customWidth="1"/>
    <col min="31" max="31" width="10.5546875" customWidth="1"/>
    <col min="32" max="32" width="10.77734375" customWidth="1"/>
    <col min="33" max="33" width="10.21875" customWidth="1"/>
    <col min="34" max="34" width="10" customWidth="1"/>
    <col min="35" max="35" width="10.109375" customWidth="1"/>
    <col min="36" max="36" width="8.77734375" customWidth="1"/>
    <col min="37" max="37" width="9.44140625" customWidth="1"/>
    <col min="38" max="38" width="10.6640625" customWidth="1"/>
    <col min="39" max="39" width="11.44140625" customWidth="1"/>
    <col min="40" max="40" width="9.5546875" customWidth="1"/>
    <col min="41" max="41" width="10.88671875" customWidth="1"/>
    <col min="42" max="42" width="8.77734375" customWidth="1"/>
    <col min="43" max="43" width="9" customWidth="1"/>
    <col min="44" max="44" width="10.21875" customWidth="1"/>
    <col min="45" max="45" width="11.44140625" customWidth="1"/>
    <col min="46" max="46" width="10.33203125" customWidth="1"/>
    <col min="47" max="47" width="13.109375" customWidth="1"/>
    <col min="48" max="48" width="12.33203125" customWidth="1"/>
    <col min="49" max="49" width="11.44140625" customWidth="1"/>
    <col min="50" max="50" width="9.109375" customWidth="1"/>
    <col min="51" max="51" width="14.33203125" customWidth="1"/>
    <col min="52" max="52" width="11.5546875" customWidth="1"/>
  </cols>
  <sheetData>
    <row r="1" spans="1:71" ht="20.100000000000001" customHeight="1" x14ac:dyDescent="0.25">
      <c r="V1" s="10"/>
      <c r="W1" s="10" t="s">
        <v>1</v>
      </c>
      <c r="X1" s="10"/>
      <c r="Y1" s="10"/>
      <c r="Z1" s="10"/>
      <c r="AA1" s="10"/>
      <c r="AB1" s="10"/>
      <c r="AC1" s="10"/>
      <c r="AD1" s="10"/>
      <c r="AE1" s="10"/>
      <c r="AF1" s="10"/>
      <c r="AG1" s="10"/>
      <c r="AH1" s="10"/>
      <c r="AI1" s="10"/>
      <c r="AJ1" s="10"/>
      <c r="AK1" s="10"/>
      <c r="AL1" s="10"/>
      <c r="AM1" s="10"/>
      <c r="AN1" s="10"/>
      <c r="AO1" s="10"/>
      <c r="AP1" s="10"/>
      <c r="AQ1" s="10"/>
      <c r="AR1" s="17" t="s">
        <v>137</v>
      </c>
      <c r="AT1" s="10"/>
      <c r="AU1" s="10"/>
    </row>
    <row r="2" spans="1:71" ht="20.100000000000001" customHeight="1" x14ac:dyDescent="0.25">
      <c r="B2" s="8" t="s">
        <v>140</v>
      </c>
      <c r="V2" s="10"/>
      <c r="W2" s="7" t="e">
        <f>#REF!</f>
        <v>#REF!</v>
      </c>
      <c r="X2" s="10"/>
      <c r="Y2" s="10"/>
      <c r="Z2" s="10"/>
      <c r="AA2" s="10"/>
      <c r="AB2" s="66"/>
      <c r="AC2" s="97"/>
      <c r="AD2" s="10"/>
      <c r="AE2" s="10"/>
      <c r="AF2" s="10"/>
      <c r="AG2" s="10"/>
      <c r="AH2" s="10"/>
      <c r="AI2" s="10"/>
      <c r="AJ2" s="10"/>
      <c r="AK2" s="10"/>
      <c r="AL2" s="10"/>
      <c r="AM2" s="10"/>
      <c r="AN2" s="10"/>
      <c r="AO2" s="10"/>
      <c r="AP2" s="10"/>
      <c r="AQ2" s="10"/>
      <c r="AR2" s="10"/>
      <c r="AS2" s="10"/>
      <c r="AT2" s="10"/>
      <c r="AU2" s="10"/>
      <c r="AX2" s="19"/>
      <c r="AY2" s="20"/>
      <c r="AZ2" s="3"/>
      <c r="BA2" s="3"/>
      <c r="BB2" s="3"/>
      <c r="BC2" s="3"/>
      <c r="BD2" s="3"/>
      <c r="BE2" s="3"/>
      <c r="BF2" s="3"/>
      <c r="BG2" s="3"/>
    </row>
    <row r="3" spans="1:71" ht="20.100000000000001" customHeight="1" x14ac:dyDescent="0.25">
      <c r="B3" s="9" t="s">
        <v>6</v>
      </c>
      <c r="C3" s="9" t="s">
        <v>7</v>
      </c>
      <c r="D3" t="s">
        <v>39</v>
      </c>
      <c r="E3" t="s">
        <v>40</v>
      </c>
      <c r="F3" s="9" t="s">
        <v>5</v>
      </c>
      <c r="G3" t="s">
        <v>8</v>
      </c>
      <c r="H3" s="935" t="s">
        <v>41</v>
      </c>
      <c r="I3" s="935"/>
      <c r="V3" s="10"/>
      <c r="W3" s="18" t="e">
        <f>+#REF!</f>
        <v>#REF!</v>
      </c>
      <c r="X3" s="23"/>
      <c r="Y3" s="23"/>
      <c r="Z3" s="24" t="s">
        <v>46</v>
      </c>
      <c r="AA3" s="25"/>
      <c r="AB3" s="23"/>
      <c r="AC3" s="23"/>
      <c r="AD3" s="23"/>
      <c r="AE3" s="23"/>
      <c r="AF3" s="23"/>
      <c r="AG3" s="23"/>
      <c r="AH3" s="23"/>
      <c r="AI3" s="23"/>
      <c r="AJ3" s="23"/>
      <c r="AK3" s="23"/>
      <c r="AL3" s="23"/>
      <c r="AM3" s="10"/>
      <c r="AN3" s="10"/>
      <c r="AO3" s="10"/>
      <c r="AP3" s="10"/>
      <c r="AQ3" s="10"/>
      <c r="AR3" s="10"/>
      <c r="AS3" s="10"/>
      <c r="AT3" s="10"/>
      <c r="AU3" s="10"/>
      <c r="AX3" s="3"/>
      <c r="AY3" s="3"/>
      <c r="AZ3" s="3"/>
      <c r="BA3" s="3"/>
      <c r="BB3" s="3"/>
      <c r="BC3" s="3"/>
      <c r="BD3" s="3"/>
      <c r="BE3" s="3"/>
      <c r="BF3" s="3"/>
      <c r="BG3" s="3"/>
    </row>
    <row r="4" spans="1:71" ht="20.100000000000001" customHeight="1" x14ac:dyDescent="0.25">
      <c r="B4" s="21"/>
      <c r="C4" s="22" t="s">
        <v>9</v>
      </c>
      <c r="D4" s="21" t="s">
        <v>42</v>
      </c>
      <c r="E4" s="21" t="s">
        <v>43</v>
      </c>
      <c r="F4" s="105" t="s">
        <v>199</v>
      </c>
      <c r="G4" s="21" t="s">
        <v>11</v>
      </c>
      <c r="H4" s="22" t="s">
        <v>37</v>
      </c>
      <c r="I4" s="22" t="s">
        <v>10</v>
      </c>
      <c r="J4" s="21" t="s">
        <v>44</v>
      </c>
      <c r="K4" s="21" t="s">
        <v>45</v>
      </c>
      <c r="V4" s="10"/>
      <c r="W4" s="27" t="s">
        <v>47</v>
      </c>
      <c r="X4" s="23"/>
      <c r="Y4" s="23"/>
      <c r="Z4" s="23"/>
      <c r="AA4" s="28"/>
      <c r="AB4" s="23"/>
      <c r="AC4" s="23"/>
      <c r="AD4" s="23"/>
      <c r="AE4" s="23"/>
      <c r="AF4" s="23"/>
      <c r="AG4" s="23"/>
      <c r="AH4" s="23"/>
      <c r="AI4" s="10"/>
      <c r="AJ4" s="23"/>
      <c r="AK4" s="23"/>
      <c r="AL4" s="23"/>
      <c r="AO4" s="10"/>
      <c r="AP4" s="10"/>
      <c r="AQ4" s="29" t="s">
        <v>132</v>
      </c>
      <c r="AS4" s="10"/>
      <c r="AT4" s="10"/>
      <c r="AU4" s="10"/>
      <c r="AX4" s="3"/>
      <c r="AY4" s="30"/>
      <c r="AZ4" s="30"/>
      <c r="BA4" s="30"/>
      <c r="BB4" s="30"/>
      <c r="BC4" s="30"/>
      <c r="BD4" s="30"/>
      <c r="BE4" s="30"/>
      <c r="BF4" s="30"/>
      <c r="BG4" s="30"/>
    </row>
    <row r="5" spans="1:71" ht="20.100000000000001" customHeight="1" x14ac:dyDescent="0.25">
      <c r="B5" s="26"/>
      <c r="C5" s="26"/>
      <c r="D5" s="26"/>
      <c r="E5" s="26"/>
      <c r="F5" s="26"/>
      <c r="G5" s="26"/>
      <c r="H5" s="26"/>
      <c r="I5" s="26"/>
      <c r="V5" s="10"/>
      <c r="W5" s="31" t="s">
        <v>48</v>
      </c>
      <c r="X5" s="32" t="s">
        <v>49</v>
      </c>
      <c r="Y5" s="32" t="s">
        <v>50</v>
      </c>
      <c r="Z5" s="32" t="s">
        <v>51</v>
      </c>
      <c r="AA5" s="32" t="s">
        <v>52</v>
      </c>
      <c r="AB5" s="32" t="s">
        <v>53</v>
      </c>
      <c r="AC5" s="32" t="s">
        <v>54</v>
      </c>
      <c r="AD5" s="32" t="s">
        <v>55</v>
      </c>
      <c r="AE5" s="32" t="s">
        <v>56</v>
      </c>
      <c r="AF5" s="32" t="s">
        <v>57</v>
      </c>
      <c r="AG5" s="32" t="s">
        <v>58</v>
      </c>
      <c r="AH5" s="32" t="s">
        <v>59</v>
      </c>
      <c r="AI5" s="32" t="s">
        <v>60</v>
      </c>
      <c r="AJ5" s="32" t="s">
        <v>61</v>
      </c>
      <c r="AK5" s="32" t="s">
        <v>62</v>
      </c>
      <c r="AL5" s="32" t="s">
        <v>63</v>
      </c>
      <c r="AM5" s="32" t="s">
        <v>64</v>
      </c>
      <c r="AN5" s="32" t="s">
        <v>65</v>
      </c>
      <c r="AO5" s="32" t="s">
        <v>66</v>
      </c>
      <c r="AP5" s="32" t="s">
        <v>67</v>
      </c>
      <c r="AQ5" s="32" t="s">
        <v>68</v>
      </c>
      <c r="AR5" s="32" t="s">
        <v>69</v>
      </c>
      <c r="AS5" s="32" t="s">
        <v>70</v>
      </c>
      <c r="AT5" s="32" t="s">
        <v>155</v>
      </c>
      <c r="AU5" s="33"/>
      <c r="AX5" s="3"/>
      <c r="AY5" s="82" t="s">
        <v>71</v>
      </c>
      <c r="AZ5" s="83"/>
      <c r="BA5" s="20"/>
      <c r="BB5" s="84"/>
      <c r="BC5" s="84"/>
      <c r="BD5" s="84"/>
      <c r="BE5" s="84"/>
      <c r="BF5" s="84"/>
      <c r="BG5" s="84"/>
      <c r="BH5" s="84"/>
      <c r="BI5" s="84"/>
      <c r="BJ5" s="82"/>
      <c r="BK5" s="82"/>
      <c r="BL5" s="82"/>
      <c r="BM5" s="82"/>
      <c r="BN5" s="82"/>
      <c r="BO5" s="82"/>
      <c r="BP5" s="82"/>
      <c r="BQ5" s="82"/>
      <c r="BR5" s="82"/>
      <c r="BS5" s="82"/>
    </row>
    <row r="6" spans="1:71" ht="20.100000000000001" customHeight="1" x14ac:dyDescent="0.25">
      <c r="A6" s="34"/>
      <c r="C6" t="e">
        <f>#REF!</f>
        <v>#REF!</v>
      </c>
      <c r="D6" t="e">
        <f>C6*0</f>
        <v>#REF!</v>
      </c>
      <c r="E6" t="e">
        <f>C6*1</f>
        <v>#REF!</v>
      </c>
      <c r="V6" s="10"/>
      <c r="W6" s="35" t="s">
        <v>72</v>
      </c>
      <c r="X6" s="36">
        <v>0</v>
      </c>
      <c r="Y6" s="36">
        <v>0.7</v>
      </c>
      <c r="Z6" s="36">
        <v>0.8</v>
      </c>
      <c r="AA6" s="36">
        <v>0.9</v>
      </c>
      <c r="AB6" s="36">
        <v>0.9</v>
      </c>
      <c r="AC6" s="36">
        <v>0.9</v>
      </c>
      <c r="AD6" s="36">
        <v>0.9</v>
      </c>
      <c r="AE6" s="36">
        <v>0.9</v>
      </c>
      <c r="AF6" s="36">
        <v>0.9</v>
      </c>
      <c r="AG6" s="36">
        <v>0.9</v>
      </c>
      <c r="AH6" s="36">
        <v>0.9</v>
      </c>
      <c r="AI6" s="36">
        <v>0.9</v>
      </c>
      <c r="AJ6" s="36">
        <v>0.9</v>
      </c>
      <c r="AK6" s="36">
        <v>0.9</v>
      </c>
      <c r="AL6" s="36">
        <v>0.9</v>
      </c>
      <c r="AM6" s="36">
        <v>0.9</v>
      </c>
      <c r="AN6" s="36">
        <v>0.9</v>
      </c>
      <c r="AO6" s="36">
        <v>0.9</v>
      </c>
      <c r="AP6" s="36">
        <v>0.9</v>
      </c>
      <c r="AQ6" s="36">
        <v>0.9</v>
      </c>
      <c r="AR6" s="36">
        <v>0.9</v>
      </c>
      <c r="AS6" s="36">
        <v>0.9</v>
      </c>
      <c r="AT6" s="36">
        <f>$AC$6*0</f>
        <v>0</v>
      </c>
      <c r="AU6" s="37"/>
      <c r="AX6" s="3"/>
      <c r="AY6" s="82" t="s">
        <v>73</v>
      </c>
      <c r="AZ6" s="38">
        <v>0.15</v>
      </c>
      <c r="BA6" s="84"/>
      <c r="BB6" s="84"/>
      <c r="BC6" s="84"/>
      <c r="BD6" s="84"/>
      <c r="BE6" s="84"/>
      <c r="BF6" s="84"/>
      <c r="BG6" s="84"/>
      <c r="BH6" s="84"/>
      <c r="BI6" s="84"/>
      <c r="BJ6" s="82"/>
      <c r="BK6" s="82"/>
      <c r="BL6" s="82"/>
      <c r="BM6" s="82"/>
      <c r="BN6" s="82"/>
      <c r="BO6" s="82"/>
      <c r="BP6" s="82"/>
      <c r="BQ6" s="82"/>
      <c r="BR6" s="82"/>
      <c r="BS6" s="82"/>
    </row>
    <row r="7" spans="1:71" ht="20.100000000000001" customHeight="1" x14ac:dyDescent="0.25">
      <c r="A7" s="34"/>
      <c r="B7" s="9" t="s">
        <v>13</v>
      </c>
      <c r="C7" s="102" t="e">
        <f>#REF!</f>
        <v>#REF!</v>
      </c>
      <c r="D7" t="e">
        <f>#REF!</f>
        <v>#REF!</v>
      </c>
      <c r="E7" t="e">
        <f>#REF!</f>
        <v>#REF!</v>
      </c>
      <c r="F7" t="e">
        <f>#REF!</f>
        <v>#REF!</v>
      </c>
      <c r="G7" t="e">
        <f>D7+E7+F7</f>
        <v>#REF!</v>
      </c>
      <c r="H7" t="e">
        <f>+G7*0</f>
        <v>#REF!</v>
      </c>
      <c r="I7" t="e">
        <f>+G7*1</f>
        <v>#REF!</v>
      </c>
      <c r="K7" t="e">
        <f>+J7+I7</f>
        <v>#REF!</v>
      </c>
      <c r="V7" s="10"/>
      <c r="W7" s="39" t="s">
        <v>74</v>
      </c>
      <c r="X7" s="40" t="e">
        <f>$D$14*X6*0</f>
        <v>#REF!</v>
      </c>
      <c r="Y7" s="40" t="e">
        <f>$D$14*Y6*8/12</f>
        <v>#REF!</v>
      </c>
      <c r="Z7" s="40" t="e">
        <f>$D$14*Z6</f>
        <v>#REF!</v>
      </c>
      <c r="AA7" s="40" t="e">
        <f t="shared" ref="AA7:AQ7" si="0">$D$14*AA6</f>
        <v>#REF!</v>
      </c>
      <c r="AB7" s="40" t="e">
        <f t="shared" si="0"/>
        <v>#REF!</v>
      </c>
      <c r="AC7" s="40" t="e">
        <f t="shared" si="0"/>
        <v>#REF!</v>
      </c>
      <c r="AD7" s="40" t="e">
        <f t="shared" si="0"/>
        <v>#REF!</v>
      </c>
      <c r="AE7" s="40" t="e">
        <f t="shared" si="0"/>
        <v>#REF!</v>
      </c>
      <c r="AF7" s="40" t="e">
        <f t="shared" si="0"/>
        <v>#REF!</v>
      </c>
      <c r="AG7" s="40" t="e">
        <f t="shared" si="0"/>
        <v>#REF!</v>
      </c>
      <c r="AH7" s="40" t="e">
        <f t="shared" si="0"/>
        <v>#REF!</v>
      </c>
      <c r="AI7" s="40" t="e">
        <f t="shared" si="0"/>
        <v>#REF!</v>
      </c>
      <c r="AJ7" s="40" t="e">
        <f t="shared" si="0"/>
        <v>#REF!</v>
      </c>
      <c r="AK7" s="40" t="e">
        <f t="shared" si="0"/>
        <v>#REF!</v>
      </c>
      <c r="AL7" s="40" t="e">
        <f t="shared" si="0"/>
        <v>#REF!</v>
      </c>
      <c r="AM7" s="40" t="e">
        <f t="shared" si="0"/>
        <v>#REF!</v>
      </c>
      <c r="AN7" s="40" t="e">
        <f t="shared" si="0"/>
        <v>#REF!</v>
      </c>
      <c r="AO7" s="40" t="e">
        <f t="shared" si="0"/>
        <v>#REF!</v>
      </c>
      <c r="AP7" s="40" t="e">
        <f t="shared" si="0"/>
        <v>#REF!</v>
      </c>
      <c r="AQ7" s="40" t="e">
        <f t="shared" si="0"/>
        <v>#REF!</v>
      </c>
      <c r="AR7" s="40" t="e">
        <f>$D$14*AR6</f>
        <v>#REF!</v>
      </c>
      <c r="AS7" s="40" t="e">
        <f>$D$14*AS6*4/12</f>
        <v>#REF!</v>
      </c>
      <c r="AT7" s="40" t="e">
        <f>$D$14*AT6*5/12</f>
        <v>#REF!</v>
      </c>
      <c r="AU7" s="23"/>
      <c r="AX7" s="3"/>
      <c r="AY7" s="85" t="s">
        <v>75</v>
      </c>
      <c r="AZ7" s="85">
        <v>1</v>
      </c>
      <c r="BA7" s="85">
        <v>2</v>
      </c>
      <c r="BB7" s="85">
        <v>3</v>
      </c>
      <c r="BC7" s="85">
        <v>4</v>
      </c>
      <c r="BD7" s="85">
        <v>5</v>
      </c>
      <c r="BE7" s="85">
        <v>6</v>
      </c>
      <c r="BF7" s="85">
        <v>7</v>
      </c>
      <c r="BG7" s="85">
        <v>8</v>
      </c>
      <c r="BH7" s="85">
        <v>9</v>
      </c>
      <c r="BI7" s="85">
        <v>10</v>
      </c>
      <c r="BJ7" s="85">
        <v>11</v>
      </c>
      <c r="BK7" s="85">
        <v>12</v>
      </c>
      <c r="BL7" s="85">
        <v>13</v>
      </c>
      <c r="BM7" s="85">
        <v>14</v>
      </c>
      <c r="BN7" s="85">
        <v>15</v>
      </c>
      <c r="BO7" s="85">
        <v>16</v>
      </c>
      <c r="BP7" s="85">
        <v>17</v>
      </c>
      <c r="BQ7" s="85">
        <v>18</v>
      </c>
      <c r="BR7" s="85">
        <v>19</v>
      </c>
      <c r="BS7" s="85">
        <v>20</v>
      </c>
    </row>
    <row r="8" spans="1:71" ht="20.100000000000001" customHeight="1" x14ac:dyDescent="0.25">
      <c r="B8" s="9" t="s">
        <v>131</v>
      </c>
      <c r="C8" s="102" t="e">
        <f>#REF!</f>
        <v>#REF!</v>
      </c>
      <c r="D8" t="e">
        <f>#REF!</f>
        <v>#REF!</v>
      </c>
      <c r="E8" t="e">
        <f>#REF!</f>
        <v>#REF!</v>
      </c>
      <c r="F8" t="e">
        <f>#REF!</f>
        <v>#REF!</v>
      </c>
      <c r="G8" t="e">
        <f>D8+E8+F8</f>
        <v>#REF!</v>
      </c>
      <c r="H8" t="e">
        <f>+G8*0</f>
        <v>#REF!</v>
      </c>
      <c r="I8" t="e">
        <f>+G8*1</f>
        <v>#REF!</v>
      </c>
      <c r="J8">
        <v>0</v>
      </c>
      <c r="K8" t="e">
        <f>+J8+I8</f>
        <v>#REF!</v>
      </c>
      <c r="V8" s="10"/>
      <c r="W8" s="39" t="s">
        <v>150</v>
      </c>
      <c r="X8" s="40" t="e">
        <f>+X30+X31</f>
        <v>#REF!</v>
      </c>
      <c r="Y8" s="40" t="e">
        <f>+Y30+Y31</f>
        <v>#REF!</v>
      </c>
      <c r="Z8" s="40" t="e">
        <f t="shared" ref="Z8:AS8" si="1">+Z30+Z31</f>
        <v>#REF!</v>
      </c>
      <c r="AA8" s="40" t="e">
        <f t="shared" si="1"/>
        <v>#REF!</v>
      </c>
      <c r="AB8" s="40" t="e">
        <f t="shared" si="1"/>
        <v>#REF!</v>
      </c>
      <c r="AC8" s="40" t="e">
        <f t="shared" si="1"/>
        <v>#REF!</v>
      </c>
      <c r="AD8" s="40" t="e">
        <f t="shared" si="1"/>
        <v>#REF!</v>
      </c>
      <c r="AE8" s="40" t="e">
        <f t="shared" si="1"/>
        <v>#REF!</v>
      </c>
      <c r="AF8" s="40" t="e">
        <f t="shared" si="1"/>
        <v>#REF!</v>
      </c>
      <c r="AG8" s="40" t="e">
        <f t="shared" si="1"/>
        <v>#REF!</v>
      </c>
      <c r="AH8" s="40" t="e">
        <f t="shared" si="1"/>
        <v>#REF!</v>
      </c>
      <c r="AI8" s="40" t="e">
        <f t="shared" si="1"/>
        <v>#REF!</v>
      </c>
      <c r="AJ8" s="40" t="e">
        <f t="shared" si="1"/>
        <v>#REF!</v>
      </c>
      <c r="AK8" s="40" t="e">
        <f t="shared" si="1"/>
        <v>#REF!</v>
      </c>
      <c r="AL8" s="40" t="e">
        <f t="shared" si="1"/>
        <v>#REF!</v>
      </c>
      <c r="AM8" s="40" t="e">
        <f t="shared" si="1"/>
        <v>#REF!</v>
      </c>
      <c r="AN8" s="40" t="e">
        <f t="shared" si="1"/>
        <v>#REF!</v>
      </c>
      <c r="AO8" s="40" t="e">
        <f t="shared" si="1"/>
        <v>#REF!</v>
      </c>
      <c r="AP8" s="40" t="e">
        <f t="shared" si="1"/>
        <v>#REF!</v>
      </c>
      <c r="AQ8" s="40" t="e">
        <f t="shared" si="1"/>
        <v>#REF!</v>
      </c>
      <c r="AR8" s="40" t="e">
        <f t="shared" si="1"/>
        <v>#REF!</v>
      </c>
      <c r="AS8" s="40" t="e">
        <f t="shared" si="1"/>
        <v>#REF!</v>
      </c>
      <c r="AT8" s="40" t="e">
        <f t="shared" ref="AT8" si="2">+AT30+AT31</f>
        <v>#REF!</v>
      </c>
      <c r="AU8" s="23"/>
      <c r="AV8" s="23" t="s">
        <v>77</v>
      </c>
      <c r="AX8" s="3"/>
      <c r="AY8" s="82" t="s">
        <v>127</v>
      </c>
      <c r="AZ8" s="30" t="e">
        <f>D17</f>
        <v>#REF!</v>
      </c>
      <c r="BA8" s="30" t="e">
        <f t="shared" ref="BA8:BS8" si="3">+AZ10</f>
        <v>#REF!</v>
      </c>
      <c r="BB8" s="30" t="e">
        <f t="shared" si="3"/>
        <v>#REF!</v>
      </c>
      <c r="BC8" s="30" t="e">
        <f t="shared" si="3"/>
        <v>#REF!</v>
      </c>
      <c r="BD8" s="30" t="e">
        <f t="shared" si="3"/>
        <v>#REF!</v>
      </c>
      <c r="BE8" s="30" t="e">
        <f t="shared" si="3"/>
        <v>#REF!</v>
      </c>
      <c r="BF8" s="30" t="e">
        <f t="shared" si="3"/>
        <v>#REF!</v>
      </c>
      <c r="BG8" s="30" t="e">
        <f t="shared" si="3"/>
        <v>#REF!</v>
      </c>
      <c r="BH8" s="30" t="e">
        <f t="shared" si="3"/>
        <v>#REF!</v>
      </c>
      <c r="BI8" s="30" t="e">
        <f t="shared" si="3"/>
        <v>#REF!</v>
      </c>
      <c r="BJ8" s="30" t="e">
        <f t="shared" si="3"/>
        <v>#REF!</v>
      </c>
      <c r="BK8" s="30" t="e">
        <f t="shared" si="3"/>
        <v>#REF!</v>
      </c>
      <c r="BL8" s="30" t="e">
        <f t="shared" si="3"/>
        <v>#REF!</v>
      </c>
      <c r="BM8" s="30" t="e">
        <f t="shared" si="3"/>
        <v>#REF!</v>
      </c>
      <c r="BN8" s="30" t="e">
        <f t="shared" si="3"/>
        <v>#REF!</v>
      </c>
      <c r="BO8" s="30" t="e">
        <f t="shared" si="3"/>
        <v>#REF!</v>
      </c>
      <c r="BP8" s="30" t="e">
        <f t="shared" si="3"/>
        <v>#REF!</v>
      </c>
      <c r="BQ8" s="30" t="e">
        <f t="shared" si="3"/>
        <v>#REF!</v>
      </c>
      <c r="BR8" s="30" t="e">
        <f t="shared" si="3"/>
        <v>#REF!</v>
      </c>
      <c r="BS8" s="30" t="e">
        <f t="shared" si="3"/>
        <v>#REF!</v>
      </c>
    </row>
    <row r="9" spans="1:71" ht="20.100000000000001" customHeight="1" x14ac:dyDescent="0.25">
      <c r="B9" s="9" t="s">
        <v>154</v>
      </c>
      <c r="C9" s="102" t="e">
        <f>#REF!</f>
        <v>#REF!</v>
      </c>
      <c r="D9" t="e">
        <f>#REF!</f>
        <v>#REF!</v>
      </c>
      <c r="E9" t="e">
        <f>#REF!</f>
        <v>#REF!</v>
      </c>
      <c r="F9" t="e">
        <f>#REF!</f>
        <v>#REF!</v>
      </c>
      <c r="G9" t="e">
        <f>D9+E9+F9</f>
        <v>#REF!</v>
      </c>
      <c r="H9" t="e">
        <f>+G9*0</f>
        <v>#REF!</v>
      </c>
      <c r="I9" t="e">
        <f>+G9*1</f>
        <v>#REF!</v>
      </c>
      <c r="J9">
        <v>0</v>
      </c>
      <c r="K9" t="e">
        <f>+J9+I9</f>
        <v>#REF!</v>
      </c>
      <c r="V9" s="10"/>
      <c r="W9" s="39" t="s">
        <v>121</v>
      </c>
      <c r="X9" s="39"/>
      <c r="Y9" s="39" t="e">
        <f>AZ9</f>
        <v>#REF!</v>
      </c>
      <c r="Z9" s="39" t="e">
        <f t="shared" ref="Z9:AT9" si="4">BA9</f>
        <v>#REF!</v>
      </c>
      <c r="AA9" s="39" t="e">
        <f t="shared" si="4"/>
        <v>#REF!</v>
      </c>
      <c r="AB9" s="39" t="e">
        <f t="shared" si="4"/>
        <v>#REF!</v>
      </c>
      <c r="AC9" s="39" t="e">
        <f t="shared" si="4"/>
        <v>#REF!</v>
      </c>
      <c r="AD9" s="39" t="e">
        <f t="shared" si="4"/>
        <v>#REF!</v>
      </c>
      <c r="AE9" s="39" t="e">
        <f t="shared" si="4"/>
        <v>#REF!</v>
      </c>
      <c r="AF9" s="39" t="e">
        <f t="shared" si="4"/>
        <v>#REF!</v>
      </c>
      <c r="AG9" s="39" t="e">
        <f t="shared" si="4"/>
        <v>#REF!</v>
      </c>
      <c r="AH9" s="39" t="e">
        <f t="shared" si="4"/>
        <v>#REF!</v>
      </c>
      <c r="AI9" s="39" t="e">
        <f t="shared" si="4"/>
        <v>#REF!</v>
      </c>
      <c r="AJ9" s="39" t="e">
        <f t="shared" si="4"/>
        <v>#REF!</v>
      </c>
      <c r="AK9" s="39" t="e">
        <f t="shared" si="4"/>
        <v>#REF!</v>
      </c>
      <c r="AL9" s="39" t="e">
        <f t="shared" si="4"/>
        <v>#REF!</v>
      </c>
      <c r="AM9" s="39" t="e">
        <f t="shared" si="4"/>
        <v>#REF!</v>
      </c>
      <c r="AN9" s="39" t="e">
        <f t="shared" si="4"/>
        <v>#REF!</v>
      </c>
      <c r="AO9" s="39" t="e">
        <f t="shared" si="4"/>
        <v>#REF!</v>
      </c>
      <c r="AP9" s="39" t="e">
        <f t="shared" si="4"/>
        <v>#REF!</v>
      </c>
      <c r="AQ9" s="39" t="e">
        <f t="shared" si="4"/>
        <v>#REF!</v>
      </c>
      <c r="AR9" s="39">
        <f t="shared" si="4"/>
        <v>0</v>
      </c>
      <c r="AS9" s="39">
        <f t="shared" si="4"/>
        <v>0</v>
      </c>
      <c r="AT9" s="39">
        <f t="shared" si="4"/>
        <v>0</v>
      </c>
      <c r="AU9" s="23" t="e">
        <f>SUM(Y9:AS9)</f>
        <v>#REF!</v>
      </c>
      <c r="AV9" s="23" t="e">
        <f>+D17*0.95</f>
        <v>#REF!</v>
      </c>
      <c r="AX9" s="3"/>
      <c r="AY9" s="82" t="s">
        <v>128</v>
      </c>
      <c r="AZ9" s="30" t="e">
        <f>+AZ8*$AZ$6*2/12</f>
        <v>#REF!</v>
      </c>
      <c r="BA9" s="30" t="e">
        <f t="shared" ref="BA9:BQ9" si="5">+BA8*$AZ$6</f>
        <v>#REF!</v>
      </c>
      <c r="BB9" s="30" t="e">
        <f t="shared" si="5"/>
        <v>#REF!</v>
      </c>
      <c r="BC9" s="30" t="e">
        <f t="shared" si="5"/>
        <v>#REF!</v>
      </c>
      <c r="BD9" s="30" t="e">
        <f t="shared" si="5"/>
        <v>#REF!</v>
      </c>
      <c r="BE9" s="30" t="e">
        <f t="shared" si="5"/>
        <v>#REF!</v>
      </c>
      <c r="BF9" s="30" t="e">
        <f t="shared" si="5"/>
        <v>#REF!</v>
      </c>
      <c r="BG9" s="30" t="e">
        <f t="shared" si="5"/>
        <v>#REF!</v>
      </c>
      <c r="BH9" s="30" t="e">
        <f t="shared" si="5"/>
        <v>#REF!</v>
      </c>
      <c r="BI9" s="30" t="e">
        <f t="shared" si="5"/>
        <v>#REF!</v>
      </c>
      <c r="BJ9" s="30" t="e">
        <f t="shared" si="5"/>
        <v>#REF!</v>
      </c>
      <c r="BK9" s="30" t="e">
        <f t="shared" si="5"/>
        <v>#REF!</v>
      </c>
      <c r="BL9" s="30" t="e">
        <f t="shared" si="5"/>
        <v>#REF!</v>
      </c>
      <c r="BM9" s="30" t="e">
        <f t="shared" si="5"/>
        <v>#REF!</v>
      </c>
      <c r="BN9" s="30" t="e">
        <f t="shared" si="5"/>
        <v>#REF!</v>
      </c>
      <c r="BO9" s="30" t="e">
        <f t="shared" si="5"/>
        <v>#REF!</v>
      </c>
      <c r="BP9" s="30" t="e">
        <f t="shared" si="5"/>
        <v>#REF!</v>
      </c>
      <c r="BQ9" s="30" t="e">
        <f t="shared" si="5"/>
        <v>#REF!</v>
      </c>
      <c r="BR9" s="30" t="e">
        <f>AZ12-SUM(AZ9:BQ9)</f>
        <v>#REF!</v>
      </c>
      <c r="BS9" s="30"/>
    </row>
    <row r="10" spans="1:71" ht="20.100000000000001" customHeight="1" x14ac:dyDescent="0.25">
      <c r="B10" s="9" t="s">
        <v>76</v>
      </c>
      <c r="C10" s="102" t="e">
        <f>#REF!</f>
        <v>#REF!</v>
      </c>
      <c r="D10" t="e">
        <f>#REF!</f>
        <v>#REF!</v>
      </c>
      <c r="E10" t="e">
        <f>#REF!</f>
        <v>#REF!</v>
      </c>
      <c r="F10" t="e">
        <f>#REF!</f>
        <v>#REF!</v>
      </c>
      <c r="G10" t="e">
        <f>D10+E10+F10</f>
        <v>#REF!</v>
      </c>
      <c r="H10" t="e">
        <f>+G10*0</f>
        <v>#REF!</v>
      </c>
      <c r="I10" t="e">
        <f>G10*1</f>
        <v>#REF!</v>
      </c>
      <c r="K10" t="e">
        <f>+J10+I10</f>
        <v>#REF!</v>
      </c>
      <c r="N10" s="26"/>
      <c r="O10" s="26"/>
      <c r="P10" s="26"/>
      <c r="Q10" s="26"/>
      <c r="R10" s="26"/>
      <c r="S10" s="26"/>
      <c r="T10" s="26"/>
      <c r="V10" s="10"/>
      <c r="W10" s="39" t="s">
        <v>78</v>
      </c>
      <c r="X10" s="39" t="e">
        <f t="shared" ref="X10:AS10" si="6">+X7-X8-X9</f>
        <v>#REF!</v>
      </c>
      <c r="Y10" s="39" t="e">
        <f t="shared" si="6"/>
        <v>#REF!</v>
      </c>
      <c r="Z10" s="39" t="e">
        <f t="shared" si="6"/>
        <v>#REF!</v>
      </c>
      <c r="AA10" s="39" t="e">
        <f t="shared" si="6"/>
        <v>#REF!</v>
      </c>
      <c r="AB10" s="39" t="e">
        <f t="shared" si="6"/>
        <v>#REF!</v>
      </c>
      <c r="AC10" s="39" t="e">
        <f t="shared" si="6"/>
        <v>#REF!</v>
      </c>
      <c r="AD10" s="39" t="e">
        <f t="shared" si="6"/>
        <v>#REF!</v>
      </c>
      <c r="AE10" s="39" t="e">
        <f t="shared" si="6"/>
        <v>#REF!</v>
      </c>
      <c r="AF10" s="39" t="e">
        <f t="shared" si="6"/>
        <v>#REF!</v>
      </c>
      <c r="AG10" s="39" t="e">
        <f t="shared" si="6"/>
        <v>#REF!</v>
      </c>
      <c r="AH10" s="39" t="e">
        <f t="shared" si="6"/>
        <v>#REF!</v>
      </c>
      <c r="AI10" s="39" t="e">
        <f t="shared" si="6"/>
        <v>#REF!</v>
      </c>
      <c r="AJ10" s="39" t="e">
        <f t="shared" si="6"/>
        <v>#REF!</v>
      </c>
      <c r="AK10" s="39" t="e">
        <f t="shared" si="6"/>
        <v>#REF!</v>
      </c>
      <c r="AL10" s="39" t="e">
        <f t="shared" si="6"/>
        <v>#REF!</v>
      </c>
      <c r="AM10" s="39" t="e">
        <f t="shared" si="6"/>
        <v>#REF!</v>
      </c>
      <c r="AN10" s="39" t="e">
        <f t="shared" si="6"/>
        <v>#REF!</v>
      </c>
      <c r="AO10" s="39" t="e">
        <f t="shared" si="6"/>
        <v>#REF!</v>
      </c>
      <c r="AP10" s="39" t="e">
        <f t="shared" si="6"/>
        <v>#REF!</v>
      </c>
      <c r="AQ10" s="39" t="e">
        <f t="shared" si="6"/>
        <v>#REF!</v>
      </c>
      <c r="AR10" s="39" t="e">
        <f t="shared" si="6"/>
        <v>#REF!</v>
      </c>
      <c r="AS10" s="39" t="e">
        <f t="shared" si="6"/>
        <v>#REF!</v>
      </c>
      <c r="AT10" s="39" t="e">
        <f t="shared" ref="AT10" si="7">+AT7-AT8-AT9</f>
        <v>#REF!</v>
      </c>
      <c r="AU10" s="23"/>
      <c r="AV10" s="23"/>
      <c r="AX10" s="3"/>
      <c r="AY10" s="82" t="s">
        <v>129</v>
      </c>
      <c r="AZ10" s="30" t="e">
        <f>+AZ8-AZ9</f>
        <v>#REF!</v>
      </c>
      <c r="BA10" s="30" t="e">
        <f t="shared" ref="BA10:BS10" si="8">+BA8-BA9</f>
        <v>#REF!</v>
      </c>
      <c r="BB10" s="30" t="e">
        <f t="shared" si="8"/>
        <v>#REF!</v>
      </c>
      <c r="BC10" s="30" t="e">
        <f t="shared" si="8"/>
        <v>#REF!</v>
      </c>
      <c r="BD10" s="30" t="e">
        <f t="shared" si="8"/>
        <v>#REF!</v>
      </c>
      <c r="BE10" s="30" t="e">
        <f t="shared" si="8"/>
        <v>#REF!</v>
      </c>
      <c r="BF10" s="30" t="e">
        <f t="shared" si="8"/>
        <v>#REF!</v>
      </c>
      <c r="BG10" s="30" t="e">
        <f t="shared" si="8"/>
        <v>#REF!</v>
      </c>
      <c r="BH10" s="30" t="e">
        <f t="shared" si="8"/>
        <v>#REF!</v>
      </c>
      <c r="BI10" s="30" t="e">
        <f t="shared" si="8"/>
        <v>#REF!</v>
      </c>
      <c r="BJ10" s="30" t="e">
        <f t="shared" si="8"/>
        <v>#REF!</v>
      </c>
      <c r="BK10" s="30" t="e">
        <f t="shared" si="8"/>
        <v>#REF!</v>
      </c>
      <c r="BL10" s="30" t="e">
        <f t="shared" si="8"/>
        <v>#REF!</v>
      </c>
      <c r="BM10" s="30" t="e">
        <f t="shared" si="8"/>
        <v>#REF!</v>
      </c>
      <c r="BN10" s="30" t="e">
        <f t="shared" si="8"/>
        <v>#REF!</v>
      </c>
      <c r="BO10" s="30" t="e">
        <f t="shared" si="8"/>
        <v>#REF!</v>
      </c>
      <c r="BP10" s="30" t="e">
        <f t="shared" si="8"/>
        <v>#REF!</v>
      </c>
      <c r="BQ10" s="30" t="e">
        <f t="shared" si="8"/>
        <v>#REF!</v>
      </c>
      <c r="BR10" s="30" t="e">
        <f t="shared" si="8"/>
        <v>#REF!</v>
      </c>
      <c r="BS10" s="30" t="e">
        <f t="shared" si="8"/>
        <v>#REF!</v>
      </c>
    </row>
    <row r="11" spans="1:71" ht="20.100000000000001" customHeight="1" x14ac:dyDescent="0.25">
      <c r="B11" s="41" t="s">
        <v>4</v>
      </c>
      <c r="C11" s="103" t="e">
        <f t="shared" ref="C11:K11" si="9">SUM(C7:C10)</f>
        <v>#REF!</v>
      </c>
      <c r="D11" s="41" t="e">
        <f t="shared" si="9"/>
        <v>#REF!</v>
      </c>
      <c r="E11" s="41" t="e">
        <f t="shared" si="9"/>
        <v>#REF!</v>
      </c>
      <c r="F11" s="41" t="e">
        <f t="shared" si="9"/>
        <v>#REF!</v>
      </c>
      <c r="G11" s="41" t="e">
        <f t="shared" si="9"/>
        <v>#REF!</v>
      </c>
      <c r="H11" s="41" t="e">
        <f t="shared" si="9"/>
        <v>#REF!</v>
      </c>
      <c r="I11" s="41" t="e">
        <f t="shared" si="9"/>
        <v>#REF!</v>
      </c>
      <c r="J11" s="41">
        <f t="shared" si="9"/>
        <v>0</v>
      </c>
      <c r="K11" s="41" t="e">
        <f t="shared" si="9"/>
        <v>#REF!</v>
      </c>
      <c r="M11" t="e">
        <f>+K11+H11</f>
        <v>#REF!</v>
      </c>
      <c r="V11" s="43">
        <f>30*1.12*1.04%</f>
        <v>0.34943999999999997</v>
      </c>
      <c r="W11" s="39" t="s">
        <v>149</v>
      </c>
      <c r="X11" s="39" t="e">
        <f t="shared" ref="X11:AS11" si="10">IF(X10&gt;0,X10*$V$11,0)*$V$12</f>
        <v>#REF!</v>
      </c>
      <c r="Y11" s="39" t="e">
        <f t="shared" si="10"/>
        <v>#REF!</v>
      </c>
      <c r="Z11" s="39" t="e">
        <f t="shared" si="10"/>
        <v>#REF!</v>
      </c>
      <c r="AA11" s="39" t="e">
        <f>IF(AA10&gt;0,AA10*$V$11,0)*$V$12</f>
        <v>#REF!</v>
      </c>
      <c r="AB11" s="39" t="e">
        <f t="shared" si="10"/>
        <v>#REF!</v>
      </c>
      <c r="AC11" s="39" t="e">
        <f t="shared" si="10"/>
        <v>#REF!</v>
      </c>
      <c r="AD11" s="39" t="e">
        <f t="shared" si="10"/>
        <v>#REF!</v>
      </c>
      <c r="AE11" s="39" t="e">
        <f t="shared" si="10"/>
        <v>#REF!</v>
      </c>
      <c r="AF11" s="39" t="e">
        <f t="shared" si="10"/>
        <v>#REF!</v>
      </c>
      <c r="AG11" s="39" t="e">
        <f t="shared" si="10"/>
        <v>#REF!</v>
      </c>
      <c r="AH11" s="39" t="e">
        <f t="shared" si="10"/>
        <v>#REF!</v>
      </c>
      <c r="AI11" s="39" t="e">
        <f t="shared" si="10"/>
        <v>#REF!</v>
      </c>
      <c r="AJ11" s="39" t="e">
        <f t="shared" si="10"/>
        <v>#REF!</v>
      </c>
      <c r="AK11" s="39" t="e">
        <f t="shared" si="10"/>
        <v>#REF!</v>
      </c>
      <c r="AL11" s="39" t="e">
        <f t="shared" si="10"/>
        <v>#REF!</v>
      </c>
      <c r="AM11" s="39" t="e">
        <f t="shared" si="10"/>
        <v>#REF!</v>
      </c>
      <c r="AN11" s="39" t="e">
        <f t="shared" si="10"/>
        <v>#REF!</v>
      </c>
      <c r="AO11" s="39" t="e">
        <f t="shared" si="10"/>
        <v>#REF!</v>
      </c>
      <c r="AP11" s="39" t="e">
        <f t="shared" si="10"/>
        <v>#REF!</v>
      </c>
      <c r="AQ11" s="39" t="e">
        <f t="shared" si="10"/>
        <v>#REF!</v>
      </c>
      <c r="AR11" s="39" t="e">
        <f t="shared" si="10"/>
        <v>#REF!</v>
      </c>
      <c r="AS11" s="39" t="e">
        <f t="shared" si="10"/>
        <v>#REF!</v>
      </c>
      <c r="AT11" s="39" t="e">
        <f t="shared" ref="AT11" si="11">IF(AT10&gt;0,AT10*$V$11,0)*$V$12</f>
        <v>#REF!</v>
      </c>
      <c r="AU11" s="23"/>
      <c r="AX11" s="3"/>
      <c r="AY11" s="82"/>
      <c r="AZ11" s="30"/>
      <c r="BA11" s="30"/>
      <c r="BB11" s="30"/>
      <c r="BC11" s="30"/>
      <c r="BD11" s="30"/>
      <c r="BE11" s="30"/>
      <c r="BF11" s="30"/>
      <c r="BG11" s="30"/>
      <c r="BH11" s="30"/>
      <c r="BI11" s="30"/>
      <c r="BJ11" s="86"/>
      <c r="BK11" s="86"/>
      <c r="BL11" s="86"/>
      <c r="BM11" s="86"/>
      <c r="BN11" s="86"/>
      <c r="BO11" s="82"/>
      <c r="BP11" s="82"/>
      <c r="BQ11" s="82"/>
      <c r="BR11" s="82"/>
      <c r="BS11" s="82"/>
    </row>
    <row r="12" spans="1:71" ht="20.100000000000001" customHeight="1" x14ac:dyDescent="0.25">
      <c r="B12" s="110" t="s">
        <v>235</v>
      </c>
      <c r="C12" t="e">
        <f>#REF!</f>
        <v>#REF!</v>
      </c>
      <c r="V12" s="10">
        <v>1</v>
      </c>
      <c r="W12" s="3"/>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23"/>
      <c r="AX12" s="3"/>
      <c r="AY12" s="82" t="s">
        <v>130</v>
      </c>
      <c r="AZ12" s="30" t="e">
        <f>D17*0.95</f>
        <v>#REF!</v>
      </c>
      <c r="BA12" s="30"/>
      <c r="BB12" s="30"/>
      <c r="BC12" s="84"/>
      <c r="BD12" s="84"/>
      <c r="BE12" s="84"/>
      <c r="BF12" s="30" t="e">
        <f>SUM(AZ9:BS9)</f>
        <v>#REF!</v>
      </c>
      <c r="BG12" s="84"/>
      <c r="BH12" s="84"/>
      <c r="BI12" s="84"/>
      <c r="BJ12" s="82"/>
      <c r="BK12" s="82"/>
      <c r="BL12" s="82"/>
      <c r="BM12" s="82"/>
      <c r="BN12" s="82"/>
      <c r="BO12" s="82"/>
      <c r="BP12" s="82"/>
      <c r="BQ12" s="82"/>
      <c r="BR12" s="82"/>
      <c r="BS12" s="82"/>
    </row>
    <row r="13" spans="1:71" ht="20.100000000000001" customHeight="1" x14ac:dyDescent="0.25">
      <c r="B13" s="26"/>
      <c r="C13" s="44"/>
      <c r="D13" s="44"/>
      <c r="E13" s="44"/>
      <c r="F13" s="44"/>
      <c r="G13" s="44"/>
      <c r="H13" s="44"/>
      <c r="I13" s="26"/>
      <c r="J13" s="11"/>
      <c r="K13" s="11"/>
      <c r="M13" t="e">
        <f>M11-C12</f>
        <v>#REF!</v>
      </c>
      <c r="V13" s="10"/>
      <c r="W13" s="39" t="s">
        <v>79</v>
      </c>
      <c r="X13" s="39" t="e">
        <f>+X10-X11</f>
        <v>#REF!</v>
      </c>
      <c r="Y13" s="39" t="e">
        <f>+Y10-Y11</f>
        <v>#REF!</v>
      </c>
      <c r="Z13" s="39" t="e">
        <f t="shared" ref="Z13:AS13" si="12">+Z10-Z11</f>
        <v>#REF!</v>
      </c>
      <c r="AA13" s="39" t="e">
        <f t="shared" si="12"/>
        <v>#REF!</v>
      </c>
      <c r="AB13" s="39" t="e">
        <f t="shared" si="12"/>
        <v>#REF!</v>
      </c>
      <c r="AC13" s="39" t="e">
        <f t="shared" si="12"/>
        <v>#REF!</v>
      </c>
      <c r="AD13" s="39" t="e">
        <f t="shared" si="12"/>
        <v>#REF!</v>
      </c>
      <c r="AE13" s="39" t="e">
        <f t="shared" si="12"/>
        <v>#REF!</v>
      </c>
      <c r="AF13" s="39" t="e">
        <f t="shared" si="12"/>
        <v>#REF!</v>
      </c>
      <c r="AG13" s="39" t="e">
        <f t="shared" si="12"/>
        <v>#REF!</v>
      </c>
      <c r="AH13" s="39" t="e">
        <f t="shared" si="12"/>
        <v>#REF!</v>
      </c>
      <c r="AI13" s="39" t="e">
        <f t="shared" si="12"/>
        <v>#REF!</v>
      </c>
      <c r="AJ13" s="39" t="e">
        <f t="shared" si="12"/>
        <v>#REF!</v>
      </c>
      <c r="AK13" s="39" t="e">
        <f t="shared" si="12"/>
        <v>#REF!</v>
      </c>
      <c r="AL13" s="39" t="e">
        <f t="shared" si="12"/>
        <v>#REF!</v>
      </c>
      <c r="AM13" s="39" t="e">
        <f t="shared" si="12"/>
        <v>#REF!</v>
      </c>
      <c r="AN13" s="39" t="e">
        <f t="shared" si="12"/>
        <v>#REF!</v>
      </c>
      <c r="AO13" s="39" t="e">
        <f t="shared" si="12"/>
        <v>#REF!</v>
      </c>
      <c r="AP13" s="39" t="e">
        <f t="shared" si="12"/>
        <v>#REF!</v>
      </c>
      <c r="AQ13" s="39" t="e">
        <f t="shared" si="12"/>
        <v>#REF!</v>
      </c>
      <c r="AR13" s="39" t="e">
        <f t="shared" si="12"/>
        <v>#REF!</v>
      </c>
      <c r="AS13" s="39" t="e">
        <f t="shared" si="12"/>
        <v>#REF!</v>
      </c>
      <c r="AT13" s="39" t="e">
        <f t="shared" ref="AT13" si="13">+AT10-AT11</f>
        <v>#REF!</v>
      </c>
      <c r="AU13" s="23"/>
      <c r="AX13" s="3"/>
      <c r="AY13" s="30"/>
      <c r="AZ13" s="30"/>
      <c r="BA13" s="30"/>
      <c r="BB13" s="30"/>
      <c r="BC13" s="30"/>
      <c r="BD13" s="30"/>
      <c r="BE13" s="30"/>
      <c r="BF13" s="30"/>
      <c r="BG13" s="30"/>
      <c r="BH13" s="82"/>
      <c r="BI13" s="82"/>
      <c r="BJ13" s="82"/>
      <c r="BK13" s="82"/>
      <c r="BL13" s="82"/>
      <c r="BM13" s="82"/>
      <c r="BN13" s="82"/>
      <c r="BO13" s="82"/>
      <c r="BP13" s="82"/>
      <c r="BQ13" s="82"/>
      <c r="BR13" s="82"/>
      <c r="BS13" s="82"/>
    </row>
    <row r="14" spans="1:71" ht="20.100000000000001" customHeight="1" x14ac:dyDescent="0.25">
      <c r="B14" t="s">
        <v>123</v>
      </c>
      <c r="C14" t="s">
        <v>124</v>
      </c>
      <c r="D14" t="e">
        <f>GM!F40</f>
        <v>#REF!</v>
      </c>
      <c r="V14" s="10"/>
      <c r="W14" s="45" t="s">
        <v>80</v>
      </c>
      <c r="X14" s="45"/>
      <c r="Y14" s="45" t="e">
        <f>+Y13+X14</f>
        <v>#REF!</v>
      </c>
      <c r="Z14" s="45" t="e">
        <f>+Z13+Y14</f>
        <v>#REF!</v>
      </c>
      <c r="AA14" s="45" t="e">
        <f t="shared" ref="AA14:AR14" si="14">+AA13+Z14</f>
        <v>#REF!</v>
      </c>
      <c r="AB14" s="45" t="e">
        <f t="shared" si="14"/>
        <v>#REF!</v>
      </c>
      <c r="AC14" s="45" t="e">
        <f t="shared" si="14"/>
        <v>#REF!</v>
      </c>
      <c r="AD14" s="45" t="e">
        <f t="shared" si="14"/>
        <v>#REF!</v>
      </c>
      <c r="AE14" s="45" t="e">
        <f t="shared" si="14"/>
        <v>#REF!</v>
      </c>
      <c r="AF14" s="45" t="e">
        <f t="shared" si="14"/>
        <v>#REF!</v>
      </c>
      <c r="AG14" s="45" t="e">
        <f t="shared" si="14"/>
        <v>#REF!</v>
      </c>
      <c r="AH14" s="45" t="e">
        <f t="shared" si="14"/>
        <v>#REF!</v>
      </c>
      <c r="AI14" s="45" t="e">
        <f t="shared" si="14"/>
        <v>#REF!</v>
      </c>
      <c r="AJ14" s="45" t="e">
        <f t="shared" si="14"/>
        <v>#REF!</v>
      </c>
      <c r="AK14" s="45" t="e">
        <f t="shared" si="14"/>
        <v>#REF!</v>
      </c>
      <c r="AL14" s="45" t="e">
        <f t="shared" si="14"/>
        <v>#REF!</v>
      </c>
      <c r="AM14" s="45" t="e">
        <f t="shared" si="14"/>
        <v>#REF!</v>
      </c>
      <c r="AN14" s="45" t="e">
        <f t="shared" si="14"/>
        <v>#REF!</v>
      </c>
      <c r="AO14" s="45" t="e">
        <f t="shared" si="14"/>
        <v>#REF!</v>
      </c>
      <c r="AP14" s="45" t="e">
        <f t="shared" si="14"/>
        <v>#REF!</v>
      </c>
      <c r="AQ14" s="45" t="e">
        <f t="shared" si="14"/>
        <v>#REF!</v>
      </c>
      <c r="AR14" s="45" t="e">
        <f t="shared" si="14"/>
        <v>#REF!</v>
      </c>
      <c r="AS14" s="45" t="e">
        <f>+AS13+AR14</f>
        <v>#REF!</v>
      </c>
      <c r="AT14" s="45" t="e">
        <f>+AT13+AS14</f>
        <v>#REF!</v>
      </c>
      <c r="AU14" s="23"/>
      <c r="AX14" s="3"/>
      <c r="AY14" s="30"/>
      <c r="AZ14" s="30"/>
      <c r="BA14" s="30"/>
      <c r="BB14" s="30"/>
      <c r="BC14" s="30"/>
      <c r="BD14" s="30"/>
      <c r="BE14" s="30"/>
      <c r="BF14" s="30"/>
      <c r="BG14" s="30"/>
    </row>
    <row r="15" spans="1:71" ht="20.100000000000001" customHeight="1" x14ac:dyDescent="0.25">
      <c r="B15" t="s">
        <v>112</v>
      </c>
      <c r="C15" t="s">
        <v>124</v>
      </c>
      <c r="D15" t="e">
        <f>G11</f>
        <v>#REF!</v>
      </c>
      <c r="F15" s="9"/>
      <c r="H15" s="935"/>
      <c r="I15" s="935"/>
      <c r="V15" s="10"/>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23"/>
      <c r="AX15" s="3"/>
      <c r="AY15" s="30"/>
      <c r="AZ15" s="30"/>
      <c r="BA15" s="30"/>
      <c r="BB15" s="30"/>
      <c r="BC15" s="30"/>
      <c r="BD15" s="30"/>
      <c r="BE15" s="30"/>
      <c r="BF15" s="30"/>
      <c r="BG15" s="30"/>
    </row>
    <row r="16" spans="1:71" ht="20.100000000000001" customHeight="1" x14ac:dyDescent="0.25">
      <c r="B16" s="110" t="s">
        <v>235</v>
      </c>
      <c r="C16" s="7" t="s">
        <v>124</v>
      </c>
      <c r="D16" s="79" t="e">
        <f>C12</f>
        <v>#REF!</v>
      </c>
      <c r="F16" s="67"/>
      <c r="H16" s="9"/>
      <c r="I16" s="9"/>
      <c r="V16" s="10"/>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23"/>
      <c r="AX16" s="3"/>
      <c r="AY16" s="30"/>
      <c r="AZ16" s="30"/>
      <c r="BA16" s="30"/>
      <c r="BB16" s="30"/>
      <c r="BC16" s="30"/>
      <c r="BD16" s="30"/>
      <c r="BE16" s="30"/>
      <c r="BF16" s="30"/>
      <c r="BG16" s="30"/>
    </row>
    <row r="17" spans="1:59" ht="20.100000000000001" customHeight="1" x14ac:dyDescent="0.25">
      <c r="B17" t="s">
        <v>237</v>
      </c>
      <c r="D17" t="e">
        <f>+D15-D16</f>
        <v>#REF!</v>
      </c>
      <c r="E17" s="26"/>
      <c r="F17" s="26"/>
      <c r="G17" s="26"/>
      <c r="H17" s="26"/>
      <c r="I17" s="26"/>
      <c r="V17" s="10"/>
      <c r="W17" s="3"/>
      <c r="X17" s="3"/>
      <c r="Y17" s="39"/>
      <c r="Z17" s="42" t="s">
        <v>82</v>
      </c>
      <c r="AA17" s="46"/>
      <c r="AB17" s="3"/>
      <c r="AC17" s="3"/>
      <c r="AD17" s="3"/>
      <c r="AE17" s="3"/>
      <c r="AF17" s="3"/>
      <c r="AG17" s="3"/>
      <c r="AH17" s="3"/>
      <c r="AI17" s="3"/>
      <c r="AJ17" s="3"/>
      <c r="AK17" s="3"/>
      <c r="AL17" s="3"/>
      <c r="AM17" s="3"/>
      <c r="AN17" s="3"/>
      <c r="AO17" s="3"/>
      <c r="AP17" s="3"/>
      <c r="AQ17" s="3"/>
      <c r="AR17" s="3"/>
      <c r="AS17" s="4"/>
      <c r="AT17" s="4"/>
      <c r="AU17" s="10"/>
      <c r="AX17" s="3"/>
      <c r="AY17" s="30"/>
      <c r="AZ17" s="30"/>
      <c r="BA17" s="30"/>
      <c r="BB17" s="30"/>
      <c r="BC17" s="30"/>
      <c r="BD17" s="30"/>
      <c r="BE17" s="3"/>
      <c r="BF17" s="3"/>
      <c r="BG17" s="3"/>
    </row>
    <row r="18" spans="1:59" ht="20.100000000000001" customHeight="1" x14ac:dyDescent="0.25">
      <c r="V18" s="10"/>
      <c r="W18" s="47" t="s">
        <v>83</v>
      </c>
      <c r="X18" s="39"/>
      <c r="Y18" s="39"/>
      <c r="Z18" s="39"/>
      <c r="AA18" s="48"/>
      <c r="AB18" s="39"/>
      <c r="AC18" s="39"/>
      <c r="AD18" s="39"/>
      <c r="AE18" s="39"/>
      <c r="AF18" s="39"/>
      <c r="AG18" s="39"/>
      <c r="AH18" s="39"/>
      <c r="AI18" s="39"/>
      <c r="AJ18" s="39"/>
      <c r="AK18" s="39"/>
      <c r="AL18" s="39"/>
      <c r="AM18" s="3"/>
      <c r="AN18" s="3"/>
      <c r="AO18" s="3"/>
      <c r="AP18" s="3"/>
      <c r="AQ18" s="3"/>
      <c r="AR18" s="3"/>
      <c r="AS18" s="3"/>
      <c r="AT18" s="3"/>
      <c r="AU18" s="10"/>
      <c r="AX18" s="3"/>
      <c r="AY18" s="30"/>
      <c r="AZ18" s="30"/>
      <c r="BA18" s="30"/>
      <c r="BB18" s="30"/>
      <c r="BC18" s="30"/>
      <c r="BD18" s="30"/>
      <c r="BE18" s="30"/>
      <c r="BF18" s="30"/>
      <c r="BG18" s="30"/>
    </row>
    <row r="19" spans="1:59" ht="20.100000000000001" customHeight="1" x14ac:dyDescent="0.25">
      <c r="B19" s="9"/>
      <c r="V19" s="10"/>
      <c r="W19" s="49" t="s">
        <v>84</v>
      </c>
      <c r="X19" s="50" t="str">
        <f t="shared" ref="X19:AS19" si="15">+X5</f>
        <v>Yr 1</v>
      </c>
      <c r="Y19" s="50" t="str">
        <f t="shared" si="15"/>
        <v>Yr 2</v>
      </c>
      <c r="Z19" s="50" t="str">
        <f t="shared" si="15"/>
        <v>Yr 3</v>
      </c>
      <c r="AA19" s="50" t="str">
        <f t="shared" si="15"/>
        <v>Yr 4</v>
      </c>
      <c r="AB19" s="50" t="str">
        <f t="shared" si="15"/>
        <v>Yr 5</v>
      </c>
      <c r="AC19" s="50" t="str">
        <f t="shared" si="15"/>
        <v>Yr 6</v>
      </c>
      <c r="AD19" s="50" t="str">
        <f t="shared" si="15"/>
        <v>Yr 7</v>
      </c>
      <c r="AE19" s="50" t="str">
        <f t="shared" si="15"/>
        <v>Yr 8</v>
      </c>
      <c r="AF19" s="50" t="str">
        <f t="shared" si="15"/>
        <v>Yr 9</v>
      </c>
      <c r="AG19" s="50" t="str">
        <f t="shared" si="15"/>
        <v>Yr 10</v>
      </c>
      <c r="AH19" s="50" t="str">
        <f t="shared" si="15"/>
        <v>Yr 11</v>
      </c>
      <c r="AI19" s="50" t="str">
        <f t="shared" si="15"/>
        <v>Yr 12</v>
      </c>
      <c r="AJ19" s="50" t="str">
        <f t="shared" si="15"/>
        <v>Yr 13</v>
      </c>
      <c r="AK19" s="50" t="str">
        <f t="shared" si="15"/>
        <v>Yr 14</v>
      </c>
      <c r="AL19" s="50" t="str">
        <f t="shared" si="15"/>
        <v>Yr 15</v>
      </c>
      <c r="AM19" s="50" t="str">
        <f t="shared" si="15"/>
        <v>Yr 16</v>
      </c>
      <c r="AN19" s="50" t="str">
        <f t="shared" si="15"/>
        <v>Yr 17</v>
      </c>
      <c r="AO19" s="50" t="str">
        <f t="shared" si="15"/>
        <v>Yr 18</v>
      </c>
      <c r="AP19" s="50" t="str">
        <f t="shared" si="15"/>
        <v>Yr 19</v>
      </c>
      <c r="AQ19" s="50" t="str">
        <f t="shared" si="15"/>
        <v>Yr 20</v>
      </c>
      <c r="AR19" s="50" t="str">
        <f t="shared" si="15"/>
        <v>Yr 21</v>
      </c>
      <c r="AS19" s="51" t="str">
        <f t="shared" si="15"/>
        <v>Yr 22</v>
      </c>
      <c r="AT19" s="51" t="str">
        <f t="shared" ref="AT19" si="16">+AT5</f>
        <v>Yr 23</v>
      </c>
      <c r="AU19" s="52"/>
    </row>
    <row r="20" spans="1:59" ht="20.100000000000001" customHeight="1" x14ac:dyDescent="0.25">
      <c r="B20" s="9"/>
      <c r="V20" s="10"/>
      <c r="W20" s="39" t="s">
        <v>85</v>
      </c>
      <c r="X20" s="39" t="e">
        <f t="shared" ref="X20:AS20" si="17">+X7</f>
        <v>#REF!</v>
      </c>
      <c r="Y20" s="39" t="e">
        <f t="shared" si="17"/>
        <v>#REF!</v>
      </c>
      <c r="Z20" s="39" t="e">
        <f t="shared" si="17"/>
        <v>#REF!</v>
      </c>
      <c r="AA20" s="39" t="e">
        <f t="shared" si="17"/>
        <v>#REF!</v>
      </c>
      <c r="AB20" s="39" t="e">
        <f t="shared" si="17"/>
        <v>#REF!</v>
      </c>
      <c r="AC20" s="39" t="e">
        <f t="shared" si="17"/>
        <v>#REF!</v>
      </c>
      <c r="AD20" s="39" t="e">
        <f t="shared" si="17"/>
        <v>#REF!</v>
      </c>
      <c r="AE20" s="39" t="e">
        <f t="shared" si="17"/>
        <v>#REF!</v>
      </c>
      <c r="AF20" s="39" t="e">
        <f t="shared" si="17"/>
        <v>#REF!</v>
      </c>
      <c r="AG20" s="39" t="e">
        <f t="shared" si="17"/>
        <v>#REF!</v>
      </c>
      <c r="AH20" s="39" t="e">
        <f t="shared" si="17"/>
        <v>#REF!</v>
      </c>
      <c r="AI20" s="39" t="e">
        <f t="shared" si="17"/>
        <v>#REF!</v>
      </c>
      <c r="AJ20" s="39" t="e">
        <f t="shared" si="17"/>
        <v>#REF!</v>
      </c>
      <c r="AK20" s="39" t="e">
        <f t="shared" si="17"/>
        <v>#REF!</v>
      </c>
      <c r="AL20" s="39" t="e">
        <f t="shared" si="17"/>
        <v>#REF!</v>
      </c>
      <c r="AM20" s="39" t="e">
        <f t="shared" si="17"/>
        <v>#REF!</v>
      </c>
      <c r="AN20" s="39" t="e">
        <f t="shared" si="17"/>
        <v>#REF!</v>
      </c>
      <c r="AO20" s="39" t="e">
        <f t="shared" si="17"/>
        <v>#REF!</v>
      </c>
      <c r="AP20" s="39" t="e">
        <f t="shared" si="17"/>
        <v>#REF!</v>
      </c>
      <c r="AQ20" s="39" t="e">
        <f t="shared" si="17"/>
        <v>#REF!</v>
      </c>
      <c r="AR20" s="39" t="e">
        <f t="shared" si="17"/>
        <v>#REF!</v>
      </c>
      <c r="AS20" s="39" t="e">
        <f t="shared" si="17"/>
        <v>#REF!</v>
      </c>
      <c r="AT20" s="39" t="e">
        <f t="shared" ref="AT20" si="18">+AT7</f>
        <v>#REF!</v>
      </c>
      <c r="AU20" s="23"/>
    </row>
    <row r="21" spans="1:59" ht="20.100000000000001" customHeight="1" x14ac:dyDescent="0.25">
      <c r="B21" s="9"/>
      <c r="V21" s="10" t="e">
        <f>SUM(X21:AA21)</f>
        <v>#REF!</v>
      </c>
      <c r="W21" s="39" t="s">
        <v>86</v>
      </c>
      <c r="X21" s="39" t="e">
        <f>H7</f>
        <v>#REF!</v>
      </c>
      <c r="Y21" s="39" t="e">
        <f>H8</f>
        <v>#REF!</v>
      </c>
      <c r="Z21" s="39" t="e">
        <f>H9+H10</f>
        <v>#REF!</v>
      </c>
      <c r="AA21" s="39"/>
      <c r="AB21" s="39">
        <v>0</v>
      </c>
      <c r="AC21" s="39">
        <v>0</v>
      </c>
      <c r="AD21" s="39">
        <v>0</v>
      </c>
      <c r="AE21" s="39">
        <v>0</v>
      </c>
      <c r="AF21" s="39">
        <v>0</v>
      </c>
      <c r="AG21" s="39">
        <v>0</v>
      </c>
      <c r="AH21" s="39">
        <v>0</v>
      </c>
      <c r="AI21" s="39">
        <v>0</v>
      </c>
      <c r="AJ21" s="39">
        <v>0</v>
      </c>
      <c r="AK21" s="39">
        <v>0</v>
      </c>
      <c r="AL21" s="39">
        <v>0</v>
      </c>
      <c r="AM21" s="39">
        <v>0</v>
      </c>
      <c r="AN21" s="39">
        <v>0</v>
      </c>
      <c r="AO21" s="39">
        <v>0</v>
      </c>
      <c r="AP21" s="39">
        <v>0</v>
      </c>
      <c r="AQ21" s="39">
        <v>0</v>
      </c>
      <c r="AR21" s="39">
        <v>0</v>
      </c>
      <c r="AS21" s="39">
        <v>0</v>
      </c>
      <c r="AT21" s="39">
        <v>0</v>
      </c>
      <c r="AU21" s="23"/>
    </row>
    <row r="22" spans="1:59" ht="20.100000000000001" customHeight="1" x14ac:dyDescent="0.25">
      <c r="V22" s="10" t="e">
        <f>SUM(X22:AA22)</f>
        <v>#REF!</v>
      </c>
      <c r="W22" s="39" t="s">
        <v>133</v>
      </c>
      <c r="X22" s="39" t="e">
        <f>I7</f>
        <v>#REF!</v>
      </c>
      <c r="Y22" s="39" t="e">
        <f>I8+I10</f>
        <v>#REF!</v>
      </c>
      <c r="Z22" s="39" t="e">
        <f>(I9+I10)*0</f>
        <v>#REF!</v>
      </c>
      <c r="AA22" s="39"/>
      <c r="AB22" s="39">
        <v>0</v>
      </c>
      <c r="AC22" s="39">
        <v>0</v>
      </c>
      <c r="AD22" s="39">
        <v>0</v>
      </c>
      <c r="AE22" s="39">
        <v>0</v>
      </c>
      <c r="AF22" s="39">
        <v>0</v>
      </c>
      <c r="AG22" s="39">
        <v>0</v>
      </c>
      <c r="AH22" s="39">
        <v>0</v>
      </c>
      <c r="AI22" s="39">
        <v>0</v>
      </c>
      <c r="AJ22" s="39">
        <v>0</v>
      </c>
      <c r="AK22" s="39">
        <v>0</v>
      </c>
      <c r="AL22" s="39">
        <v>0</v>
      </c>
      <c r="AM22" s="39">
        <v>0</v>
      </c>
      <c r="AN22" s="39">
        <v>0</v>
      </c>
      <c r="AO22" s="39">
        <v>0</v>
      </c>
      <c r="AP22" s="39">
        <v>0</v>
      </c>
      <c r="AQ22" s="39">
        <v>0</v>
      </c>
      <c r="AR22" s="39">
        <v>0</v>
      </c>
      <c r="AS22" s="39">
        <v>0</v>
      </c>
      <c r="AT22" s="39">
        <v>0</v>
      </c>
      <c r="AU22" s="23"/>
    </row>
    <row r="23" spans="1:59" ht="20.100000000000001" customHeight="1" x14ac:dyDescent="0.25">
      <c r="E23" s="26"/>
      <c r="F23" s="26"/>
      <c r="G23" s="26"/>
      <c r="H23" s="26"/>
      <c r="I23" s="26"/>
      <c r="V23" s="53" t="e">
        <f>+V22+V21</f>
        <v>#REF!</v>
      </c>
      <c r="W23" s="35" t="s">
        <v>4</v>
      </c>
      <c r="X23" s="35" t="e">
        <f>SUM(X20:X22)</f>
        <v>#REF!</v>
      </c>
      <c r="Y23" s="35" t="e">
        <f t="shared" ref="Y23:AS23" si="19">SUM(Y20:Y22)</f>
        <v>#REF!</v>
      </c>
      <c r="Z23" s="35" t="e">
        <f t="shared" si="19"/>
        <v>#REF!</v>
      </c>
      <c r="AA23" s="35" t="e">
        <f t="shared" si="19"/>
        <v>#REF!</v>
      </c>
      <c r="AB23" s="35" t="e">
        <f t="shared" si="19"/>
        <v>#REF!</v>
      </c>
      <c r="AC23" s="35" t="e">
        <f t="shared" si="19"/>
        <v>#REF!</v>
      </c>
      <c r="AD23" s="35" t="e">
        <f t="shared" si="19"/>
        <v>#REF!</v>
      </c>
      <c r="AE23" s="35" t="e">
        <f t="shared" si="19"/>
        <v>#REF!</v>
      </c>
      <c r="AF23" s="35" t="e">
        <f t="shared" si="19"/>
        <v>#REF!</v>
      </c>
      <c r="AG23" s="35" t="e">
        <f t="shared" si="19"/>
        <v>#REF!</v>
      </c>
      <c r="AH23" s="35" t="e">
        <f t="shared" si="19"/>
        <v>#REF!</v>
      </c>
      <c r="AI23" s="35" t="e">
        <f t="shared" si="19"/>
        <v>#REF!</v>
      </c>
      <c r="AJ23" s="35" t="e">
        <f t="shared" si="19"/>
        <v>#REF!</v>
      </c>
      <c r="AK23" s="35" t="e">
        <f t="shared" si="19"/>
        <v>#REF!</v>
      </c>
      <c r="AL23" s="35" t="e">
        <f t="shared" si="19"/>
        <v>#REF!</v>
      </c>
      <c r="AM23" s="35" t="e">
        <f t="shared" si="19"/>
        <v>#REF!</v>
      </c>
      <c r="AN23" s="35" t="e">
        <f t="shared" si="19"/>
        <v>#REF!</v>
      </c>
      <c r="AO23" s="35" t="e">
        <f t="shared" si="19"/>
        <v>#REF!</v>
      </c>
      <c r="AP23" s="35" t="e">
        <f t="shared" si="19"/>
        <v>#REF!</v>
      </c>
      <c r="AQ23" s="35" t="e">
        <f t="shared" si="19"/>
        <v>#REF!</v>
      </c>
      <c r="AR23" s="35" t="e">
        <f t="shared" si="19"/>
        <v>#REF!</v>
      </c>
      <c r="AS23" s="35" t="e">
        <f t="shared" si="19"/>
        <v>#REF!</v>
      </c>
      <c r="AT23" s="35" t="e">
        <f t="shared" ref="AT23" si="20">SUM(AT20:AT22)</f>
        <v>#REF!</v>
      </c>
      <c r="AU23" s="23"/>
    </row>
    <row r="24" spans="1:59" ht="20.100000000000001" customHeight="1" x14ac:dyDescent="0.25">
      <c r="V24" s="10"/>
      <c r="W24" s="3"/>
      <c r="X24" s="3"/>
      <c r="Y24" s="3"/>
      <c r="Z24" s="3"/>
      <c r="AA24" s="3"/>
      <c r="AB24" s="3"/>
      <c r="AC24" s="3"/>
      <c r="AD24" s="3"/>
      <c r="AE24" s="3"/>
      <c r="AF24" s="3"/>
      <c r="AG24" s="3"/>
      <c r="AH24" s="3"/>
      <c r="AI24" s="3"/>
      <c r="AJ24" s="3"/>
      <c r="AK24" s="3"/>
      <c r="AL24" s="3"/>
      <c r="AM24" s="3"/>
      <c r="AN24" s="3"/>
      <c r="AO24" s="3"/>
      <c r="AP24" s="3"/>
      <c r="AQ24" s="3"/>
      <c r="AR24" s="3"/>
      <c r="AS24" s="3"/>
      <c r="AT24" s="3"/>
      <c r="AU24" s="10"/>
    </row>
    <row r="25" spans="1:59" ht="20.100000000000001" customHeight="1" x14ac:dyDescent="0.25">
      <c r="D25" s="9" t="s">
        <v>138</v>
      </c>
      <c r="E25" s="9" t="s">
        <v>102</v>
      </c>
      <c r="F25" s="9" t="s">
        <v>104</v>
      </c>
      <c r="G25" s="9" t="s">
        <v>211</v>
      </c>
      <c r="H25" s="9" t="s">
        <v>212</v>
      </c>
      <c r="I25" s="9" t="s">
        <v>211</v>
      </c>
      <c r="V25" s="10"/>
      <c r="W25" s="39" t="s">
        <v>87</v>
      </c>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23"/>
    </row>
    <row r="26" spans="1:59" ht="20.100000000000001" customHeight="1" x14ac:dyDescent="0.25">
      <c r="D26">
        <v>1</v>
      </c>
      <c r="E26" t="e">
        <f>C7</f>
        <v>#REF!</v>
      </c>
      <c r="G26" s="114" t="e">
        <f>F26-E26</f>
        <v>#REF!</v>
      </c>
      <c r="H26" t="e">
        <f>$X$11</f>
        <v>#REF!</v>
      </c>
      <c r="I26" t="e">
        <f>G26-H26</f>
        <v>#REF!</v>
      </c>
      <c r="V26" s="10"/>
      <c r="W26" s="39" t="s">
        <v>88</v>
      </c>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23"/>
    </row>
    <row r="27" spans="1:59" ht="20.100000000000001" customHeight="1" x14ac:dyDescent="0.25">
      <c r="A27" s="34"/>
      <c r="D27">
        <f t="shared" ref="D27:D48" si="21">D26+1</f>
        <v>2</v>
      </c>
      <c r="E27" t="e">
        <f>C8+C10</f>
        <v>#REF!</v>
      </c>
      <c r="F27" t="e">
        <f>D14*0.6*8/12+D16/2</f>
        <v>#REF!</v>
      </c>
      <c r="G27" s="114" t="e">
        <f t="shared" ref="G27:G48" si="22">F27-E27</f>
        <v>#REF!</v>
      </c>
      <c r="H27" t="e">
        <f>$Y$11</f>
        <v>#REF!</v>
      </c>
      <c r="I27" t="e">
        <f t="shared" ref="I27:I48" si="23">G27-H27</f>
        <v>#REF!</v>
      </c>
      <c r="V27" s="10"/>
      <c r="W27" s="39" t="s">
        <v>89</v>
      </c>
      <c r="X27" s="39" t="e">
        <f t="shared" ref="X27:AA28" si="24">+X21</f>
        <v>#REF!</v>
      </c>
      <c r="Y27" s="39" t="e">
        <f t="shared" si="24"/>
        <v>#REF!</v>
      </c>
      <c r="Z27" s="39" t="e">
        <f t="shared" si="24"/>
        <v>#REF!</v>
      </c>
      <c r="AA27" s="39">
        <f t="shared" si="24"/>
        <v>0</v>
      </c>
      <c r="AB27" s="39">
        <v>0</v>
      </c>
      <c r="AC27" s="39">
        <v>0</v>
      </c>
      <c r="AD27" s="39">
        <v>0</v>
      </c>
      <c r="AE27" s="39">
        <v>0</v>
      </c>
      <c r="AF27" s="39">
        <v>0</v>
      </c>
      <c r="AG27" s="39">
        <v>0</v>
      </c>
      <c r="AH27" s="39">
        <v>0</v>
      </c>
      <c r="AI27" s="39">
        <v>0</v>
      </c>
      <c r="AJ27" s="39">
        <v>0</v>
      </c>
      <c r="AK27" s="39">
        <v>0</v>
      </c>
      <c r="AL27" s="39">
        <v>0</v>
      </c>
      <c r="AM27" s="39">
        <v>0</v>
      </c>
      <c r="AN27" s="39">
        <v>0</v>
      </c>
      <c r="AO27" s="39">
        <v>0</v>
      </c>
      <c r="AP27" s="39">
        <v>0</v>
      </c>
      <c r="AQ27" s="39">
        <v>0</v>
      </c>
      <c r="AR27" s="39">
        <v>0</v>
      </c>
      <c r="AS27" s="39">
        <v>0</v>
      </c>
      <c r="AT27" s="39">
        <v>0</v>
      </c>
      <c r="AU27" s="23"/>
    </row>
    <row r="28" spans="1:59" ht="20.100000000000001" customHeight="1" x14ac:dyDescent="0.25">
      <c r="A28" s="34"/>
      <c r="B28" s="1"/>
      <c r="D28">
        <f t="shared" si="21"/>
        <v>3</v>
      </c>
      <c r="F28" t="e">
        <f>Z7+D16/2</f>
        <v>#REF!</v>
      </c>
      <c r="G28" s="114" t="e">
        <f t="shared" si="22"/>
        <v>#REF!</v>
      </c>
      <c r="H28" t="e">
        <f>$Z$11</f>
        <v>#REF!</v>
      </c>
      <c r="I28" t="e">
        <f t="shared" si="23"/>
        <v>#REF!</v>
      </c>
      <c r="V28" s="10"/>
      <c r="W28" s="39" t="s">
        <v>90</v>
      </c>
      <c r="X28" s="39" t="e">
        <f t="shared" si="24"/>
        <v>#REF!</v>
      </c>
      <c r="Y28" s="39" t="e">
        <f t="shared" si="24"/>
        <v>#REF!</v>
      </c>
      <c r="Z28" s="39" t="e">
        <f t="shared" si="24"/>
        <v>#REF!</v>
      </c>
      <c r="AA28" s="39">
        <f t="shared" si="24"/>
        <v>0</v>
      </c>
      <c r="AB28" s="39">
        <v>0</v>
      </c>
      <c r="AC28" s="39">
        <v>0</v>
      </c>
      <c r="AD28" s="39">
        <v>0</v>
      </c>
      <c r="AE28" s="39">
        <v>0</v>
      </c>
      <c r="AF28" s="39">
        <v>0</v>
      </c>
      <c r="AG28" s="39">
        <v>0</v>
      </c>
      <c r="AH28" s="39">
        <v>0</v>
      </c>
      <c r="AI28" s="39">
        <v>0</v>
      </c>
      <c r="AJ28" s="39"/>
      <c r="AK28" s="39">
        <v>0</v>
      </c>
      <c r="AL28" s="39">
        <v>0</v>
      </c>
      <c r="AM28" s="39">
        <v>0</v>
      </c>
      <c r="AN28" s="39">
        <v>0</v>
      </c>
      <c r="AO28" s="39">
        <v>0</v>
      </c>
      <c r="AP28" s="39">
        <v>0</v>
      </c>
      <c r="AQ28" s="39">
        <v>0</v>
      </c>
      <c r="AR28" s="39">
        <v>0</v>
      </c>
      <c r="AS28" s="39">
        <v>0</v>
      </c>
      <c r="AT28" s="39">
        <v>0</v>
      </c>
      <c r="AU28" s="23"/>
    </row>
    <row r="29" spans="1:59" ht="20.100000000000001" customHeight="1" x14ac:dyDescent="0.25">
      <c r="A29" s="34"/>
      <c r="B29" s="9"/>
      <c r="D29">
        <f t="shared" si="21"/>
        <v>4</v>
      </c>
      <c r="F29" t="e">
        <f>$AA$7</f>
        <v>#REF!</v>
      </c>
      <c r="G29" s="114" t="e">
        <f t="shared" si="22"/>
        <v>#REF!</v>
      </c>
      <c r="H29" t="e">
        <f>$AA$11</f>
        <v>#REF!</v>
      </c>
      <c r="I29" t="e">
        <f t="shared" si="23"/>
        <v>#REF!</v>
      </c>
      <c r="V29" s="10"/>
      <c r="W29" s="39" t="s">
        <v>91</v>
      </c>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23"/>
    </row>
    <row r="30" spans="1:59" ht="20.100000000000001" customHeight="1" x14ac:dyDescent="0.25">
      <c r="A30" s="34"/>
      <c r="D30">
        <f t="shared" si="21"/>
        <v>5</v>
      </c>
      <c r="F30" t="e">
        <f t="shared" ref="F30:F46" si="25">$AA$7</f>
        <v>#REF!</v>
      </c>
      <c r="G30" s="114" t="e">
        <f t="shared" si="22"/>
        <v>#REF!</v>
      </c>
      <c r="H30" t="e">
        <f>$AB$11</f>
        <v>#REF!</v>
      </c>
      <c r="I30" t="e">
        <f t="shared" si="23"/>
        <v>#REF!</v>
      </c>
      <c r="T30" t="s">
        <v>92</v>
      </c>
      <c r="U30" s="54">
        <v>0.1</v>
      </c>
      <c r="W30" s="55" t="s">
        <v>134</v>
      </c>
      <c r="X30" s="39" t="e">
        <f>+($X$28+$Y$28+$Z$28-SUM(W$32:$X32))*$U$30*0</f>
        <v>#REF!</v>
      </c>
      <c r="Y30" s="39" t="e">
        <f>+($X$28+$Y$28+$Z$28-SUM($X$32:X32))*$U$30*2/12</f>
        <v>#REF!</v>
      </c>
      <c r="Z30" s="39" t="e">
        <f>+($X$28+$Y$28+$Z$28-SUM($X$32:Y32))*$U$30</f>
        <v>#REF!</v>
      </c>
      <c r="AA30" s="39" t="e">
        <f>+($X$28+$Y$28+$Z$28-SUM($X$32:Z32))*$U$30</f>
        <v>#REF!</v>
      </c>
      <c r="AB30" s="39" t="e">
        <f>+($X$28+$Y$28+$Z$28-SUM($X$32:AA32))*$U$30</f>
        <v>#REF!</v>
      </c>
      <c r="AC30" s="39" t="e">
        <f>+($X$28+$Y$28+$Z$28-SUM($X$32:AB32))*$U$30</f>
        <v>#REF!</v>
      </c>
      <c r="AD30" s="39" t="e">
        <f>+($X$28+$Y$28+$Z$28-SUM($X$32:AC32))*$U$30</f>
        <v>#REF!</v>
      </c>
      <c r="AE30" s="39" t="e">
        <f>+($X$28+$Y$28+$Z$28-SUM($X$32:AD32))*$U$30</f>
        <v>#REF!</v>
      </c>
      <c r="AF30" s="39" t="e">
        <f>+($X$28+$Y$28+$Z$28-SUM($X$32:AE32))*$U$30</f>
        <v>#REF!</v>
      </c>
      <c r="AG30" s="39" t="e">
        <f>+($X$28+$Y$28+$Z$28-SUM($X$32:AF32))*$U$30</f>
        <v>#REF!</v>
      </c>
      <c r="AH30" s="39" t="e">
        <f>+($X$28+$Y$28+$Z$28-SUM($X$32:AG32))*$U$30</f>
        <v>#REF!</v>
      </c>
      <c r="AI30" s="39" t="e">
        <f>+($X$28+$Y$28+$Z$28-SUM($X$32:AH32))*$U$30</f>
        <v>#REF!</v>
      </c>
      <c r="AJ30" s="39" t="e">
        <f>+($X$28+$Y$28+$Z$28-SUM($X$32:AI32))*$U$30</f>
        <v>#REF!</v>
      </c>
      <c r="AK30" s="39" t="e">
        <f>+($X$28+$Y$28+$Z$28-SUM($X$32:AJ32))*$U$30</f>
        <v>#REF!</v>
      </c>
      <c r="AL30" s="39" t="e">
        <f>+($X$28+$Y$28+$Z$28-SUM($X$32:AK32))*$U$30</f>
        <v>#REF!</v>
      </c>
      <c r="AM30" s="39" t="e">
        <f>+($X$28+$Y$28+$Z$28-SUM($X$32:AL32))*$U$30</f>
        <v>#REF!</v>
      </c>
      <c r="AN30" s="39" t="e">
        <f>+($X$28+$Y$28+$Z$28-SUM($X$32:AM32))*$U$30</f>
        <v>#REF!</v>
      </c>
      <c r="AO30" s="39" t="e">
        <f>+($X$28+$Y$28+$Z$28-SUM($X$32:AN32))*$U$30</f>
        <v>#REF!</v>
      </c>
      <c r="AP30" s="39" t="e">
        <f>+($X$28+$Y$28+$Z$28-SUM($X$32:AO32))*$U$30</f>
        <v>#REF!</v>
      </c>
      <c r="AQ30" s="39" t="e">
        <f>+($X$28+$Y$28+$Z$28-SUM($X$32:AP32))*$U$30</f>
        <v>#REF!</v>
      </c>
      <c r="AR30" s="39" t="e">
        <f>+($X$28+$Y$28+$Z$28-SUM($X$32:AQ32))*$U$30</f>
        <v>#REF!</v>
      </c>
      <c r="AS30" s="39" t="e">
        <f>+($X$28+$Y$28+$Z$28-SUM($X$32:AR32))*$U$30</f>
        <v>#REF!</v>
      </c>
      <c r="AT30" s="39" t="e">
        <f>+($X$28+$Y$28+$Z$28-SUM($X$32:AS32))*$U$30</f>
        <v>#REF!</v>
      </c>
      <c r="AU30" s="23"/>
    </row>
    <row r="31" spans="1:59" ht="20.100000000000001" customHeight="1" x14ac:dyDescent="0.25">
      <c r="A31" s="34"/>
      <c r="B31" s="26"/>
      <c r="D31">
        <f t="shared" si="21"/>
        <v>6</v>
      </c>
      <c r="E31" s="26"/>
      <c r="F31" t="e">
        <f t="shared" si="25"/>
        <v>#REF!</v>
      </c>
      <c r="G31" s="114" t="e">
        <f t="shared" si="22"/>
        <v>#REF!</v>
      </c>
      <c r="H31" t="e">
        <f>$AC$11</f>
        <v>#REF!</v>
      </c>
      <c r="I31" t="e">
        <f t="shared" si="23"/>
        <v>#REF!</v>
      </c>
      <c r="T31" t="s">
        <v>93</v>
      </c>
      <c r="U31" s="54">
        <v>0.1</v>
      </c>
      <c r="V31" s="54"/>
      <c r="W31" s="55" t="s">
        <v>81</v>
      </c>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23"/>
    </row>
    <row r="32" spans="1:59" ht="20.100000000000001" customHeight="1" x14ac:dyDescent="0.25">
      <c r="A32" s="34"/>
      <c r="D32">
        <f t="shared" si="21"/>
        <v>7</v>
      </c>
      <c r="F32" t="e">
        <f t="shared" si="25"/>
        <v>#REF!</v>
      </c>
      <c r="G32" s="114" t="e">
        <f t="shared" si="22"/>
        <v>#REF!</v>
      </c>
      <c r="H32" t="e">
        <f>$AD$11</f>
        <v>#REF!</v>
      </c>
      <c r="I32" t="e">
        <f t="shared" si="23"/>
        <v>#REF!</v>
      </c>
      <c r="V32" s="10" t="e">
        <f>SUM(X32:AS32)</f>
        <v>#REF!</v>
      </c>
      <c r="W32" s="39" t="s">
        <v>94</v>
      </c>
      <c r="X32" s="39">
        <f>+AY14</f>
        <v>0</v>
      </c>
      <c r="Y32" s="39"/>
      <c r="Z32" s="39"/>
      <c r="AA32" s="39" t="e">
        <f>+$V$22/10</f>
        <v>#REF!</v>
      </c>
      <c r="AB32" s="39" t="e">
        <f t="shared" ref="AB32:AJ32" si="26">+$V$22/10</f>
        <v>#REF!</v>
      </c>
      <c r="AC32" s="39" t="e">
        <f t="shared" si="26"/>
        <v>#REF!</v>
      </c>
      <c r="AD32" s="39" t="e">
        <f t="shared" si="26"/>
        <v>#REF!</v>
      </c>
      <c r="AE32" s="39" t="e">
        <f t="shared" si="26"/>
        <v>#REF!</v>
      </c>
      <c r="AF32" s="39" t="e">
        <f t="shared" si="26"/>
        <v>#REF!</v>
      </c>
      <c r="AG32" s="39" t="e">
        <f t="shared" si="26"/>
        <v>#REF!</v>
      </c>
      <c r="AH32" s="39" t="e">
        <f t="shared" si="26"/>
        <v>#REF!</v>
      </c>
      <c r="AI32" s="39" t="e">
        <f t="shared" si="26"/>
        <v>#REF!</v>
      </c>
      <c r="AJ32" s="39" t="e">
        <f t="shared" si="26"/>
        <v>#REF!</v>
      </c>
      <c r="AK32" s="39"/>
      <c r="AL32" s="39"/>
      <c r="AM32" s="39"/>
      <c r="AN32" s="39"/>
      <c r="AO32" s="39"/>
      <c r="AP32" s="39"/>
      <c r="AQ32" s="39"/>
      <c r="AR32" s="39"/>
      <c r="AS32" s="39"/>
      <c r="AT32" s="39"/>
      <c r="AU32" s="23"/>
    </row>
    <row r="33" spans="1:50" ht="20.100000000000001" customHeight="1" x14ac:dyDescent="0.25">
      <c r="A33" s="34"/>
      <c r="B33" s="9"/>
      <c r="D33">
        <f t="shared" si="21"/>
        <v>8</v>
      </c>
      <c r="F33" t="e">
        <f t="shared" si="25"/>
        <v>#REF!</v>
      </c>
      <c r="G33" s="114" t="e">
        <f t="shared" si="22"/>
        <v>#REF!</v>
      </c>
      <c r="H33" t="e">
        <f>$AE$11</f>
        <v>#REF!</v>
      </c>
      <c r="I33" t="e">
        <f t="shared" si="23"/>
        <v>#REF!</v>
      </c>
      <c r="V33" s="10"/>
      <c r="W33" s="45" t="s">
        <v>95</v>
      </c>
      <c r="X33" s="45" t="e">
        <f>+X11</f>
        <v>#REF!</v>
      </c>
      <c r="Y33" s="45" t="e">
        <f t="shared" ref="Y33:AS33" si="27">+Y11</f>
        <v>#REF!</v>
      </c>
      <c r="Z33" s="45" t="e">
        <f>+Z11</f>
        <v>#REF!</v>
      </c>
      <c r="AA33" s="45" t="e">
        <f t="shared" si="27"/>
        <v>#REF!</v>
      </c>
      <c r="AB33" s="45" t="e">
        <f t="shared" si="27"/>
        <v>#REF!</v>
      </c>
      <c r="AC33" s="45" t="e">
        <f t="shared" si="27"/>
        <v>#REF!</v>
      </c>
      <c r="AD33" s="45" t="e">
        <f t="shared" si="27"/>
        <v>#REF!</v>
      </c>
      <c r="AE33" s="45" t="e">
        <f t="shared" si="27"/>
        <v>#REF!</v>
      </c>
      <c r="AF33" s="45" t="e">
        <f t="shared" si="27"/>
        <v>#REF!</v>
      </c>
      <c r="AG33" s="45" t="e">
        <f t="shared" si="27"/>
        <v>#REF!</v>
      </c>
      <c r="AH33" s="45" t="e">
        <f t="shared" si="27"/>
        <v>#REF!</v>
      </c>
      <c r="AI33" s="45" t="e">
        <f t="shared" si="27"/>
        <v>#REF!</v>
      </c>
      <c r="AJ33" s="45" t="e">
        <f t="shared" si="27"/>
        <v>#REF!</v>
      </c>
      <c r="AK33" s="45" t="e">
        <f t="shared" si="27"/>
        <v>#REF!</v>
      </c>
      <c r="AL33" s="45" t="e">
        <f t="shared" si="27"/>
        <v>#REF!</v>
      </c>
      <c r="AM33" s="45" t="e">
        <f t="shared" si="27"/>
        <v>#REF!</v>
      </c>
      <c r="AN33" s="45" t="e">
        <f t="shared" si="27"/>
        <v>#REF!</v>
      </c>
      <c r="AO33" s="45" t="e">
        <f t="shared" si="27"/>
        <v>#REF!</v>
      </c>
      <c r="AP33" s="45" t="e">
        <f t="shared" si="27"/>
        <v>#REF!</v>
      </c>
      <c r="AQ33" s="45" t="e">
        <f t="shared" si="27"/>
        <v>#REF!</v>
      </c>
      <c r="AR33" s="45" t="e">
        <f t="shared" si="27"/>
        <v>#REF!</v>
      </c>
      <c r="AS33" s="45" t="e">
        <f t="shared" si="27"/>
        <v>#REF!</v>
      </c>
      <c r="AT33" s="45" t="e">
        <f t="shared" ref="AT33" si="28">+AT11</f>
        <v>#REF!</v>
      </c>
      <c r="AU33" s="23"/>
    </row>
    <row r="34" spans="1:50" ht="20.100000000000001" customHeight="1" x14ac:dyDescent="0.25">
      <c r="A34" s="34">
        <f>SUM(A27:A32)</f>
        <v>0</v>
      </c>
      <c r="B34" s="9"/>
      <c r="D34">
        <f t="shared" si="21"/>
        <v>9</v>
      </c>
      <c r="F34" t="e">
        <f t="shared" si="25"/>
        <v>#REF!</v>
      </c>
      <c r="G34" s="114" t="e">
        <f t="shared" si="22"/>
        <v>#REF!</v>
      </c>
      <c r="H34" t="e">
        <f>$AF$11</f>
        <v>#REF!</v>
      </c>
      <c r="I34" t="e">
        <f t="shared" si="23"/>
        <v>#REF!</v>
      </c>
      <c r="V34" s="10"/>
      <c r="W34" s="39" t="s">
        <v>4</v>
      </c>
      <c r="X34" s="39" t="e">
        <f>SUM(X26:X33)</f>
        <v>#REF!</v>
      </c>
      <c r="Y34" s="39" t="e">
        <f>SUM(Y26:Y33)</f>
        <v>#REF!</v>
      </c>
      <c r="Z34" s="39" t="e">
        <f t="shared" ref="Z34:AS34" si="29">SUM(Z26:Z33)</f>
        <v>#REF!</v>
      </c>
      <c r="AA34" s="39" t="e">
        <f t="shared" si="29"/>
        <v>#REF!</v>
      </c>
      <c r="AB34" s="39" t="e">
        <f t="shared" si="29"/>
        <v>#REF!</v>
      </c>
      <c r="AC34" s="39" t="e">
        <f t="shared" si="29"/>
        <v>#REF!</v>
      </c>
      <c r="AD34" s="39" t="e">
        <f t="shared" si="29"/>
        <v>#REF!</v>
      </c>
      <c r="AE34" s="39" t="e">
        <f t="shared" si="29"/>
        <v>#REF!</v>
      </c>
      <c r="AF34" s="39" t="e">
        <f t="shared" si="29"/>
        <v>#REF!</v>
      </c>
      <c r="AG34" s="39" t="e">
        <f t="shared" si="29"/>
        <v>#REF!</v>
      </c>
      <c r="AH34" s="39" t="e">
        <f t="shared" si="29"/>
        <v>#REF!</v>
      </c>
      <c r="AI34" s="39" t="e">
        <f t="shared" si="29"/>
        <v>#REF!</v>
      </c>
      <c r="AJ34" s="39" t="e">
        <f t="shared" si="29"/>
        <v>#REF!</v>
      </c>
      <c r="AK34" s="39" t="e">
        <f t="shared" si="29"/>
        <v>#REF!</v>
      </c>
      <c r="AL34" s="39" t="e">
        <f t="shared" si="29"/>
        <v>#REF!</v>
      </c>
      <c r="AM34" s="39" t="e">
        <f t="shared" si="29"/>
        <v>#REF!</v>
      </c>
      <c r="AN34" s="39" t="e">
        <f t="shared" si="29"/>
        <v>#REF!</v>
      </c>
      <c r="AO34" s="39" t="e">
        <f t="shared" si="29"/>
        <v>#REF!</v>
      </c>
      <c r="AP34" s="39" t="e">
        <f t="shared" si="29"/>
        <v>#REF!</v>
      </c>
      <c r="AQ34" s="39" t="e">
        <f t="shared" si="29"/>
        <v>#REF!</v>
      </c>
      <c r="AR34" s="39" t="e">
        <f t="shared" si="29"/>
        <v>#REF!</v>
      </c>
      <c r="AS34" s="39" t="e">
        <f t="shared" si="29"/>
        <v>#REF!</v>
      </c>
      <c r="AT34" s="39" t="e">
        <f t="shared" ref="AT34" si="30">SUM(AT26:AT33)</f>
        <v>#REF!</v>
      </c>
      <c r="AU34" s="23"/>
    </row>
    <row r="35" spans="1:50" ht="20.100000000000001" customHeight="1" x14ac:dyDescent="0.25">
      <c r="A35" s="34"/>
      <c r="B35" s="9"/>
      <c r="D35">
        <f t="shared" si="21"/>
        <v>10</v>
      </c>
      <c r="F35" t="e">
        <f t="shared" si="25"/>
        <v>#REF!</v>
      </c>
      <c r="G35" s="114" t="e">
        <f t="shared" si="22"/>
        <v>#REF!</v>
      </c>
      <c r="H35" t="e">
        <f>$AG$11</f>
        <v>#REF!</v>
      </c>
      <c r="I35" t="e">
        <f t="shared" si="23"/>
        <v>#REF!</v>
      </c>
      <c r="V35" s="10"/>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23"/>
    </row>
    <row r="36" spans="1:50" ht="20.100000000000001" customHeight="1" thickBot="1" x14ac:dyDescent="0.3">
      <c r="B36" s="9"/>
      <c r="D36">
        <f t="shared" si="21"/>
        <v>11</v>
      </c>
      <c r="F36" t="e">
        <f t="shared" si="25"/>
        <v>#REF!</v>
      </c>
      <c r="G36" s="114" t="e">
        <f t="shared" si="22"/>
        <v>#REF!</v>
      </c>
      <c r="H36" t="e">
        <f>$AH$11</f>
        <v>#REF!</v>
      </c>
      <c r="I36" t="e">
        <f t="shared" si="23"/>
        <v>#REF!</v>
      </c>
      <c r="V36" s="10"/>
      <c r="W36" s="56" t="s">
        <v>96</v>
      </c>
      <c r="X36" s="57" t="e">
        <f t="shared" ref="X36:AS36" si="31">+X23-X34</f>
        <v>#REF!</v>
      </c>
      <c r="Y36" s="57" t="e">
        <f t="shared" si="31"/>
        <v>#REF!</v>
      </c>
      <c r="Z36" s="57" t="e">
        <f t="shared" si="31"/>
        <v>#REF!</v>
      </c>
      <c r="AA36" s="57" t="e">
        <f t="shared" si="31"/>
        <v>#REF!</v>
      </c>
      <c r="AB36" s="57" t="e">
        <f t="shared" si="31"/>
        <v>#REF!</v>
      </c>
      <c r="AC36" s="57" t="e">
        <f t="shared" si="31"/>
        <v>#REF!</v>
      </c>
      <c r="AD36" s="57" t="e">
        <f t="shared" si="31"/>
        <v>#REF!</v>
      </c>
      <c r="AE36" s="57" t="e">
        <f t="shared" si="31"/>
        <v>#REF!</v>
      </c>
      <c r="AF36" s="57" t="e">
        <f t="shared" si="31"/>
        <v>#REF!</v>
      </c>
      <c r="AG36" s="57" t="e">
        <f t="shared" si="31"/>
        <v>#REF!</v>
      </c>
      <c r="AH36" s="57" t="e">
        <f t="shared" si="31"/>
        <v>#REF!</v>
      </c>
      <c r="AI36" s="57" t="e">
        <f t="shared" si="31"/>
        <v>#REF!</v>
      </c>
      <c r="AJ36" s="57" t="e">
        <f t="shared" si="31"/>
        <v>#REF!</v>
      </c>
      <c r="AK36" s="57" t="e">
        <f t="shared" si="31"/>
        <v>#REF!</v>
      </c>
      <c r="AL36" s="57" t="e">
        <f t="shared" si="31"/>
        <v>#REF!</v>
      </c>
      <c r="AM36" s="57" t="e">
        <f t="shared" si="31"/>
        <v>#REF!</v>
      </c>
      <c r="AN36" s="57" t="e">
        <f t="shared" si="31"/>
        <v>#REF!</v>
      </c>
      <c r="AO36" s="57" t="e">
        <f t="shared" si="31"/>
        <v>#REF!</v>
      </c>
      <c r="AP36" s="57" t="e">
        <f t="shared" si="31"/>
        <v>#REF!</v>
      </c>
      <c r="AQ36" s="57" t="e">
        <f t="shared" si="31"/>
        <v>#REF!</v>
      </c>
      <c r="AR36" s="57" t="e">
        <f t="shared" si="31"/>
        <v>#REF!</v>
      </c>
      <c r="AS36" s="57" t="e">
        <f t="shared" si="31"/>
        <v>#REF!</v>
      </c>
      <c r="AT36" s="57" t="e">
        <f t="shared" ref="AT36" si="32">+AT23-AT34</f>
        <v>#REF!</v>
      </c>
      <c r="AU36" s="23"/>
    </row>
    <row r="37" spans="1:50" ht="20.100000000000001" customHeight="1" thickBot="1" x14ac:dyDescent="0.3">
      <c r="B37" s="9"/>
      <c r="D37">
        <f t="shared" si="21"/>
        <v>12</v>
      </c>
      <c r="F37" t="e">
        <f t="shared" si="25"/>
        <v>#REF!</v>
      </c>
      <c r="G37" s="114" t="e">
        <f t="shared" si="22"/>
        <v>#REF!</v>
      </c>
      <c r="H37" t="e">
        <f>$AI$11</f>
        <v>#REF!</v>
      </c>
      <c r="I37" t="e">
        <f t="shared" si="23"/>
        <v>#REF!</v>
      </c>
      <c r="V37" s="10"/>
      <c r="W37" s="58" t="s">
        <v>97</v>
      </c>
      <c r="X37" s="59" t="e">
        <f>SUM($X$36:X36)</f>
        <v>#REF!</v>
      </c>
      <c r="Y37" s="59" t="e">
        <f>SUM($X$36:Y36)</f>
        <v>#REF!</v>
      </c>
      <c r="Z37" s="59" t="e">
        <f>SUM($X$36:Z36)</f>
        <v>#REF!</v>
      </c>
      <c r="AA37" s="59" t="e">
        <f>SUM($X$36:AA36)</f>
        <v>#REF!</v>
      </c>
      <c r="AB37" s="59" t="e">
        <f>SUM($X$36:AB36)</f>
        <v>#REF!</v>
      </c>
      <c r="AC37" s="59" t="e">
        <f>SUM($X$36:AC36)</f>
        <v>#REF!</v>
      </c>
      <c r="AD37" s="59" t="e">
        <f>SUM($X$36:AD36)</f>
        <v>#REF!</v>
      </c>
      <c r="AE37" s="59" t="e">
        <f>SUM($X$36:AE36)</f>
        <v>#REF!</v>
      </c>
      <c r="AF37" s="59" t="e">
        <f>SUM($X$36:AF36)</f>
        <v>#REF!</v>
      </c>
      <c r="AG37" s="59" t="e">
        <f>SUM($X$36:AG36)</f>
        <v>#REF!</v>
      </c>
      <c r="AH37" s="59" t="e">
        <f>SUM($X$36:AH36)</f>
        <v>#REF!</v>
      </c>
      <c r="AI37" s="59" t="e">
        <f>SUM($X$36:AI36)</f>
        <v>#REF!</v>
      </c>
      <c r="AJ37" s="59" t="e">
        <f>SUM($X$36:AJ36)</f>
        <v>#REF!</v>
      </c>
      <c r="AK37" s="59" t="e">
        <f>SUM($X$36:AK36)</f>
        <v>#REF!</v>
      </c>
      <c r="AL37" s="59" t="e">
        <f>SUM($X$36:AL36)</f>
        <v>#REF!</v>
      </c>
      <c r="AM37" s="59" t="e">
        <f>SUM($X$36:AM36)</f>
        <v>#REF!</v>
      </c>
      <c r="AN37" s="59" t="e">
        <f>SUM($X$36:AN36)</f>
        <v>#REF!</v>
      </c>
      <c r="AO37" s="59" t="e">
        <f>SUM($X$36:AO36)</f>
        <v>#REF!</v>
      </c>
      <c r="AP37" s="59" t="e">
        <f>SUM($X$36:AP36)</f>
        <v>#REF!</v>
      </c>
      <c r="AQ37" s="59" t="e">
        <f>SUM($X$36:AQ36)</f>
        <v>#REF!</v>
      </c>
      <c r="AR37" s="59" t="e">
        <f>SUM($X$36:AR36)</f>
        <v>#REF!</v>
      </c>
      <c r="AS37" s="59" t="e">
        <f>SUM($X$36:AS36)</f>
        <v>#REF!</v>
      </c>
      <c r="AT37" s="59" t="e">
        <f>SUM($X$36:AT36)</f>
        <v>#REF!</v>
      </c>
      <c r="AU37" s="23"/>
    </row>
    <row r="38" spans="1:50" ht="20.100000000000001" customHeight="1" x14ac:dyDescent="0.25">
      <c r="B38" s="26"/>
      <c r="D38">
        <f t="shared" si="21"/>
        <v>13</v>
      </c>
      <c r="E38" s="26"/>
      <c r="F38" t="e">
        <f t="shared" si="25"/>
        <v>#REF!</v>
      </c>
      <c r="G38" s="114" t="e">
        <f t="shared" si="22"/>
        <v>#REF!</v>
      </c>
      <c r="H38" t="e">
        <f>$AJ$11</f>
        <v>#REF!</v>
      </c>
      <c r="I38" t="e">
        <f t="shared" si="23"/>
        <v>#REF!</v>
      </c>
      <c r="V38" s="10"/>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23"/>
    </row>
    <row r="39" spans="1:50" ht="20.100000000000001" customHeight="1" x14ac:dyDescent="0.25">
      <c r="D39">
        <f t="shared" si="21"/>
        <v>14</v>
      </c>
      <c r="F39" t="e">
        <f t="shared" si="25"/>
        <v>#REF!</v>
      </c>
      <c r="G39" s="114" t="e">
        <f t="shared" si="22"/>
        <v>#REF!</v>
      </c>
      <c r="H39" t="e">
        <f>$AK$11</f>
        <v>#REF!</v>
      </c>
      <c r="I39" t="e">
        <f t="shared" si="23"/>
        <v>#REF!</v>
      </c>
      <c r="V39" s="10"/>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23"/>
    </row>
    <row r="40" spans="1:50" ht="20.100000000000001" customHeight="1" x14ac:dyDescent="0.25">
      <c r="B40" s="26"/>
      <c r="D40">
        <f t="shared" si="21"/>
        <v>15</v>
      </c>
      <c r="E40" s="26"/>
      <c r="F40" t="e">
        <f t="shared" si="25"/>
        <v>#REF!</v>
      </c>
      <c r="G40" s="114" t="e">
        <f t="shared" si="22"/>
        <v>#REF!</v>
      </c>
      <c r="H40" t="e">
        <f>$AL$11</f>
        <v>#REF!</v>
      </c>
      <c r="I40" t="e">
        <f t="shared" si="23"/>
        <v>#REF!</v>
      </c>
      <c r="O40" t="s">
        <v>98</v>
      </c>
      <c r="V40" s="10"/>
      <c r="W40" s="3"/>
      <c r="X40" s="3"/>
      <c r="Y40" s="39"/>
      <c r="Z40" s="42" t="s">
        <v>46</v>
      </c>
      <c r="AA40" s="46"/>
      <c r="AB40" s="3"/>
      <c r="AC40" s="3"/>
      <c r="AD40" s="3"/>
      <c r="AE40" s="3"/>
      <c r="AF40" s="3"/>
      <c r="AG40" s="3"/>
      <c r="AH40" s="3"/>
      <c r="AI40" s="3"/>
      <c r="AJ40" s="3"/>
      <c r="AK40" s="3"/>
      <c r="AL40" s="3"/>
      <c r="AM40" s="3"/>
      <c r="AN40" s="3"/>
      <c r="AO40" s="3"/>
      <c r="AP40" s="3"/>
      <c r="AQ40" s="3"/>
      <c r="AR40" s="3"/>
      <c r="AS40" s="4"/>
      <c r="AT40" s="4"/>
      <c r="AU40" s="10"/>
    </row>
    <row r="41" spans="1:50" ht="20.100000000000001" customHeight="1" x14ac:dyDescent="0.25">
      <c r="D41">
        <f t="shared" si="21"/>
        <v>16</v>
      </c>
      <c r="F41" t="e">
        <f t="shared" si="25"/>
        <v>#REF!</v>
      </c>
      <c r="G41" s="114" t="e">
        <f t="shared" si="22"/>
        <v>#REF!</v>
      </c>
      <c r="H41" t="e">
        <f>$AM$11</f>
        <v>#REF!</v>
      </c>
      <c r="I41" t="e">
        <f t="shared" si="23"/>
        <v>#REF!</v>
      </c>
      <c r="O41" t="s">
        <v>100</v>
      </c>
      <c r="P41">
        <v>1</v>
      </c>
      <c r="V41" s="10"/>
      <c r="W41" s="7" t="s">
        <v>99</v>
      </c>
      <c r="X41" s="3"/>
      <c r="Y41" s="39"/>
      <c r="Z41" s="39"/>
      <c r="AA41" s="48"/>
      <c r="AB41" s="3"/>
      <c r="AC41" s="3"/>
      <c r="AD41" s="3"/>
      <c r="AE41" s="3"/>
      <c r="AF41" s="3"/>
      <c r="AG41" s="3"/>
      <c r="AH41" s="3"/>
      <c r="AI41" s="3"/>
      <c r="AJ41" s="3"/>
      <c r="AK41" s="3"/>
      <c r="AL41" s="3"/>
      <c r="AM41" s="3"/>
      <c r="AN41" s="3"/>
      <c r="AO41" s="3"/>
      <c r="AP41" s="3"/>
      <c r="AQ41" s="3"/>
      <c r="AR41" s="3"/>
      <c r="AS41" s="3"/>
      <c r="AT41" s="3"/>
      <c r="AU41" s="10"/>
    </row>
    <row r="42" spans="1:50" ht="20.100000000000001" customHeight="1" x14ac:dyDescent="0.25">
      <c r="D42">
        <f t="shared" si="21"/>
        <v>17</v>
      </c>
      <c r="F42" t="e">
        <f t="shared" si="25"/>
        <v>#REF!</v>
      </c>
      <c r="G42" s="114" t="e">
        <f t="shared" si="22"/>
        <v>#REF!</v>
      </c>
      <c r="H42" t="e">
        <f>$AN$11</f>
        <v>#REF!</v>
      </c>
      <c r="I42" t="e">
        <f t="shared" si="23"/>
        <v>#REF!</v>
      </c>
      <c r="O42" t="s">
        <v>101</v>
      </c>
      <c r="P42">
        <v>1</v>
      </c>
      <c r="V42" s="60"/>
      <c r="W42" s="14" t="s">
        <v>3</v>
      </c>
      <c r="X42" s="32" t="s">
        <v>49</v>
      </c>
      <c r="Y42" s="32" t="s">
        <v>50</v>
      </c>
      <c r="Z42" s="32" t="s">
        <v>51</v>
      </c>
      <c r="AA42" s="32" t="s">
        <v>52</v>
      </c>
      <c r="AB42" s="32" t="s">
        <v>53</v>
      </c>
      <c r="AC42" s="32" t="s">
        <v>54</v>
      </c>
      <c r="AD42" s="32" t="s">
        <v>55</v>
      </c>
      <c r="AE42" s="32" t="s">
        <v>56</v>
      </c>
      <c r="AF42" s="32" t="s">
        <v>57</v>
      </c>
      <c r="AG42" s="32" t="s">
        <v>58</v>
      </c>
      <c r="AH42" s="32" t="s">
        <v>59</v>
      </c>
      <c r="AI42" s="32" t="s">
        <v>60</v>
      </c>
      <c r="AJ42" s="32" t="s">
        <v>61</v>
      </c>
      <c r="AK42" s="32" t="s">
        <v>62</v>
      </c>
      <c r="AL42" s="32" t="s">
        <v>63</v>
      </c>
      <c r="AM42" s="32" t="s">
        <v>64</v>
      </c>
      <c r="AN42" s="32" t="s">
        <v>65</v>
      </c>
      <c r="AO42" s="32" t="s">
        <v>66</v>
      </c>
      <c r="AP42" s="32" t="s">
        <v>67</v>
      </c>
      <c r="AQ42" s="32" t="s">
        <v>68</v>
      </c>
      <c r="AR42" s="32" t="s">
        <v>69</v>
      </c>
      <c r="AS42" s="32" t="s">
        <v>70</v>
      </c>
      <c r="AT42" s="32" t="s">
        <v>70</v>
      </c>
      <c r="AU42" s="61"/>
      <c r="AV42" s="9"/>
      <c r="AW42" s="9"/>
      <c r="AX42" s="9"/>
    </row>
    <row r="43" spans="1:50" ht="20.100000000000001" customHeight="1" x14ac:dyDescent="0.25">
      <c r="D43">
        <f t="shared" si="21"/>
        <v>18</v>
      </c>
      <c r="F43" t="e">
        <f t="shared" si="25"/>
        <v>#REF!</v>
      </c>
      <c r="G43" s="114" t="e">
        <f t="shared" si="22"/>
        <v>#REF!</v>
      </c>
      <c r="H43" t="e">
        <f>$AO$11</f>
        <v>#REF!</v>
      </c>
      <c r="I43" t="e">
        <f t="shared" si="23"/>
        <v>#REF!</v>
      </c>
      <c r="O43" t="s">
        <v>141</v>
      </c>
      <c r="V43" s="62" t="s">
        <v>26</v>
      </c>
      <c r="W43" s="7" t="s">
        <v>102</v>
      </c>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33"/>
      <c r="AV43" s="9"/>
      <c r="AW43" s="9"/>
      <c r="AX43" s="9"/>
    </row>
    <row r="44" spans="1:50" ht="20.100000000000001" customHeight="1" x14ac:dyDescent="0.25">
      <c r="D44">
        <f t="shared" si="21"/>
        <v>19</v>
      </c>
      <c r="F44" t="e">
        <f t="shared" si="25"/>
        <v>#REF!</v>
      </c>
      <c r="G44" s="114" t="e">
        <f t="shared" si="22"/>
        <v>#REF!</v>
      </c>
      <c r="H44" t="e">
        <f>$AP$11</f>
        <v>#REF!</v>
      </c>
      <c r="I44" t="e">
        <f t="shared" si="23"/>
        <v>#REF!</v>
      </c>
      <c r="O44" t="s">
        <v>142</v>
      </c>
      <c r="P44">
        <f>1+1.4685*0</f>
        <v>1</v>
      </c>
      <c r="U44" t="e">
        <f>SUM(X44:Z44)</f>
        <v>#REF!</v>
      </c>
      <c r="V44" s="64">
        <v>1</v>
      </c>
      <c r="W44" s="3" t="s">
        <v>103</v>
      </c>
      <c r="X44" s="3" t="e">
        <f>C7</f>
        <v>#REF!</v>
      </c>
      <c r="Y44" s="3" t="e">
        <f>C8+C10</f>
        <v>#REF!</v>
      </c>
      <c r="Z44" s="3" t="e">
        <f>(C9+C10)*0</f>
        <v>#REF!</v>
      </c>
      <c r="AA44" s="3">
        <f t="shared" ref="AA44:AR44" si="33">+AA27+AA28</f>
        <v>0</v>
      </c>
      <c r="AB44" s="3">
        <f t="shared" si="33"/>
        <v>0</v>
      </c>
      <c r="AC44" s="3">
        <f t="shared" si="33"/>
        <v>0</v>
      </c>
      <c r="AD44" s="3">
        <f t="shared" si="33"/>
        <v>0</v>
      </c>
      <c r="AE44" s="3">
        <f t="shared" si="33"/>
        <v>0</v>
      </c>
      <c r="AF44" s="3">
        <f t="shared" si="33"/>
        <v>0</v>
      </c>
      <c r="AG44" s="3">
        <f t="shared" si="33"/>
        <v>0</v>
      </c>
      <c r="AH44" s="3">
        <f t="shared" si="33"/>
        <v>0</v>
      </c>
      <c r="AI44" s="3">
        <f t="shared" si="33"/>
        <v>0</v>
      </c>
      <c r="AJ44" s="3">
        <f t="shared" si="33"/>
        <v>0</v>
      </c>
      <c r="AK44" s="3">
        <f t="shared" si="33"/>
        <v>0</v>
      </c>
      <c r="AL44" s="3">
        <f t="shared" si="33"/>
        <v>0</v>
      </c>
      <c r="AM44" s="3">
        <f t="shared" si="33"/>
        <v>0</v>
      </c>
      <c r="AN44" s="3">
        <f t="shared" si="33"/>
        <v>0</v>
      </c>
      <c r="AO44" s="3">
        <f t="shared" si="33"/>
        <v>0</v>
      </c>
      <c r="AP44" s="3">
        <f t="shared" si="33"/>
        <v>0</v>
      </c>
      <c r="AQ44" s="3">
        <f t="shared" si="33"/>
        <v>0</v>
      </c>
      <c r="AR44" s="3">
        <f t="shared" si="33"/>
        <v>0</v>
      </c>
      <c r="AS44" t="e">
        <f>-SUM(X44:Y44)*0</f>
        <v>#REF!</v>
      </c>
      <c r="AT44" t="e">
        <f>-SUM(Y44:Z44)*0</f>
        <v>#REF!</v>
      </c>
      <c r="AU44" s="10"/>
    </row>
    <row r="45" spans="1:50" ht="20.100000000000001" customHeight="1" x14ac:dyDescent="0.25">
      <c r="D45">
        <f t="shared" si="21"/>
        <v>20</v>
      </c>
      <c r="F45" t="e">
        <f t="shared" si="25"/>
        <v>#REF!</v>
      </c>
      <c r="G45" s="114" t="e">
        <f t="shared" si="22"/>
        <v>#REF!</v>
      </c>
      <c r="H45" t="e">
        <f>$AQ$11</f>
        <v>#REF!</v>
      </c>
      <c r="I45" t="e">
        <f t="shared" si="23"/>
        <v>#REF!</v>
      </c>
      <c r="V45" s="64">
        <v>2</v>
      </c>
      <c r="W45" s="3" t="s">
        <v>95</v>
      </c>
      <c r="X45" s="3" t="e">
        <f t="shared" ref="X45:AS45" si="34">+X11</f>
        <v>#REF!</v>
      </c>
      <c r="Y45" s="3" t="e">
        <f t="shared" si="34"/>
        <v>#REF!</v>
      </c>
      <c r="Z45" s="3" t="e">
        <f t="shared" si="34"/>
        <v>#REF!</v>
      </c>
      <c r="AA45" s="3" t="e">
        <f t="shared" si="34"/>
        <v>#REF!</v>
      </c>
      <c r="AB45" s="3" t="e">
        <f t="shared" si="34"/>
        <v>#REF!</v>
      </c>
      <c r="AC45" s="3" t="e">
        <f t="shared" si="34"/>
        <v>#REF!</v>
      </c>
      <c r="AD45" s="3" t="e">
        <f t="shared" si="34"/>
        <v>#REF!</v>
      </c>
      <c r="AE45" s="3" t="e">
        <f t="shared" si="34"/>
        <v>#REF!</v>
      </c>
      <c r="AF45" s="3" t="e">
        <f t="shared" si="34"/>
        <v>#REF!</v>
      </c>
      <c r="AG45" s="3" t="e">
        <f t="shared" si="34"/>
        <v>#REF!</v>
      </c>
      <c r="AH45" s="3" t="e">
        <f t="shared" si="34"/>
        <v>#REF!</v>
      </c>
      <c r="AI45" s="3" t="e">
        <f t="shared" si="34"/>
        <v>#REF!</v>
      </c>
      <c r="AJ45" s="3" t="e">
        <f t="shared" si="34"/>
        <v>#REF!</v>
      </c>
      <c r="AK45" s="3" t="e">
        <f t="shared" si="34"/>
        <v>#REF!</v>
      </c>
      <c r="AL45" s="3" t="e">
        <f t="shared" si="34"/>
        <v>#REF!</v>
      </c>
      <c r="AM45" s="3" t="e">
        <f t="shared" si="34"/>
        <v>#REF!</v>
      </c>
      <c r="AN45" s="3" t="e">
        <f t="shared" si="34"/>
        <v>#REF!</v>
      </c>
      <c r="AO45" s="3" t="e">
        <f t="shared" si="34"/>
        <v>#REF!</v>
      </c>
      <c r="AP45" s="3" t="e">
        <f t="shared" si="34"/>
        <v>#REF!</v>
      </c>
      <c r="AQ45" s="3" t="e">
        <f t="shared" si="34"/>
        <v>#REF!</v>
      </c>
      <c r="AR45" s="3" t="e">
        <f t="shared" si="34"/>
        <v>#REF!</v>
      </c>
      <c r="AS45" s="3" t="e">
        <f t="shared" si="34"/>
        <v>#REF!</v>
      </c>
      <c r="AT45" s="3" t="e">
        <f t="shared" ref="AT45" si="35">+AT11</f>
        <v>#REF!</v>
      </c>
      <c r="AU45" s="10"/>
    </row>
    <row r="46" spans="1:50" ht="20.100000000000001" customHeight="1" x14ac:dyDescent="0.25">
      <c r="D46">
        <f t="shared" si="21"/>
        <v>21</v>
      </c>
      <c r="F46" t="e">
        <f t="shared" si="25"/>
        <v>#REF!</v>
      </c>
      <c r="G46" s="114" t="e">
        <f t="shared" si="22"/>
        <v>#REF!</v>
      </c>
      <c r="H46" t="e">
        <f>$AR$11</f>
        <v>#REF!</v>
      </c>
      <c r="I46" t="e">
        <f t="shared" si="23"/>
        <v>#REF!</v>
      </c>
      <c r="O46" t="s">
        <v>146</v>
      </c>
      <c r="P46" s="98">
        <f>1.075</f>
        <v>1.075</v>
      </c>
      <c r="V46" s="62" t="s">
        <v>27</v>
      </c>
      <c r="W46" s="7" t="s">
        <v>104</v>
      </c>
      <c r="X46" s="3"/>
      <c r="Y46" s="3"/>
      <c r="Z46" s="3"/>
      <c r="AA46" s="3"/>
      <c r="AB46" s="3"/>
      <c r="AC46" s="3"/>
      <c r="AD46" s="3"/>
      <c r="AE46" s="3"/>
      <c r="AF46" s="3"/>
      <c r="AG46" s="3"/>
      <c r="AH46" s="3"/>
      <c r="AI46" s="3"/>
      <c r="AJ46" s="3"/>
      <c r="AK46" s="3"/>
      <c r="AL46" s="3"/>
      <c r="AM46" s="3"/>
      <c r="AN46" s="3"/>
      <c r="AO46" s="3"/>
      <c r="AP46" s="3"/>
      <c r="AQ46" s="3"/>
      <c r="AR46" s="3"/>
      <c r="AS46" s="3"/>
      <c r="AT46" s="3"/>
      <c r="AU46" s="10"/>
    </row>
    <row r="47" spans="1:50" ht="20.100000000000001" customHeight="1" x14ac:dyDescent="0.25">
      <c r="D47">
        <f t="shared" si="21"/>
        <v>22</v>
      </c>
      <c r="F47" t="e">
        <f>$D$14*4/12</f>
        <v>#REF!</v>
      </c>
      <c r="G47" s="114" t="e">
        <f t="shared" si="22"/>
        <v>#REF!</v>
      </c>
      <c r="H47" t="e">
        <f>$AS$11</f>
        <v>#REF!</v>
      </c>
      <c r="I47" t="e">
        <f t="shared" si="23"/>
        <v>#REF!</v>
      </c>
      <c r="V47" s="64">
        <v>1</v>
      </c>
      <c r="W47" s="3" t="s">
        <v>105</v>
      </c>
      <c r="X47" s="3" t="e">
        <f t="shared" ref="X47:AS47" si="36">+X20</f>
        <v>#REF!</v>
      </c>
      <c r="Y47" s="30" t="e">
        <f t="shared" si="36"/>
        <v>#REF!</v>
      </c>
      <c r="Z47" s="30" t="e">
        <f t="shared" si="36"/>
        <v>#REF!</v>
      </c>
      <c r="AA47" s="30" t="e">
        <f t="shared" si="36"/>
        <v>#REF!</v>
      </c>
      <c r="AB47" s="30" t="e">
        <f t="shared" si="36"/>
        <v>#REF!</v>
      </c>
      <c r="AC47" s="30" t="e">
        <f t="shared" si="36"/>
        <v>#REF!</v>
      </c>
      <c r="AD47" s="30" t="e">
        <f t="shared" si="36"/>
        <v>#REF!</v>
      </c>
      <c r="AE47" s="30" t="e">
        <f t="shared" si="36"/>
        <v>#REF!</v>
      </c>
      <c r="AF47" s="30" t="e">
        <f t="shared" si="36"/>
        <v>#REF!</v>
      </c>
      <c r="AG47" s="30" t="e">
        <f t="shared" si="36"/>
        <v>#REF!</v>
      </c>
      <c r="AH47" s="30" t="e">
        <f t="shared" si="36"/>
        <v>#REF!</v>
      </c>
      <c r="AI47" s="30" t="e">
        <f t="shared" si="36"/>
        <v>#REF!</v>
      </c>
      <c r="AJ47" s="30" t="e">
        <f t="shared" si="36"/>
        <v>#REF!</v>
      </c>
      <c r="AK47" s="30" t="e">
        <f t="shared" si="36"/>
        <v>#REF!</v>
      </c>
      <c r="AL47" s="30" t="e">
        <f t="shared" si="36"/>
        <v>#REF!</v>
      </c>
      <c r="AM47" s="30" t="e">
        <f t="shared" si="36"/>
        <v>#REF!</v>
      </c>
      <c r="AN47" s="30" t="e">
        <f t="shared" si="36"/>
        <v>#REF!</v>
      </c>
      <c r="AO47" s="30" t="e">
        <f t="shared" si="36"/>
        <v>#REF!</v>
      </c>
      <c r="AP47" s="30" t="e">
        <f t="shared" si="36"/>
        <v>#REF!</v>
      </c>
      <c r="AQ47" s="30" t="e">
        <f t="shared" si="36"/>
        <v>#REF!</v>
      </c>
      <c r="AR47" s="30" t="e">
        <f t="shared" si="36"/>
        <v>#REF!</v>
      </c>
      <c r="AS47" s="30" t="e">
        <f t="shared" si="36"/>
        <v>#REF!</v>
      </c>
      <c r="AT47" s="30" t="e">
        <f t="shared" ref="AT47" si="37">+AT20</f>
        <v>#REF!</v>
      </c>
      <c r="AU47" s="10"/>
    </row>
    <row r="48" spans="1:50" ht="20.100000000000001" customHeight="1" x14ac:dyDescent="0.25">
      <c r="D48" s="21">
        <f t="shared" si="21"/>
        <v>23</v>
      </c>
      <c r="E48" s="21"/>
      <c r="F48" s="21" t="e">
        <f>$D$14*6/12*0</f>
        <v>#REF!</v>
      </c>
      <c r="G48" s="115" t="e">
        <f t="shared" si="22"/>
        <v>#REF!</v>
      </c>
      <c r="H48" s="21" t="e">
        <f>$AT$11</f>
        <v>#REF!</v>
      </c>
      <c r="I48" s="21" t="e">
        <f t="shared" si="23"/>
        <v>#REF!</v>
      </c>
      <c r="J48" s="21"/>
      <c r="V48" s="64">
        <v>2</v>
      </c>
      <c r="W48" s="3" t="s">
        <v>238</v>
      </c>
      <c r="X48" s="3"/>
      <c r="Y48" s="30" t="e">
        <f>D16/2</f>
        <v>#REF!</v>
      </c>
      <c r="Z48" s="30" t="e">
        <f>+D16/2</f>
        <v>#REF!</v>
      </c>
      <c r="AA48" s="3"/>
      <c r="AB48" s="3"/>
      <c r="AC48" s="3"/>
      <c r="AD48" s="3"/>
      <c r="AE48" s="3"/>
      <c r="AF48" s="3"/>
      <c r="AG48" s="3"/>
      <c r="AH48" s="3"/>
      <c r="AI48" s="3"/>
      <c r="AJ48" s="3"/>
      <c r="AK48" s="3"/>
      <c r="AL48" s="3"/>
      <c r="AM48" s="3"/>
      <c r="AN48" s="3"/>
      <c r="AO48" s="3"/>
      <c r="AP48" s="3"/>
      <c r="AQ48" s="3"/>
      <c r="AR48" s="3"/>
      <c r="AS48" s="3"/>
      <c r="AT48" s="3"/>
      <c r="AU48" s="10"/>
    </row>
    <row r="49" spans="3:49" ht="20.100000000000001" customHeight="1" x14ac:dyDescent="0.25">
      <c r="G49" t="e">
        <f>NPV(0.1,G26:G47)</f>
        <v>#REF!</v>
      </c>
      <c r="I49" t="e">
        <f>NPV(0.1,I26:I48)</f>
        <v>#REF!</v>
      </c>
      <c r="V49" s="64">
        <v>3</v>
      </c>
      <c r="W49" s="3" t="s">
        <v>148</v>
      </c>
      <c r="X49" s="3"/>
      <c r="Y49" s="3"/>
      <c r="Z49" s="3"/>
      <c r="AA49" s="3"/>
      <c r="AB49" s="3"/>
      <c r="AC49" s="3"/>
      <c r="AD49" s="3"/>
      <c r="AE49" s="3"/>
      <c r="AF49" s="3"/>
      <c r="AG49" s="3"/>
      <c r="AH49" s="3"/>
      <c r="AI49" s="3"/>
      <c r="AJ49" s="3"/>
      <c r="AK49" s="3"/>
      <c r="AL49" s="3"/>
      <c r="AM49" s="3"/>
      <c r="AN49" s="3"/>
      <c r="AO49" s="3"/>
      <c r="AP49" s="3"/>
      <c r="AQ49" s="3"/>
      <c r="AR49" s="3"/>
      <c r="AS49" s="3"/>
      <c r="AT49" s="3"/>
      <c r="AU49" s="10"/>
    </row>
    <row r="50" spans="3:49" ht="20.100000000000001" customHeight="1" x14ac:dyDescent="0.25">
      <c r="D50" s="21"/>
      <c r="E50" s="21"/>
      <c r="F50" s="21"/>
      <c r="G50" s="113" t="e">
        <f>IRR(G26:G47)</f>
        <v>#VALUE!</v>
      </c>
      <c r="H50" s="21"/>
      <c r="I50" s="113" t="e">
        <f>IRR(I26:I47)</f>
        <v>#VALUE!</v>
      </c>
      <c r="J50" s="21"/>
      <c r="V50" s="62" t="s">
        <v>28</v>
      </c>
      <c r="W50" s="7" t="s">
        <v>106</v>
      </c>
      <c r="X50" s="3"/>
      <c r="Y50" s="3"/>
      <c r="Z50" s="3"/>
      <c r="AA50" s="3"/>
      <c r="AB50" s="3"/>
      <c r="AC50" s="3"/>
      <c r="AD50" s="3"/>
      <c r="AE50" s="3"/>
      <c r="AF50" s="3"/>
      <c r="AG50" s="3"/>
      <c r="AH50" s="3"/>
      <c r="AI50" s="3"/>
      <c r="AJ50" s="3"/>
      <c r="AK50" s="3"/>
      <c r="AL50" s="3"/>
      <c r="AM50" s="3"/>
      <c r="AN50" s="3"/>
      <c r="AO50" s="3"/>
      <c r="AP50" s="3"/>
      <c r="AQ50" s="3"/>
      <c r="AR50" s="3"/>
      <c r="AS50" s="3"/>
      <c r="AT50" s="3"/>
      <c r="AU50" s="10"/>
      <c r="AV50" s="65"/>
      <c r="AW50" s="65"/>
    </row>
    <row r="51" spans="3:49" ht="20.100000000000001" customHeight="1" x14ac:dyDescent="0.25">
      <c r="V51" s="64">
        <v>1</v>
      </c>
      <c r="W51" s="3" t="s">
        <v>107</v>
      </c>
      <c r="X51" s="3" t="e">
        <f>+X47+X48+X49-X44</f>
        <v>#REF!</v>
      </c>
      <c r="Y51" s="3" t="e">
        <f>+Y47+Y48+Y49-Y44</f>
        <v>#REF!</v>
      </c>
      <c r="Z51" s="3" t="e">
        <f>+Z47+Z48+Z49-Z44</f>
        <v>#REF!</v>
      </c>
      <c r="AA51" s="3" t="e">
        <f>+AA47+AA48+AA49-AA44</f>
        <v>#REF!</v>
      </c>
      <c r="AB51" s="3" t="e">
        <f t="shared" ref="AB51:AS51" si="38">+AB47+AB48+AB49-AB44</f>
        <v>#REF!</v>
      </c>
      <c r="AC51" s="3" t="e">
        <f t="shared" si="38"/>
        <v>#REF!</v>
      </c>
      <c r="AD51" s="3" t="e">
        <f t="shared" si="38"/>
        <v>#REF!</v>
      </c>
      <c r="AE51" s="3" t="e">
        <f t="shared" si="38"/>
        <v>#REF!</v>
      </c>
      <c r="AF51" s="3" t="e">
        <f t="shared" si="38"/>
        <v>#REF!</v>
      </c>
      <c r="AG51" s="3" t="e">
        <f t="shared" si="38"/>
        <v>#REF!</v>
      </c>
      <c r="AH51" s="3" t="e">
        <f t="shared" si="38"/>
        <v>#REF!</v>
      </c>
      <c r="AI51" s="3" t="e">
        <f t="shared" si="38"/>
        <v>#REF!</v>
      </c>
      <c r="AJ51" s="3" t="e">
        <f t="shared" si="38"/>
        <v>#REF!</v>
      </c>
      <c r="AK51" s="3" t="e">
        <f t="shared" si="38"/>
        <v>#REF!</v>
      </c>
      <c r="AL51" s="3" t="e">
        <f t="shared" si="38"/>
        <v>#REF!</v>
      </c>
      <c r="AM51" s="3" t="e">
        <f t="shared" si="38"/>
        <v>#REF!</v>
      </c>
      <c r="AN51" s="3" t="e">
        <f t="shared" si="38"/>
        <v>#REF!</v>
      </c>
      <c r="AO51" s="3" t="e">
        <f t="shared" si="38"/>
        <v>#REF!</v>
      </c>
      <c r="AP51" s="3" t="e">
        <f t="shared" si="38"/>
        <v>#REF!</v>
      </c>
      <c r="AQ51" s="3" t="e">
        <f t="shared" si="38"/>
        <v>#REF!</v>
      </c>
      <c r="AR51" s="3" t="e">
        <f t="shared" si="38"/>
        <v>#REF!</v>
      </c>
      <c r="AS51" s="3" t="e">
        <f t="shared" si="38"/>
        <v>#REF!</v>
      </c>
      <c r="AT51" s="3" t="e">
        <f t="shared" ref="AT51" si="39">+AT47+AT48+AT49-AT44</f>
        <v>#REF!</v>
      </c>
      <c r="AU51" s="10"/>
      <c r="AW51" s="65"/>
    </row>
    <row r="52" spans="3:49" ht="20.100000000000001" customHeight="1" x14ac:dyDescent="0.25">
      <c r="V52" s="64">
        <v>2</v>
      </c>
      <c r="W52" s="3" t="s">
        <v>108</v>
      </c>
      <c r="X52" s="30" t="e">
        <f>+X51-X45</f>
        <v>#REF!</v>
      </c>
      <c r="Y52" s="30" t="e">
        <f t="shared" ref="Y52:AS52" si="40">+Y51-Y45</f>
        <v>#REF!</v>
      </c>
      <c r="Z52" s="30" t="e">
        <f t="shared" si="40"/>
        <v>#REF!</v>
      </c>
      <c r="AA52" s="30" t="e">
        <f t="shared" si="40"/>
        <v>#REF!</v>
      </c>
      <c r="AB52" s="30" t="e">
        <f t="shared" si="40"/>
        <v>#REF!</v>
      </c>
      <c r="AC52" s="30" t="e">
        <f t="shared" si="40"/>
        <v>#REF!</v>
      </c>
      <c r="AD52" s="30" t="e">
        <f t="shared" si="40"/>
        <v>#REF!</v>
      </c>
      <c r="AE52" s="30" t="e">
        <f t="shared" si="40"/>
        <v>#REF!</v>
      </c>
      <c r="AF52" s="30" t="e">
        <f t="shared" si="40"/>
        <v>#REF!</v>
      </c>
      <c r="AG52" s="30" t="e">
        <f t="shared" si="40"/>
        <v>#REF!</v>
      </c>
      <c r="AH52" s="30" t="e">
        <f t="shared" si="40"/>
        <v>#REF!</v>
      </c>
      <c r="AI52" s="30" t="e">
        <f t="shared" si="40"/>
        <v>#REF!</v>
      </c>
      <c r="AJ52" s="30" t="e">
        <f t="shared" si="40"/>
        <v>#REF!</v>
      </c>
      <c r="AK52" s="30" t="e">
        <f t="shared" si="40"/>
        <v>#REF!</v>
      </c>
      <c r="AL52" s="30" t="e">
        <f t="shared" si="40"/>
        <v>#REF!</v>
      </c>
      <c r="AM52" s="30" t="e">
        <f t="shared" si="40"/>
        <v>#REF!</v>
      </c>
      <c r="AN52" s="30" t="e">
        <f t="shared" si="40"/>
        <v>#REF!</v>
      </c>
      <c r="AO52" s="30" t="e">
        <f t="shared" si="40"/>
        <v>#REF!</v>
      </c>
      <c r="AP52" s="30" t="e">
        <f t="shared" si="40"/>
        <v>#REF!</v>
      </c>
      <c r="AQ52" s="30" t="e">
        <f t="shared" si="40"/>
        <v>#REF!</v>
      </c>
      <c r="AR52" s="30" t="e">
        <f t="shared" si="40"/>
        <v>#REF!</v>
      </c>
      <c r="AS52" s="30" t="e">
        <f t="shared" si="40"/>
        <v>#REF!</v>
      </c>
      <c r="AT52" s="30" t="e">
        <f t="shared" ref="AT52" si="41">+AT51-AT45</f>
        <v>#REF!</v>
      </c>
      <c r="AU52" s="10"/>
      <c r="AW52" s="65"/>
    </row>
    <row r="53" spans="3:49" ht="20.100000000000001" customHeight="1" x14ac:dyDescent="0.25">
      <c r="V53" s="62" t="s">
        <v>109</v>
      </c>
      <c r="W53" s="1" t="s">
        <v>197</v>
      </c>
      <c r="X53" s="3"/>
      <c r="Y53" s="3"/>
      <c r="Z53" s="3"/>
      <c r="AA53" s="3"/>
      <c r="AB53" s="3"/>
      <c r="AC53" s="3"/>
      <c r="AD53" s="3"/>
      <c r="AE53" s="3"/>
      <c r="AF53" s="3"/>
      <c r="AG53" s="3"/>
      <c r="AH53" s="3"/>
      <c r="AI53" s="3"/>
      <c r="AJ53" s="3"/>
      <c r="AK53" s="3"/>
      <c r="AL53" s="3"/>
      <c r="AM53" s="3"/>
      <c r="AN53" s="3"/>
      <c r="AO53" s="3"/>
      <c r="AP53" s="3"/>
      <c r="AQ53" s="3"/>
      <c r="AR53" s="3"/>
      <c r="AS53" s="3"/>
      <c r="AT53" s="3"/>
      <c r="AU53" s="10"/>
      <c r="AW53" s="65"/>
    </row>
    <row r="54" spans="3:49" ht="20.100000000000001" customHeight="1" x14ac:dyDescent="0.25">
      <c r="V54" s="33">
        <v>1</v>
      </c>
      <c r="W54" s="3" t="s">
        <v>107</v>
      </c>
      <c r="X54" s="3" t="e">
        <f>NPV(0.1,X51:AS51)</f>
        <v>#REF!</v>
      </c>
      <c r="Y54" s="3"/>
      <c r="Z54" s="3"/>
      <c r="AA54" s="3"/>
      <c r="AB54" s="3"/>
      <c r="AC54" s="3"/>
      <c r="AD54" s="3"/>
      <c r="AE54" s="3"/>
      <c r="AF54" s="3"/>
      <c r="AG54" s="3"/>
      <c r="AH54" s="3"/>
      <c r="AI54" s="3"/>
      <c r="AJ54" s="3"/>
      <c r="AK54" s="3"/>
      <c r="AL54" s="3"/>
      <c r="AM54" s="3"/>
      <c r="AN54" s="3"/>
      <c r="AO54" s="3"/>
      <c r="AP54" s="3"/>
      <c r="AQ54" s="3"/>
      <c r="AS54" s="30">
        <f>+AT50</f>
        <v>0</v>
      </c>
      <c r="AT54" s="30">
        <f>+AU50</f>
        <v>0</v>
      </c>
      <c r="AU54" s="99"/>
      <c r="AW54" s="65"/>
    </row>
    <row r="55" spans="3:49" ht="20.100000000000001" customHeight="1" x14ac:dyDescent="0.25">
      <c r="V55" s="64">
        <v>2</v>
      </c>
      <c r="W55" s="3" t="s">
        <v>110</v>
      </c>
      <c r="X55" s="3" t="e">
        <f>NPV(0.1,X52:AS52)</f>
        <v>#REF!</v>
      </c>
      <c r="Y55" s="3"/>
      <c r="Z55" s="3"/>
      <c r="AA55" s="3"/>
      <c r="AB55" s="3"/>
      <c r="AC55" s="3"/>
      <c r="AD55" s="3"/>
      <c r="AE55" s="3"/>
      <c r="AF55" s="3"/>
      <c r="AG55" s="3"/>
      <c r="AH55" s="3"/>
      <c r="AI55" s="3"/>
      <c r="AJ55" s="3"/>
      <c r="AK55" s="3"/>
      <c r="AL55" s="3"/>
      <c r="AM55" s="3"/>
      <c r="AN55" s="3"/>
      <c r="AO55" s="3"/>
      <c r="AP55" s="3"/>
      <c r="AQ55" s="3"/>
      <c r="AS55" s="30">
        <f>+AU51</f>
        <v>0</v>
      </c>
      <c r="AT55" s="30">
        <f>+AV51</f>
        <v>0</v>
      </c>
      <c r="AU55" s="99"/>
      <c r="AW55" s="65"/>
    </row>
    <row r="56" spans="3:49" ht="20.100000000000001" customHeight="1" x14ac:dyDescent="0.25">
      <c r="V56" s="62" t="s">
        <v>111</v>
      </c>
      <c r="W56" s="7" t="s">
        <v>32</v>
      </c>
      <c r="X56" s="3"/>
      <c r="Y56" s="3"/>
      <c r="Z56" s="3"/>
      <c r="AA56" s="3"/>
      <c r="AB56" s="3"/>
      <c r="AC56" s="3"/>
      <c r="AD56" s="3"/>
      <c r="AE56" s="3"/>
      <c r="AF56" s="3"/>
      <c r="AG56" s="3"/>
      <c r="AH56" s="3"/>
      <c r="AI56" s="3"/>
      <c r="AJ56" s="3"/>
      <c r="AK56" s="3"/>
      <c r="AL56" s="3"/>
      <c r="AM56" s="3"/>
      <c r="AN56" s="3"/>
      <c r="AO56" s="3"/>
      <c r="AP56" s="3"/>
      <c r="AQ56" s="3"/>
      <c r="AS56" s="30"/>
      <c r="AT56" s="30"/>
      <c r="AU56" s="99"/>
      <c r="AW56" s="65"/>
    </row>
    <row r="57" spans="3:49" ht="20.100000000000001" customHeight="1" x14ac:dyDescent="0.25">
      <c r="V57" s="64">
        <v>1</v>
      </c>
      <c r="W57" s="3" t="s">
        <v>107</v>
      </c>
      <c r="X57" s="88" t="e">
        <f>IRR(X51:AS51)</f>
        <v>#VALUE!</v>
      </c>
      <c r="Y57" s="3"/>
      <c r="Z57" s="3"/>
      <c r="AA57" s="3"/>
      <c r="AB57" s="3"/>
      <c r="AC57" s="3"/>
      <c r="AD57" s="3"/>
      <c r="AE57" s="3"/>
      <c r="AF57" s="3"/>
      <c r="AG57" s="3"/>
      <c r="AH57" s="3"/>
      <c r="AI57" s="3"/>
      <c r="AJ57" s="3"/>
      <c r="AK57" s="3"/>
      <c r="AL57" s="3"/>
      <c r="AM57" s="3"/>
      <c r="AN57" s="3"/>
      <c r="AO57" s="3"/>
      <c r="AP57" s="3"/>
      <c r="AQ57" s="3"/>
      <c r="AS57" s="66">
        <f>+AV50</f>
        <v>0</v>
      </c>
      <c r="AT57" s="66">
        <f>+AW50</f>
        <v>0</v>
      </c>
      <c r="AU57" s="100"/>
    </row>
    <row r="58" spans="3:49" ht="20.100000000000001" customHeight="1" x14ac:dyDescent="0.25">
      <c r="C58" s="9"/>
      <c r="F58" s="67"/>
      <c r="V58" s="68">
        <v>2</v>
      </c>
      <c r="W58" s="13" t="s">
        <v>110</v>
      </c>
      <c r="X58" s="89" t="e">
        <f>IRR(X52:AS52)</f>
        <v>#VALUE!</v>
      </c>
      <c r="Y58" s="16"/>
      <c r="Z58" s="13"/>
      <c r="AA58" s="13"/>
      <c r="AB58" s="13"/>
      <c r="AC58" s="13"/>
      <c r="AD58" s="13"/>
      <c r="AE58" s="13"/>
      <c r="AF58" s="13"/>
      <c r="AG58" s="13"/>
      <c r="AH58" s="13"/>
      <c r="AI58" s="13"/>
      <c r="AJ58" s="13"/>
      <c r="AK58" s="13"/>
      <c r="AL58" s="13"/>
      <c r="AM58" s="13"/>
      <c r="AN58" s="13"/>
      <c r="AO58" s="13"/>
      <c r="AP58" s="13"/>
      <c r="AQ58" s="13"/>
      <c r="AR58" s="21"/>
      <c r="AS58" s="101">
        <f>+AW51</f>
        <v>0</v>
      </c>
      <c r="AT58" s="101">
        <f>+AX51</f>
        <v>0</v>
      </c>
      <c r="AU58" s="100"/>
    </row>
    <row r="59" spans="3:49" ht="20.100000000000001" customHeight="1" x14ac:dyDescent="0.25">
      <c r="C59" s="9"/>
      <c r="F59" s="67"/>
      <c r="V59" s="64"/>
      <c r="W59" s="3"/>
      <c r="X59" s="3"/>
      <c r="Y59" s="5"/>
      <c r="Z59" s="3"/>
      <c r="AA59" s="3"/>
      <c r="AB59" s="3"/>
      <c r="AC59" s="3"/>
      <c r="AD59" s="3"/>
      <c r="AE59" s="3"/>
      <c r="AF59" s="3"/>
      <c r="AG59" s="3"/>
      <c r="AH59" s="3"/>
      <c r="AI59" s="3"/>
      <c r="AJ59" s="3"/>
      <c r="AK59" s="3"/>
      <c r="AL59" s="3"/>
      <c r="AM59" s="3"/>
      <c r="AN59" s="3"/>
      <c r="AO59" s="3"/>
      <c r="AP59" s="3"/>
      <c r="AQ59" s="3"/>
      <c r="AR59" s="3"/>
      <c r="AS59" s="69"/>
      <c r="AT59" s="10"/>
      <c r="AU59" s="10"/>
    </row>
    <row r="60" spans="3:49" ht="18" x14ac:dyDescent="0.25">
      <c r="V60" s="70"/>
      <c r="W60" s="71"/>
      <c r="X60" s="72"/>
      <c r="Y60" s="4"/>
      <c r="Z60" s="3"/>
      <c r="AA60" s="3"/>
      <c r="AB60" s="3"/>
      <c r="AC60" s="3"/>
      <c r="AD60" s="3"/>
      <c r="AE60" s="3"/>
      <c r="AF60" s="3"/>
      <c r="AG60" s="3"/>
      <c r="AH60" s="3"/>
      <c r="AI60" s="3"/>
      <c r="AJ60" s="3"/>
      <c r="AK60" s="3"/>
      <c r="AL60" s="3"/>
      <c r="AM60" s="3"/>
      <c r="AN60" s="3"/>
      <c r="AO60" s="3"/>
      <c r="AP60" s="3"/>
      <c r="AQ60" s="3"/>
      <c r="AR60" s="3"/>
      <c r="AS60" s="3"/>
    </row>
    <row r="61" spans="3:49" ht="20.25" x14ac:dyDescent="0.3">
      <c r="V61" s="70"/>
      <c r="W61" s="116" t="s">
        <v>31</v>
      </c>
      <c r="X61" s="5" t="e">
        <f>NPV(0.1,X47:AT48)/NPV(0.1,X44:AT45)</f>
        <v>#REF!</v>
      </c>
      <c r="Y61" s="4"/>
      <c r="Z61" s="3"/>
      <c r="AA61" s="3"/>
      <c r="AB61" s="3"/>
      <c r="AC61" s="3"/>
      <c r="AD61" s="3"/>
      <c r="AE61" s="3"/>
      <c r="AF61" s="3"/>
      <c r="AG61" s="3"/>
      <c r="AH61" s="3"/>
      <c r="AI61" s="3"/>
      <c r="AJ61" s="3"/>
      <c r="AK61" s="3"/>
      <c r="AL61" s="3"/>
      <c r="AM61" s="3"/>
      <c r="AN61" s="3"/>
      <c r="AO61" s="3"/>
      <c r="AP61" s="3"/>
      <c r="AQ61" s="3"/>
      <c r="AR61" s="3"/>
      <c r="AS61" s="3"/>
    </row>
    <row r="62" spans="3:49" ht="18" x14ac:dyDescent="0.25">
      <c r="V62" s="70"/>
      <c r="W62" s="71"/>
      <c r="X62" s="72"/>
      <c r="Y62" s="4"/>
      <c r="Z62" s="3"/>
      <c r="AA62" s="3"/>
      <c r="AB62" s="3"/>
      <c r="AC62" s="3"/>
      <c r="AD62" s="3"/>
      <c r="AE62" s="3"/>
      <c r="AF62" s="3"/>
      <c r="AG62" s="3"/>
      <c r="AH62" s="3"/>
      <c r="AI62" s="3"/>
      <c r="AJ62" s="3"/>
      <c r="AK62" s="3"/>
      <c r="AL62" s="3"/>
      <c r="AM62" s="3"/>
      <c r="AN62" s="3"/>
      <c r="AO62" s="3"/>
      <c r="AP62" s="3"/>
      <c r="AQ62" s="3"/>
      <c r="AR62" s="3"/>
      <c r="AS62" s="3"/>
    </row>
    <row r="63" spans="3:49" ht="18" x14ac:dyDescent="0.25">
      <c r="V63" s="70"/>
      <c r="W63" s="117" t="s">
        <v>213</v>
      </c>
      <c r="X63" s="117"/>
      <c r="Y63" s="3"/>
      <c r="Z63" s="3"/>
      <c r="AA63" s="3"/>
      <c r="AB63" s="3"/>
      <c r="AG63" s="3"/>
      <c r="AH63" s="3"/>
      <c r="AI63" s="3"/>
      <c r="AJ63" s="3"/>
      <c r="AK63" s="3"/>
      <c r="AL63" s="3"/>
      <c r="AM63" s="3"/>
      <c r="AN63" s="3"/>
      <c r="AO63" s="3"/>
      <c r="AP63" s="3"/>
      <c r="AQ63" s="3"/>
      <c r="AR63" s="3"/>
      <c r="AS63" s="3"/>
    </row>
    <row r="64" spans="3:49" ht="18" x14ac:dyDescent="0.25">
      <c r="V64" s="70"/>
      <c r="W64" s="118" t="s">
        <v>214</v>
      </c>
      <c r="X64" s="119" t="s">
        <v>215</v>
      </c>
      <c r="Y64" s="32" t="s">
        <v>216</v>
      </c>
      <c r="Z64" s="32" t="s">
        <v>217</v>
      </c>
      <c r="AA64" s="32" t="s">
        <v>218</v>
      </c>
      <c r="AB64" s="32" t="s">
        <v>219</v>
      </c>
      <c r="AC64" s="32" t="s">
        <v>220</v>
      </c>
      <c r="AD64" s="32" t="s">
        <v>221</v>
      </c>
      <c r="AE64" s="32" t="s">
        <v>222</v>
      </c>
      <c r="AF64" s="32" t="s">
        <v>221</v>
      </c>
      <c r="AG64" s="32" t="s">
        <v>222</v>
      </c>
      <c r="AH64" s="3"/>
      <c r="AI64" s="3"/>
      <c r="AJ64" s="3"/>
      <c r="AK64" s="3"/>
      <c r="AL64" s="3"/>
      <c r="AM64" s="3"/>
      <c r="AN64" s="3"/>
      <c r="AO64" s="3"/>
      <c r="AP64" s="3"/>
      <c r="AQ64" s="3"/>
      <c r="AR64" s="3"/>
      <c r="AS64" s="3"/>
    </row>
    <row r="65" spans="22:45" ht="18" x14ac:dyDescent="0.25">
      <c r="V65" s="70"/>
      <c r="W65" s="84" t="s">
        <v>223</v>
      </c>
      <c r="X65" s="3" t="e">
        <f>D17</f>
        <v>#REF!</v>
      </c>
      <c r="Y65" t="e">
        <f>X70</f>
        <v>#REF!</v>
      </c>
      <c r="Z65" t="e">
        <f>Y70</f>
        <v>#REF!</v>
      </c>
      <c r="AA65" t="e">
        <f t="shared" ref="AA65:AH65" si="42">Z70</f>
        <v>#REF!</v>
      </c>
      <c r="AB65" t="e">
        <f t="shared" si="42"/>
        <v>#REF!</v>
      </c>
      <c r="AC65" t="e">
        <f t="shared" si="42"/>
        <v>#REF!</v>
      </c>
      <c r="AD65" t="e">
        <f t="shared" si="42"/>
        <v>#REF!</v>
      </c>
      <c r="AE65" t="e">
        <f t="shared" si="42"/>
        <v>#REF!</v>
      </c>
      <c r="AF65" t="e">
        <f t="shared" si="42"/>
        <v>#REF!</v>
      </c>
      <c r="AG65" t="e">
        <f t="shared" si="42"/>
        <v>#REF!</v>
      </c>
      <c r="AH65" t="e">
        <f t="shared" si="42"/>
        <v>#REF!</v>
      </c>
      <c r="AI65" s="3"/>
      <c r="AJ65" s="3"/>
      <c r="AK65" s="3"/>
      <c r="AL65" s="3"/>
      <c r="AM65" s="3"/>
      <c r="AN65" s="3"/>
      <c r="AO65" s="3"/>
      <c r="AP65" s="3"/>
      <c r="AQ65" s="3"/>
      <c r="AR65" s="3"/>
      <c r="AS65" s="3"/>
    </row>
    <row r="66" spans="22:45" ht="18" x14ac:dyDescent="0.25">
      <c r="V66" s="70"/>
      <c r="W66" s="84" t="s">
        <v>224</v>
      </c>
      <c r="X66" s="3" t="e">
        <f t="shared" ref="X66:Z67" si="43">X7</f>
        <v>#REF!</v>
      </c>
      <c r="Y66" s="3" t="e">
        <f t="shared" si="43"/>
        <v>#REF!</v>
      </c>
      <c r="Z66" s="3" t="e">
        <f t="shared" si="43"/>
        <v>#REF!</v>
      </c>
      <c r="AA66" s="3" t="e">
        <f t="shared" ref="AA66:AF66" si="44">AA7</f>
        <v>#REF!</v>
      </c>
      <c r="AB66" s="3" t="e">
        <f t="shared" si="44"/>
        <v>#REF!</v>
      </c>
      <c r="AC66" s="3" t="e">
        <f t="shared" si="44"/>
        <v>#REF!</v>
      </c>
      <c r="AD66" s="3" t="e">
        <f t="shared" si="44"/>
        <v>#REF!</v>
      </c>
      <c r="AE66" s="3" t="e">
        <f t="shared" si="44"/>
        <v>#REF!</v>
      </c>
      <c r="AF66" s="3" t="e">
        <f t="shared" si="44"/>
        <v>#REF!</v>
      </c>
      <c r="AG66" s="3" t="e">
        <f t="shared" ref="AG66:AH66" si="45">AG7</f>
        <v>#REF!</v>
      </c>
      <c r="AH66" s="3" t="e">
        <f t="shared" si="45"/>
        <v>#REF!</v>
      </c>
      <c r="AI66" s="3"/>
      <c r="AJ66" s="3"/>
      <c r="AK66" s="3"/>
      <c r="AL66" s="3"/>
      <c r="AM66" s="3"/>
      <c r="AN66" s="3"/>
      <c r="AO66" s="3"/>
      <c r="AP66" s="3"/>
      <c r="AQ66" s="3"/>
      <c r="AR66" s="3"/>
      <c r="AS66" s="3"/>
    </row>
    <row r="67" spans="22:45" ht="18" x14ac:dyDescent="0.25">
      <c r="V67" s="70"/>
      <c r="W67" s="120" t="s">
        <v>225</v>
      </c>
      <c r="X67" s="3" t="e">
        <f t="shared" si="43"/>
        <v>#REF!</v>
      </c>
      <c r="Y67" s="3" t="e">
        <f t="shared" si="43"/>
        <v>#REF!</v>
      </c>
      <c r="Z67" s="3" t="e">
        <f t="shared" si="43"/>
        <v>#REF!</v>
      </c>
      <c r="AA67" s="3" t="e">
        <f t="shared" ref="AA67:AF67" si="46">AA8</f>
        <v>#REF!</v>
      </c>
      <c r="AB67" s="3" t="e">
        <f t="shared" si="46"/>
        <v>#REF!</v>
      </c>
      <c r="AC67" s="3" t="e">
        <f t="shared" si="46"/>
        <v>#REF!</v>
      </c>
      <c r="AD67" s="3" t="e">
        <f t="shared" si="46"/>
        <v>#REF!</v>
      </c>
      <c r="AE67" s="3" t="e">
        <f t="shared" si="46"/>
        <v>#REF!</v>
      </c>
      <c r="AF67" s="3" t="e">
        <f t="shared" si="46"/>
        <v>#REF!</v>
      </c>
      <c r="AG67" s="3" t="e">
        <f t="shared" ref="AG67:AH67" si="47">AG8</f>
        <v>#REF!</v>
      </c>
      <c r="AH67" s="3" t="e">
        <f t="shared" si="47"/>
        <v>#REF!</v>
      </c>
      <c r="AI67" s="3"/>
      <c r="AJ67" s="3"/>
      <c r="AK67" s="3"/>
      <c r="AL67" s="3"/>
      <c r="AM67" s="3"/>
      <c r="AN67" s="3"/>
      <c r="AO67" s="3"/>
      <c r="AP67" s="3"/>
      <c r="AQ67" s="3"/>
      <c r="AR67" s="3"/>
      <c r="AS67" s="3"/>
    </row>
    <row r="68" spans="22:45" x14ac:dyDescent="0.2">
      <c r="W68" s="120" t="s">
        <v>226</v>
      </c>
      <c r="X68" s="39" t="e">
        <f>X11</f>
        <v>#REF!</v>
      </c>
      <c r="Y68" s="39" t="e">
        <f>Y11</f>
        <v>#REF!</v>
      </c>
      <c r="Z68" s="39" t="e">
        <f>Z11</f>
        <v>#REF!</v>
      </c>
      <c r="AA68" s="39" t="e">
        <f t="shared" ref="AA68:AF68" si="48">AA11</f>
        <v>#REF!</v>
      </c>
      <c r="AB68" s="39" t="e">
        <f t="shared" si="48"/>
        <v>#REF!</v>
      </c>
      <c r="AC68" s="39" t="e">
        <f t="shared" si="48"/>
        <v>#REF!</v>
      </c>
      <c r="AD68" s="39" t="e">
        <f t="shared" si="48"/>
        <v>#REF!</v>
      </c>
      <c r="AE68" s="39" t="e">
        <f t="shared" si="48"/>
        <v>#REF!</v>
      </c>
      <c r="AF68" s="39" t="e">
        <f t="shared" si="48"/>
        <v>#REF!</v>
      </c>
      <c r="AG68" s="39" t="e">
        <f t="shared" ref="AG68:AH68" si="49">AG11</f>
        <v>#REF!</v>
      </c>
      <c r="AH68" s="39" t="e">
        <f t="shared" si="49"/>
        <v>#REF!</v>
      </c>
      <c r="AI68" s="3"/>
      <c r="AJ68" s="3"/>
      <c r="AK68" s="3"/>
      <c r="AL68" s="3"/>
      <c r="AM68" s="3"/>
      <c r="AN68" s="3"/>
      <c r="AO68" s="3"/>
      <c r="AP68" s="3"/>
      <c r="AQ68" s="3"/>
      <c r="AR68" s="3"/>
      <c r="AS68" s="3"/>
    </row>
    <row r="69" spans="22:45" x14ac:dyDescent="0.2">
      <c r="W69" s="120" t="s">
        <v>227</v>
      </c>
      <c r="X69" s="39" t="e">
        <f>+X66-X67-X68</f>
        <v>#REF!</v>
      </c>
      <c r="Y69" s="39" t="e">
        <f>+Y66-Y67-Y68</f>
        <v>#REF!</v>
      </c>
      <c r="Z69" s="39" t="e">
        <f>+Z66-Z67-Z68</f>
        <v>#REF!</v>
      </c>
      <c r="AA69" s="39" t="e">
        <f t="shared" ref="AA69:AF69" si="50">+AA66-AA67-AA68</f>
        <v>#REF!</v>
      </c>
      <c r="AB69" s="39" t="e">
        <f t="shared" si="50"/>
        <v>#REF!</v>
      </c>
      <c r="AC69" s="39" t="e">
        <f t="shared" si="50"/>
        <v>#REF!</v>
      </c>
      <c r="AD69" s="39" t="e">
        <f t="shared" si="50"/>
        <v>#REF!</v>
      </c>
      <c r="AE69" s="39" t="e">
        <f t="shared" si="50"/>
        <v>#REF!</v>
      </c>
      <c r="AF69" s="39" t="e">
        <f t="shared" si="50"/>
        <v>#REF!</v>
      </c>
      <c r="AG69" s="39" t="e">
        <f t="shared" ref="AG69:AH69" si="51">+AG66-AG67-AG68</f>
        <v>#REF!</v>
      </c>
      <c r="AH69" s="39" t="e">
        <f t="shared" si="51"/>
        <v>#REF!</v>
      </c>
      <c r="AI69" s="3"/>
      <c r="AJ69" s="3"/>
      <c r="AK69" s="3"/>
      <c r="AL69" s="3"/>
      <c r="AM69" s="3"/>
      <c r="AN69" s="3"/>
      <c r="AO69" s="3"/>
      <c r="AP69" s="3"/>
      <c r="AQ69" s="3"/>
      <c r="AR69" s="3"/>
      <c r="AS69" s="3"/>
    </row>
    <row r="70" spans="22:45" x14ac:dyDescent="0.2">
      <c r="W70" s="120" t="s">
        <v>228</v>
      </c>
      <c r="X70" s="39" t="e">
        <f>+X65-X69</f>
        <v>#REF!</v>
      </c>
      <c r="Y70" s="39" t="e">
        <f>+Y65-Y69</f>
        <v>#REF!</v>
      </c>
      <c r="Z70" s="39" t="e">
        <f>+Z65-Z69</f>
        <v>#REF!</v>
      </c>
      <c r="AA70" s="39" t="e">
        <f t="shared" ref="AA70:AF70" si="52">+AA65-AA69</f>
        <v>#REF!</v>
      </c>
      <c r="AB70" s="39" t="e">
        <f t="shared" si="52"/>
        <v>#REF!</v>
      </c>
      <c r="AC70" s="39" t="e">
        <f t="shared" si="52"/>
        <v>#REF!</v>
      </c>
      <c r="AD70" s="39" t="e">
        <f t="shared" si="52"/>
        <v>#REF!</v>
      </c>
      <c r="AE70" s="39" t="e">
        <f t="shared" si="52"/>
        <v>#REF!</v>
      </c>
      <c r="AF70" s="39" t="e">
        <f t="shared" si="52"/>
        <v>#REF!</v>
      </c>
      <c r="AG70" s="39" t="e">
        <f t="shared" ref="AG70:AH70" si="53">+AG65-AG69</f>
        <v>#REF!</v>
      </c>
      <c r="AH70" s="39" t="e">
        <f t="shared" si="53"/>
        <v>#REF!</v>
      </c>
      <c r="AI70" s="3"/>
      <c r="AJ70" s="3"/>
      <c r="AK70" s="3"/>
      <c r="AL70" s="3"/>
      <c r="AM70" s="3"/>
      <c r="AN70" s="3"/>
      <c r="AO70" s="3"/>
      <c r="AP70" s="3"/>
      <c r="AQ70" s="3"/>
      <c r="AR70" s="3"/>
      <c r="AS70" s="3"/>
    </row>
    <row r="71" spans="22:45" x14ac:dyDescent="0.2">
      <c r="W71" s="120"/>
      <c r="X71" s="39" t="e">
        <f>IF(X65/X69&gt;1,1,X65/X69)</f>
        <v>#REF!</v>
      </c>
      <c r="Y71" s="39" t="e">
        <f>IF(Y65/Y69&gt;1,1,Y65/Y69)*0+8/12</f>
        <v>#REF!</v>
      </c>
      <c r="Z71" s="39" t="e">
        <f>IF(Z65/Z69&gt;1,1,Z65/Z69)</f>
        <v>#REF!</v>
      </c>
      <c r="AA71" s="39" t="e">
        <f t="shared" ref="AA71:AF71" si="54">IF(AA65/AA69&gt;1,1,AA65/AA69)</f>
        <v>#REF!</v>
      </c>
      <c r="AB71" s="39" t="e">
        <f t="shared" si="54"/>
        <v>#REF!</v>
      </c>
      <c r="AC71" s="39" t="e">
        <f t="shared" si="54"/>
        <v>#REF!</v>
      </c>
      <c r="AD71" s="39" t="e">
        <f t="shared" si="54"/>
        <v>#REF!</v>
      </c>
      <c r="AE71" s="39" t="e">
        <f t="shared" si="54"/>
        <v>#REF!</v>
      </c>
      <c r="AF71" s="39" t="e">
        <f t="shared" si="54"/>
        <v>#REF!</v>
      </c>
      <c r="AG71" s="39" t="e">
        <f t="shared" ref="AG71:AH71" si="55">IF(AG65/AG69&gt;1,1,AG65/AG69)</f>
        <v>#REF!</v>
      </c>
      <c r="AH71" s="39" t="e">
        <f t="shared" si="55"/>
        <v>#REF!</v>
      </c>
      <c r="AI71" s="3"/>
      <c r="AJ71" s="3"/>
      <c r="AK71" s="3"/>
      <c r="AL71" s="3"/>
      <c r="AM71" s="3"/>
      <c r="AN71" s="3"/>
      <c r="AO71" s="3"/>
      <c r="AP71" s="3"/>
      <c r="AQ71" s="3"/>
      <c r="AR71" s="3"/>
      <c r="AS71" s="3"/>
    </row>
    <row r="72" spans="22:45" x14ac:dyDescent="0.2">
      <c r="W72" s="121" t="s">
        <v>229</v>
      </c>
      <c r="X72" s="184" t="e">
        <f>SUM(Y71:AG71)</f>
        <v>#REF!</v>
      </c>
      <c r="Y72" s="45"/>
      <c r="Z72" s="122"/>
      <c r="AA72" s="13"/>
      <c r="AB72" s="21"/>
      <c r="AC72" s="21"/>
      <c r="AD72" s="13"/>
      <c r="AE72" s="13"/>
      <c r="AG72" s="3"/>
      <c r="AH72" s="3"/>
      <c r="AI72" s="3"/>
      <c r="AJ72" s="3"/>
      <c r="AK72" s="3"/>
      <c r="AL72" s="3"/>
      <c r="AM72" s="3"/>
      <c r="AN72" s="3"/>
      <c r="AO72" s="3"/>
      <c r="AP72" s="3"/>
      <c r="AQ72" s="3"/>
      <c r="AR72" s="3"/>
      <c r="AS72" s="3"/>
    </row>
    <row r="73" spans="22:45" x14ac:dyDescent="0.2">
      <c r="AE73" s="3"/>
      <c r="AF73" s="3"/>
      <c r="AG73" s="3"/>
      <c r="AH73" s="3"/>
      <c r="AI73" s="3"/>
      <c r="AJ73" s="3"/>
      <c r="AK73" s="3"/>
      <c r="AL73" s="3"/>
      <c r="AM73" s="3"/>
      <c r="AN73" s="3"/>
      <c r="AO73" s="3"/>
      <c r="AP73" s="3"/>
      <c r="AQ73" s="3"/>
      <c r="AR73" s="3"/>
      <c r="AS73" s="3"/>
    </row>
    <row r="74" spans="22:45" x14ac:dyDescent="0.2">
      <c r="W74" s="39" t="s">
        <v>230</v>
      </c>
      <c r="X74" s="39"/>
      <c r="Y74" s="3"/>
      <c r="Z74" s="3" t="e">
        <f t="shared" ref="Z74:AJ74" si="56">Z7/(Z30+Z32)</f>
        <v>#REF!</v>
      </c>
      <c r="AA74" s="3" t="e">
        <f t="shared" si="56"/>
        <v>#REF!</v>
      </c>
      <c r="AB74" s="3" t="e">
        <f t="shared" si="56"/>
        <v>#REF!</v>
      </c>
      <c r="AC74" s="3" t="e">
        <f t="shared" si="56"/>
        <v>#REF!</v>
      </c>
      <c r="AD74" s="3" t="e">
        <f t="shared" si="56"/>
        <v>#REF!</v>
      </c>
      <c r="AE74" s="3" t="e">
        <f t="shared" si="56"/>
        <v>#REF!</v>
      </c>
      <c r="AF74" s="3" t="e">
        <f t="shared" si="56"/>
        <v>#REF!</v>
      </c>
      <c r="AG74" s="3" t="e">
        <f t="shared" si="56"/>
        <v>#REF!</v>
      </c>
      <c r="AH74" s="3" t="e">
        <f t="shared" si="56"/>
        <v>#REF!</v>
      </c>
      <c r="AI74" s="3" t="e">
        <f t="shared" si="56"/>
        <v>#REF!</v>
      </c>
      <c r="AJ74" s="3" t="e">
        <f t="shared" si="56"/>
        <v>#REF!</v>
      </c>
      <c r="AK74" s="123"/>
      <c r="AL74" s="123"/>
      <c r="AM74" s="123"/>
      <c r="AN74" s="3"/>
      <c r="AO74" s="3"/>
      <c r="AP74" s="3"/>
      <c r="AQ74" s="3"/>
      <c r="AR74" s="3"/>
      <c r="AS74" s="3"/>
    </row>
    <row r="75" spans="22:45" x14ac:dyDescent="0.2">
      <c r="W75" s="39" t="s">
        <v>231</v>
      </c>
      <c r="X75" s="39"/>
      <c r="Y75" s="39"/>
      <c r="Z75" s="39"/>
      <c r="AA75" s="39"/>
      <c r="AB75" s="39"/>
      <c r="AC75" s="39"/>
      <c r="AD75" s="39"/>
      <c r="AE75" s="39"/>
      <c r="AG75" s="3"/>
      <c r="AH75" s="3"/>
      <c r="AI75" s="3"/>
      <c r="AJ75" s="3"/>
      <c r="AK75" s="3"/>
      <c r="AL75" s="3"/>
      <c r="AM75" s="3"/>
      <c r="AN75" s="3"/>
      <c r="AO75" s="3"/>
      <c r="AP75" s="3"/>
      <c r="AQ75" s="3"/>
      <c r="AR75" s="3"/>
      <c r="AS75" s="3"/>
    </row>
    <row r="76" spans="22:45" x14ac:dyDescent="0.2">
      <c r="W76" s="39" t="s">
        <v>232</v>
      </c>
      <c r="X76" s="39"/>
      <c r="AA76" s="39"/>
      <c r="AB76" s="39"/>
      <c r="AC76" s="39"/>
      <c r="AD76" s="39"/>
      <c r="AE76" s="39"/>
      <c r="AG76" s="3"/>
      <c r="AH76" s="3"/>
      <c r="AI76" s="3"/>
      <c r="AJ76" s="3"/>
      <c r="AK76" s="3"/>
      <c r="AL76" s="3"/>
      <c r="AM76" s="3"/>
      <c r="AN76" s="3"/>
      <c r="AO76" s="3"/>
      <c r="AP76" s="3"/>
      <c r="AQ76" s="3"/>
      <c r="AR76" s="3"/>
      <c r="AS76" s="3"/>
    </row>
    <row r="77" spans="22:45" x14ac:dyDescent="0.2">
      <c r="W77" s="39" t="s">
        <v>233</v>
      </c>
      <c r="X77" s="39"/>
      <c r="Y77" s="3" t="e">
        <f>SUM(Y7:AG7)/SUM(Y30:AG32)</f>
        <v>#REF!</v>
      </c>
      <c r="Z77" s="3"/>
      <c r="AA77" s="3"/>
      <c r="AB77" s="3"/>
      <c r="AC77" s="3"/>
      <c r="AD77" s="3"/>
      <c r="AE77" s="3"/>
      <c r="AG77" s="3"/>
      <c r="AH77" s="3"/>
      <c r="AI77" s="3"/>
      <c r="AJ77" s="3"/>
      <c r="AK77" s="3"/>
      <c r="AL77" s="3"/>
      <c r="AM77" s="3"/>
      <c r="AN77" s="3"/>
      <c r="AO77" s="3"/>
      <c r="AP77" s="3"/>
      <c r="AQ77" s="3"/>
      <c r="AR77" s="3"/>
      <c r="AS77" s="3"/>
    </row>
    <row r="78" spans="22:45" x14ac:dyDescent="0.2">
      <c r="W78" s="3"/>
      <c r="X78" s="3"/>
      <c r="Y78" s="3"/>
      <c r="Z78" s="3"/>
      <c r="AA78" s="3"/>
      <c r="AB78" s="3"/>
      <c r="AC78" s="3"/>
      <c r="AD78" s="3"/>
      <c r="AE78" s="3"/>
      <c r="AF78" s="3"/>
      <c r="AG78" s="3"/>
      <c r="AH78" s="3"/>
      <c r="AI78" s="3"/>
      <c r="AJ78" s="3"/>
      <c r="AK78" s="3"/>
      <c r="AL78" s="3"/>
      <c r="AM78" s="3"/>
      <c r="AN78" s="3"/>
      <c r="AO78" s="3"/>
      <c r="AP78" s="3"/>
      <c r="AQ78" s="3"/>
      <c r="AR78" s="3"/>
      <c r="AS78" s="3"/>
    </row>
    <row r="79" spans="22:45" x14ac:dyDescent="0.2">
      <c r="W79" s="3"/>
      <c r="X79" s="3"/>
      <c r="Y79" s="3"/>
      <c r="Z79" s="3"/>
      <c r="AA79" s="3"/>
      <c r="AB79" s="3"/>
      <c r="AC79" s="3"/>
      <c r="AD79" s="3"/>
      <c r="AE79" s="3"/>
      <c r="AF79" s="3"/>
      <c r="AG79" s="3"/>
      <c r="AH79" s="3"/>
      <c r="AI79" s="3"/>
      <c r="AJ79" s="3"/>
      <c r="AK79" s="3"/>
      <c r="AL79" s="3"/>
      <c r="AM79" s="3"/>
      <c r="AN79" s="3"/>
      <c r="AO79" s="3"/>
      <c r="AP79" s="3"/>
      <c r="AQ79" s="3"/>
      <c r="AR79" s="3"/>
      <c r="AS79" s="3"/>
    </row>
    <row r="80" spans="22:45" x14ac:dyDescent="0.2">
      <c r="W80" s="3"/>
      <c r="X80" s="3"/>
      <c r="Y80" s="3"/>
      <c r="Z80" s="3"/>
      <c r="AA80" s="3"/>
      <c r="AB80" s="3"/>
      <c r="AC80" s="3"/>
      <c r="AD80" s="3"/>
      <c r="AE80" s="3"/>
      <c r="AF80" s="3"/>
      <c r="AG80" s="3"/>
      <c r="AH80" s="3"/>
      <c r="AI80" s="3"/>
      <c r="AJ80" s="3"/>
      <c r="AK80" s="3"/>
      <c r="AL80" s="3"/>
      <c r="AM80" s="3"/>
      <c r="AN80" s="3"/>
      <c r="AO80" s="3"/>
      <c r="AP80" s="3"/>
      <c r="AQ80" s="3"/>
      <c r="AR80" s="3"/>
      <c r="AS80" s="3"/>
    </row>
    <row r="81" spans="23:45" x14ac:dyDescent="0.2">
      <c r="W81" s="3"/>
      <c r="X81" s="3"/>
      <c r="Y81" s="3"/>
      <c r="Z81" s="3"/>
      <c r="AA81" s="3"/>
      <c r="AB81" s="3"/>
      <c r="AC81" s="3"/>
      <c r="AD81" s="3"/>
      <c r="AE81" s="3"/>
      <c r="AF81" s="3"/>
      <c r="AG81" s="3"/>
      <c r="AH81" s="3"/>
      <c r="AI81" s="3"/>
      <c r="AJ81" s="3"/>
      <c r="AK81" s="3"/>
      <c r="AL81" s="3"/>
      <c r="AM81" s="3"/>
      <c r="AN81" s="3"/>
      <c r="AO81" s="3"/>
      <c r="AP81" s="3"/>
      <c r="AQ81" s="3"/>
      <c r="AR81" s="3"/>
      <c r="AS81" s="3"/>
    </row>
    <row r="82" spans="23:45" x14ac:dyDescent="0.2">
      <c r="W82" s="3"/>
      <c r="X82" s="3"/>
      <c r="Y82" s="3"/>
      <c r="Z82" s="3"/>
      <c r="AA82" s="3"/>
      <c r="AB82" s="3"/>
      <c r="AC82" s="3"/>
      <c r="AD82" s="3"/>
      <c r="AE82" s="3"/>
      <c r="AF82" s="3"/>
      <c r="AG82" s="3"/>
      <c r="AH82" s="3"/>
      <c r="AI82" s="3"/>
      <c r="AJ82" s="3"/>
      <c r="AK82" s="3"/>
      <c r="AL82" s="3"/>
      <c r="AM82" s="3"/>
      <c r="AN82" s="3"/>
      <c r="AO82" s="3"/>
      <c r="AP82" s="3"/>
      <c r="AQ82" s="3"/>
      <c r="AR82" s="3"/>
      <c r="AS82" s="3"/>
    </row>
    <row r="83" spans="23:45" x14ac:dyDescent="0.2">
      <c r="W83" s="3"/>
      <c r="X83" s="3"/>
      <c r="Y83" s="3"/>
      <c r="Z83" s="3"/>
      <c r="AA83" s="3"/>
      <c r="AB83" s="3"/>
      <c r="AC83" s="3"/>
      <c r="AD83" s="3"/>
      <c r="AE83" s="3"/>
      <c r="AF83" s="3"/>
      <c r="AG83" s="3"/>
      <c r="AH83" s="3"/>
      <c r="AI83" s="3"/>
      <c r="AJ83" s="3"/>
      <c r="AK83" s="3"/>
      <c r="AL83" s="3"/>
      <c r="AM83" s="3"/>
      <c r="AN83" s="3"/>
      <c r="AO83" s="3"/>
      <c r="AP83" s="3"/>
      <c r="AQ83" s="3"/>
      <c r="AR83" s="3"/>
      <c r="AS83" s="3"/>
    </row>
    <row r="84" spans="23:45" x14ac:dyDescent="0.2">
      <c r="W84" s="3"/>
      <c r="X84" s="3"/>
      <c r="Y84" s="3"/>
      <c r="Z84" s="3"/>
      <c r="AA84" s="3"/>
      <c r="AB84" s="3"/>
      <c r="AC84" s="3"/>
      <c r="AD84" s="3"/>
      <c r="AE84" s="3"/>
      <c r="AF84" s="3"/>
      <c r="AG84" s="3"/>
      <c r="AH84" s="3"/>
      <c r="AI84" s="3"/>
      <c r="AJ84" s="3"/>
      <c r="AK84" s="3"/>
      <c r="AL84" s="3"/>
      <c r="AM84" s="3"/>
      <c r="AN84" s="3"/>
      <c r="AO84" s="3"/>
      <c r="AP84" s="3"/>
      <c r="AQ84" s="3"/>
      <c r="AR84" s="3"/>
      <c r="AS84" s="3"/>
    </row>
    <row r="85" spans="23:45" x14ac:dyDescent="0.2">
      <c r="W85" s="3"/>
      <c r="X85" s="3"/>
      <c r="Y85" s="3"/>
      <c r="Z85" s="3"/>
      <c r="AA85" s="3"/>
      <c r="AB85" s="3"/>
      <c r="AC85" s="3"/>
      <c r="AD85" s="3"/>
      <c r="AE85" s="3"/>
      <c r="AF85" s="3"/>
      <c r="AG85" s="3"/>
      <c r="AH85" s="3"/>
      <c r="AI85" s="3"/>
      <c r="AJ85" s="3"/>
      <c r="AK85" s="3"/>
      <c r="AL85" s="3"/>
      <c r="AM85" s="3"/>
      <c r="AN85" s="3"/>
      <c r="AO85" s="3"/>
      <c r="AP85" s="3"/>
      <c r="AQ85" s="3"/>
      <c r="AR85" s="3"/>
      <c r="AS85" s="3"/>
    </row>
    <row r="86" spans="23:45" x14ac:dyDescent="0.2">
      <c r="W86" s="3"/>
      <c r="X86" s="3"/>
      <c r="Y86" s="3"/>
      <c r="Z86" s="3"/>
      <c r="AA86" s="3"/>
      <c r="AB86" s="3"/>
      <c r="AC86" s="3"/>
      <c r="AD86" s="3"/>
      <c r="AE86" s="3"/>
      <c r="AF86" s="3"/>
      <c r="AG86" s="3"/>
      <c r="AH86" s="3"/>
      <c r="AI86" s="3"/>
      <c r="AJ86" s="3"/>
      <c r="AK86" s="3"/>
      <c r="AL86" s="3"/>
      <c r="AM86" s="3"/>
      <c r="AN86" s="3"/>
      <c r="AO86" s="3"/>
      <c r="AP86" s="3"/>
      <c r="AQ86" s="3"/>
      <c r="AR86" s="3"/>
      <c r="AS86" s="3"/>
    </row>
  </sheetData>
  <mergeCells count="2">
    <mergeCell ref="H3:I3"/>
    <mergeCell ref="H15:I15"/>
  </mergeCells>
  <phoneticPr fontId="36" type="noConversion"/>
  <pageMargins left="1.06" right="0.75" top="1.01" bottom="0.66" header="0.5" footer="0.47"/>
  <pageSetup scale="1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B7:E37"/>
  <sheetViews>
    <sheetView workbookViewId="0">
      <selection activeCell="E22" sqref="E22"/>
    </sheetView>
  </sheetViews>
  <sheetFormatPr defaultRowHeight="15" x14ac:dyDescent="0.2"/>
  <cols>
    <col min="3" max="3" width="28.6640625" customWidth="1"/>
    <col min="4" max="4" width="17.21875" customWidth="1"/>
    <col min="5" max="5" width="15" customWidth="1"/>
  </cols>
  <sheetData>
    <row r="7" spans="2:5" ht="18.75" x14ac:dyDescent="0.3">
      <c r="E7" s="104" t="s">
        <v>249</v>
      </c>
    </row>
    <row r="8" spans="2:5" ht="18.75" x14ac:dyDescent="0.3">
      <c r="D8" s="81"/>
    </row>
    <row r="9" spans="2:5" ht="15.75" x14ac:dyDescent="0.25">
      <c r="B9" s="936" t="e">
        <f>#REF!</f>
        <v>#REF!</v>
      </c>
      <c r="C9" s="936"/>
      <c r="D9" s="936"/>
      <c r="E9" s="936"/>
    </row>
    <row r="10" spans="2:5" ht="15.75" x14ac:dyDescent="0.25">
      <c r="B10" s="936" t="e">
        <f>#REF!</f>
        <v>#REF!</v>
      </c>
      <c r="C10" s="936"/>
      <c r="D10" s="936"/>
      <c r="E10" s="936"/>
    </row>
    <row r="11" spans="2:5" ht="15.75" x14ac:dyDescent="0.2">
      <c r="B11" s="941" t="e">
        <f>#REF!</f>
        <v>#REF!</v>
      </c>
      <c r="C11" s="941"/>
      <c r="D11" s="941"/>
      <c r="E11" s="941"/>
    </row>
    <row r="12" spans="2:5" ht="15.75" x14ac:dyDescent="0.25">
      <c r="B12" s="938" t="s">
        <v>125</v>
      </c>
      <c r="C12" s="938"/>
      <c r="D12" s="938"/>
      <c r="E12" s="938"/>
    </row>
    <row r="13" spans="2:5" ht="15.75" x14ac:dyDescent="0.25">
      <c r="B13" s="74"/>
      <c r="C13" s="74"/>
      <c r="D13" s="74"/>
      <c r="E13" s="74"/>
    </row>
    <row r="14" spans="2:5" x14ac:dyDescent="0.2">
      <c r="B14" s="90" t="s">
        <v>138</v>
      </c>
      <c r="C14" s="90" t="s">
        <v>122</v>
      </c>
      <c r="D14" s="90" t="s">
        <v>36</v>
      </c>
      <c r="E14" s="90" t="s">
        <v>139</v>
      </c>
    </row>
    <row r="15" spans="2:5" ht="15.75" x14ac:dyDescent="0.2">
      <c r="B15" s="411">
        <v>1</v>
      </c>
      <c r="C15" s="412" t="s">
        <v>236</v>
      </c>
      <c r="D15" s="413" t="s">
        <v>113</v>
      </c>
      <c r="E15" s="414" t="e">
        <f>#REF!</f>
        <v>#REF!</v>
      </c>
    </row>
    <row r="16" spans="2:5" ht="15.75" x14ac:dyDescent="0.2">
      <c r="B16" s="415"/>
      <c r="C16" s="416"/>
      <c r="D16" s="417"/>
      <c r="E16" s="418"/>
    </row>
    <row r="17" spans="2:5" ht="15.75" x14ac:dyDescent="0.2">
      <c r="B17" s="415">
        <v>2</v>
      </c>
      <c r="C17" s="419" t="s">
        <v>324</v>
      </c>
      <c r="D17" s="420" t="s">
        <v>113</v>
      </c>
      <c r="E17" s="418" t="e">
        <f>GM!F40</f>
        <v>#REF!</v>
      </c>
    </row>
    <row r="18" spans="2:5" ht="15.75" x14ac:dyDescent="0.2">
      <c r="B18" s="415"/>
      <c r="C18" s="421"/>
      <c r="D18" s="420"/>
      <c r="E18" s="418"/>
    </row>
    <row r="19" spans="2:5" ht="15.75" x14ac:dyDescent="0.2">
      <c r="B19" s="422">
        <v>3</v>
      </c>
      <c r="C19" s="423" t="s">
        <v>198</v>
      </c>
      <c r="D19" s="424" t="s">
        <v>114</v>
      </c>
      <c r="E19" s="418" t="e">
        <f>'cash flow'!X55</f>
        <v>#REF!</v>
      </c>
    </row>
    <row r="20" spans="2:5" ht="15.75" x14ac:dyDescent="0.2">
      <c r="B20" s="415"/>
      <c r="C20" s="425"/>
      <c r="D20" s="426"/>
      <c r="E20" s="421"/>
    </row>
    <row r="21" spans="2:5" ht="15.75" x14ac:dyDescent="0.2">
      <c r="B21" s="415">
        <v>4</v>
      </c>
      <c r="C21" s="423" t="s">
        <v>115</v>
      </c>
      <c r="D21" s="426" t="s">
        <v>33</v>
      </c>
      <c r="E21" s="427" t="e">
        <f>'cash flow'!X58</f>
        <v>#VALUE!</v>
      </c>
    </row>
    <row r="22" spans="2:5" ht="15.75" x14ac:dyDescent="0.2">
      <c r="B22" s="428"/>
      <c r="C22" s="429"/>
      <c r="D22" s="430"/>
      <c r="E22" s="431"/>
    </row>
    <row r="23" spans="2:5" ht="15.75" x14ac:dyDescent="0.2">
      <c r="B23" s="91"/>
      <c r="C23" s="939"/>
      <c r="D23" s="940"/>
      <c r="E23" s="940"/>
    </row>
    <row r="26" spans="2:5" ht="15.75" x14ac:dyDescent="0.25">
      <c r="B26" s="76"/>
      <c r="C26" s="74"/>
      <c r="D26" s="73"/>
      <c r="E26" s="73"/>
    </row>
    <row r="27" spans="2:5" ht="15.75" x14ac:dyDescent="0.25">
      <c r="B27" s="73"/>
      <c r="C27" s="73"/>
      <c r="D27" s="73"/>
      <c r="E27" s="73"/>
    </row>
    <row r="28" spans="2:5" ht="15.75" x14ac:dyDescent="0.25">
      <c r="B28" s="938" t="s">
        <v>116</v>
      </c>
      <c r="C28" s="938"/>
      <c r="D28" s="938"/>
      <c r="E28" s="938"/>
    </row>
    <row r="29" spans="2:5" ht="15.75" x14ac:dyDescent="0.25">
      <c r="B29" s="75"/>
      <c r="C29" s="75"/>
      <c r="D29" s="75"/>
      <c r="E29" s="75"/>
    </row>
    <row r="30" spans="2:5" ht="15.75" x14ac:dyDescent="0.25">
      <c r="B30" s="73"/>
      <c r="C30" s="73"/>
      <c r="D30" s="73"/>
      <c r="E30" s="73"/>
    </row>
    <row r="31" spans="2:5" ht="15.75" x14ac:dyDescent="0.25">
      <c r="B31" s="77" t="s">
        <v>25</v>
      </c>
      <c r="C31" s="92" t="s">
        <v>117</v>
      </c>
      <c r="D31" s="93" t="s">
        <v>32</v>
      </c>
      <c r="E31" s="73" t="s">
        <v>147</v>
      </c>
    </row>
    <row r="32" spans="2:5" ht="15.75" x14ac:dyDescent="0.25">
      <c r="B32" s="77"/>
      <c r="C32" s="78"/>
      <c r="D32" s="92" t="s">
        <v>118</v>
      </c>
      <c r="E32" s="73"/>
    </row>
    <row r="33" spans="2:5" ht="22.5" customHeight="1" x14ac:dyDescent="0.25">
      <c r="B33" s="94">
        <v>1</v>
      </c>
      <c r="C33" s="96" t="s">
        <v>144</v>
      </c>
      <c r="D33" s="95" t="e">
        <f>$E$21</f>
        <v>#VALUE!</v>
      </c>
      <c r="E33" s="73"/>
    </row>
    <row r="34" spans="2:5" ht="22.5" customHeight="1" x14ac:dyDescent="0.25">
      <c r="B34" s="94">
        <v>2</v>
      </c>
      <c r="C34" s="80" t="s">
        <v>143</v>
      </c>
      <c r="D34" s="95">
        <v>0.14438267769681332</v>
      </c>
      <c r="E34" s="73"/>
    </row>
    <row r="35" spans="2:5" ht="24.75" customHeight="1" x14ac:dyDescent="0.25">
      <c r="B35" s="94">
        <v>3</v>
      </c>
      <c r="C35" s="80" t="s">
        <v>119</v>
      </c>
      <c r="D35" s="95">
        <v>0.13992384480029049</v>
      </c>
      <c r="E35" s="73"/>
    </row>
    <row r="36" spans="2:5" ht="35.25" customHeight="1" x14ac:dyDescent="0.25">
      <c r="B36" s="94">
        <v>4</v>
      </c>
      <c r="C36" s="80" t="s">
        <v>120</v>
      </c>
      <c r="D36" s="95">
        <v>0.12877328530126689</v>
      </c>
      <c r="E36" s="73"/>
    </row>
    <row r="37" spans="2:5" ht="15.75" x14ac:dyDescent="0.25">
      <c r="B37" s="459">
        <v>5</v>
      </c>
      <c r="C37" s="460" t="s">
        <v>145</v>
      </c>
      <c r="D37" s="461" t="e">
        <f t="shared" ref="D37" si="0">$E$21</f>
        <v>#VALUE!</v>
      </c>
      <c r="E37" s="462">
        <v>74.411912864613029</v>
      </c>
    </row>
  </sheetData>
  <mergeCells count="6">
    <mergeCell ref="B12:E12"/>
    <mergeCell ref="B28:E28"/>
    <mergeCell ref="C23:E23"/>
    <mergeCell ref="B9:E9"/>
    <mergeCell ref="B10:E10"/>
    <mergeCell ref="B11:E1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5:AL30"/>
  <sheetViews>
    <sheetView topLeftCell="A16" workbookViewId="0">
      <selection activeCell="N27" sqref="N27"/>
    </sheetView>
  </sheetViews>
  <sheetFormatPr defaultColWidth="10.21875" defaultRowHeight="15" x14ac:dyDescent="0.2"/>
  <cols>
    <col min="1" max="1" width="7.33203125" style="677" customWidth="1"/>
    <col min="2" max="6" width="10.21875" style="677"/>
    <col min="7" max="7" width="11.6640625" style="677" customWidth="1"/>
    <col min="8" max="9" width="10.21875" style="677"/>
    <col min="10" max="10" width="11.44140625" style="677" bestFit="1" customWidth="1"/>
    <col min="11" max="11" width="10.21875" style="677"/>
    <col min="12" max="12" width="9" style="677" customWidth="1"/>
    <col min="13" max="13" width="8.88671875" style="677" customWidth="1"/>
    <col min="14" max="256" width="10.21875" style="677"/>
    <col min="257" max="257" width="7.33203125" style="677" customWidth="1"/>
    <col min="258" max="262" width="10.21875" style="677"/>
    <col min="263" max="263" width="11.6640625" style="677" customWidth="1"/>
    <col min="264" max="267" width="10.21875" style="677"/>
    <col min="268" max="268" width="9" style="677" customWidth="1"/>
    <col min="269" max="269" width="8.88671875" style="677" customWidth="1"/>
    <col min="270" max="512" width="10.21875" style="677"/>
    <col min="513" max="513" width="7.33203125" style="677" customWidth="1"/>
    <col min="514" max="518" width="10.21875" style="677"/>
    <col min="519" max="519" width="11.6640625" style="677" customWidth="1"/>
    <col min="520" max="523" width="10.21875" style="677"/>
    <col min="524" max="524" width="9" style="677" customWidth="1"/>
    <col min="525" max="525" width="8.88671875" style="677" customWidth="1"/>
    <col min="526" max="768" width="10.21875" style="677"/>
    <col min="769" max="769" width="7.33203125" style="677" customWidth="1"/>
    <col min="770" max="774" width="10.21875" style="677"/>
    <col min="775" max="775" width="11.6640625" style="677" customWidth="1"/>
    <col min="776" max="779" width="10.21875" style="677"/>
    <col min="780" max="780" width="9" style="677" customWidth="1"/>
    <col min="781" max="781" width="8.88671875" style="677" customWidth="1"/>
    <col min="782" max="1024" width="10.21875" style="677"/>
    <col min="1025" max="1025" width="7.33203125" style="677" customWidth="1"/>
    <col min="1026" max="1030" width="10.21875" style="677"/>
    <col min="1031" max="1031" width="11.6640625" style="677" customWidth="1"/>
    <col min="1032" max="1035" width="10.21875" style="677"/>
    <col min="1036" max="1036" width="9" style="677" customWidth="1"/>
    <col min="1037" max="1037" width="8.88671875" style="677" customWidth="1"/>
    <col min="1038" max="1280" width="10.21875" style="677"/>
    <col min="1281" max="1281" width="7.33203125" style="677" customWidth="1"/>
    <col min="1282" max="1286" width="10.21875" style="677"/>
    <col min="1287" max="1287" width="11.6640625" style="677" customWidth="1"/>
    <col min="1288" max="1291" width="10.21875" style="677"/>
    <col min="1292" max="1292" width="9" style="677" customWidth="1"/>
    <col min="1293" max="1293" width="8.88671875" style="677" customWidth="1"/>
    <col min="1294" max="1536" width="10.21875" style="677"/>
    <col min="1537" max="1537" width="7.33203125" style="677" customWidth="1"/>
    <col min="1538" max="1542" width="10.21875" style="677"/>
    <col min="1543" max="1543" width="11.6640625" style="677" customWidth="1"/>
    <col min="1544" max="1547" width="10.21875" style="677"/>
    <col min="1548" max="1548" width="9" style="677" customWidth="1"/>
    <col min="1549" max="1549" width="8.88671875" style="677" customWidth="1"/>
    <col min="1550" max="1792" width="10.21875" style="677"/>
    <col min="1793" max="1793" width="7.33203125" style="677" customWidth="1"/>
    <col min="1794" max="1798" width="10.21875" style="677"/>
    <col min="1799" max="1799" width="11.6640625" style="677" customWidth="1"/>
    <col min="1800" max="1803" width="10.21875" style="677"/>
    <col min="1804" max="1804" width="9" style="677" customWidth="1"/>
    <col min="1805" max="1805" width="8.88671875" style="677" customWidth="1"/>
    <col min="1806" max="2048" width="10.21875" style="677"/>
    <col min="2049" max="2049" width="7.33203125" style="677" customWidth="1"/>
    <col min="2050" max="2054" width="10.21875" style="677"/>
    <col min="2055" max="2055" width="11.6640625" style="677" customWidth="1"/>
    <col min="2056" max="2059" width="10.21875" style="677"/>
    <col min="2060" max="2060" width="9" style="677" customWidth="1"/>
    <col min="2061" max="2061" width="8.88671875" style="677" customWidth="1"/>
    <col min="2062" max="2304" width="10.21875" style="677"/>
    <col min="2305" max="2305" width="7.33203125" style="677" customWidth="1"/>
    <col min="2306" max="2310" width="10.21875" style="677"/>
    <col min="2311" max="2311" width="11.6640625" style="677" customWidth="1"/>
    <col min="2312" max="2315" width="10.21875" style="677"/>
    <col min="2316" max="2316" width="9" style="677" customWidth="1"/>
    <col min="2317" max="2317" width="8.88671875" style="677" customWidth="1"/>
    <col min="2318" max="2560" width="10.21875" style="677"/>
    <col min="2561" max="2561" width="7.33203125" style="677" customWidth="1"/>
    <col min="2562" max="2566" width="10.21875" style="677"/>
    <col min="2567" max="2567" width="11.6640625" style="677" customWidth="1"/>
    <col min="2568" max="2571" width="10.21875" style="677"/>
    <col min="2572" max="2572" width="9" style="677" customWidth="1"/>
    <col min="2573" max="2573" width="8.88671875" style="677" customWidth="1"/>
    <col min="2574" max="2816" width="10.21875" style="677"/>
    <col min="2817" max="2817" width="7.33203125" style="677" customWidth="1"/>
    <col min="2818" max="2822" width="10.21875" style="677"/>
    <col min="2823" max="2823" width="11.6640625" style="677" customWidth="1"/>
    <col min="2824" max="2827" width="10.21875" style="677"/>
    <col min="2828" max="2828" width="9" style="677" customWidth="1"/>
    <col min="2829" max="2829" width="8.88671875" style="677" customWidth="1"/>
    <col min="2830" max="3072" width="10.21875" style="677"/>
    <col min="3073" max="3073" width="7.33203125" style="677" customWidth="1"/>
    <col min="3074" max="3078" width="10.21875" style="677"/>
    <col min="3079" max="3079" width="11.6640625" style="677" customWidth="1"/>
    <col min="3080" max="3083" width="10.21875" style="677"/>
    <col min="3084" max="3084" width="9" style="677" customWidth="1"/>
    <col min="3085" max="3085" width="8.88671875" style="677" customWidth="1"/>
    <col min="3086" max="3328" width="10.21875" style="677"/>
    <col min="3329" max="3329" width="7.33203125" style="677" customWidth="1"/>
    <col min="3330" max="3334" width="10.21875" style="677"/>
    <col min="3335" max="3335" width="11.6640625" style="677" customWidth="1"/>
    <col min="3336" max="3339" width="10.21875" style="677"/>
    <col min="3340" max="3340" width="9" style="677" customWidth="1"/>
    <col min="3341" max="3341" width="8.88671875" style="677" customWidth="1"/>
    <col min="3342" max="3584" width="10.21875" style="677"/>
    <col min="3585" max="3585" width="7.33203125" style="677" customWidth="1"/>
    <col min="3586" max="3590" width="10.21875" style="677"/>
    <col min="3591" max="3591" width="11.6640625" style="677" customWidth="1"/>
    <col min="3592" max="3595" width="10.21875" style="677"/>
    <col min="3596" max="3596" width="9" style="677" customWidth="1"/>
    <col min="3597" max="3597" width="8.88671875" style="677" customWidth="1"/>
    <col min="3598" max="3840" width="10.21875" style="677"/>
    <col min="3841" max="3841" width="7.33203125" style="677" customWidth="1"/>
    <col min="3842" max="3846" width="10.21875" style="677"/>
    <col min="3847" max="3847" width="11.6640625" style="677" customWidth="1"/>
    <col min="3848" max="3851" width="10.21875" style="677"/>
    <col min="3852" max="3852" width="9" style="677" customWidth="1"/>
    <col min="3853" max="3853" width="8.88671875" style="677" customWidth="1"/>
    <col min="3854" max="4096" width="10.21875" style="677"/>
    <col min="4097" max="4097" width="7.33203125" style="677" customWidth="1"/>
    <col min="4098" max="4102" width="10.21875" style="677"/>
    <col min="4103" max="4103" width="11.6640625" style="677" customWidth="1"/>
    <col min="4104" max="4107" width="10.21875" style="677"/>
    <col min="4108" max="4108" width="9" style="677" customWidth="1"/>
    <col min="4109" max="4109" width="8.88671875" style="677" customWidth="1"/>
    <col min="4110" max="4352" width="10.21875" style="677"/>
    <col min="4353" max="4353" width="7.33203125" style="677" customWidth="1"/>
    <col min="4354" max="4358" width="10.21875" style="677"/>
    <col min="4359" max="4359" width="11.6640625" style="677" customWidth="1"/>
    <col min="4360" max="4363" width="10.21875" style="677"/>
    <col min="4364" max="4364" width="9" style="677" customWidth="1"/>
    <col min="4365" max="4365" width="8.88671875" style="677" customWidth="1"/>
    <col min="4366" max="4608" width="10.21875" style="677"/>
    <col min="4609" max="4609" width="7.33203125" style="677" customWidth="1"/>
    <col min="4610" max="4614" width="10.21875" style="677"/>
    <col min="4615" max="4615" width="11.6640625" style="677" customWidth="1"/>
    <col min="4616" max="4619" width="10.21875" style="677"/>
    <col min="4620" max="4620" width="9" style="677" customWidth="1"/>
    <col min="4621" max="4621" width="8.88671875" style="677" customWidth="1"/>
    <col min="4622" max="4864" width="10.21875" style="677"/>
    <col min="4865" max="4865" width="7.33203125" style="677" customWidth="1"/>
    <col min="4866" max="4870" width="10.21875" style="677"/>
    <col min="4871" max="4871" width="11.6640625" style="677" customWidth="1"/>
    <col min="4872" max="4875" width="10.21875" style="677"/>
    <col min="4876" max="4876" width="9" style="677" customWidth="1"/>
    <col min="4877" max="4877" width="8.88671875" style="677" customWidth="1"/>
    <col min="4878" max="5120" width="10.21875" style="677"/>
    <col min="5121" max="5121" width="7.33203125" style="677" customWidth="1"/>
    <col min="5122" max="5126" width="10.21875" style="677"/>
    <col min="5127" max="5127" width="11.6640625" style="677" customWidth="1"/>
    <col min="5128" max="5131" width="10.21875" style="677"/>
    <col min="5132" max="5132" width="9" style="677" customWidth="1"/>
    <col min="5133" max="5133" width="8.88671875" style="677" customWidth="1"/>
    <col min="5134" max="5376" width="10.21875" style="677"/>
    <col min="5377" max="5377" width="7.33203125" style="677" customWidth="1"/>
    <col min="5378" max="5382" width="10.21875" style="677"/>
    <col min="5383" max="5383" width="11.6640625" style="677" customWidth="1"/>
    <col min="5384" max="5387" width="10.21875" style="677"/>
    <col min="5388" max="5388" width="9" style="677" customWidth="1"/>
    <col min="5389" max="5389" width="8.88671875" style="677" customWidth="1"/>
    <col min="5390" max="5632" width="10.21875" style="677"/>
    <col min="5633" max="5633" width="7.33203125" style="677" customWidth="1"/>
    <col min="5634" max="5638" width="10.21875" style="677"/>
    <col min="5639" max="5639" width="11.6640625" style="677" customWidth="1"/>
    <col min="5640" max="5643" width="10.21875" style="677"/>
    <col min="5644" max="5644" width="9" style="677" customWidth="1"/>
    <col min="5645" max="5645" width="8.88671875" style="677" customWidth="1"/>
    <col min="5646" max="5888" width="10.21875" style="677"/>
    <col min="5889" max="5889" width="7.33203125" style="677" customWidth="1"/>
    <col min="5890" max="5894" width="10.21875" style="677"/>
    <col min="5895" max="5895" width="11.6640625" style="677" customWidth="1"/>
    <col min="5896" max="5899" width="10.21875" style="677"/>
    <col min="5900" max="5900" width="9" style="677" customWidth="1"/>
    <col min="5901" max="5901" width="8.88671875" style="677" customWidth="1"/>
    <col min="5902" max="6144" width="10.21875" style="677"/>
    <col min="6145" max="6145" width="7.33203125" style="677" customWidth="1"/>
    <col min="6146" max="6150" width="10.21875" style="677"/>
    <col min="6151" max="6151" width="11.6640625" style="677" customWidth="1"/>
    <col min="6152" max="6155" width="10.21875" style="677"/>
    <col min="6156" max="6156" width="9" style="677" customWidth="1"/>
    <col min="6157" max="6157" width="8.88671875" style="677" customWidth="1"/>
    <col min="6158" max="6400" width="10.21875" style="677"/>
    <col min="6401" max="6401" width="7.33203125" style="677" customWidth="1"/>
    <col min="6402" max="6406" width="10.21875" style="677"/>
    <col min="6407" max="6407" width="11.6640625" style="677" customWidth="1"/>
    <col min="6408" max="6411" width="10.21875" style="677"/>
    <col min="6412" max="6412" width="9" style="677" customWidth="1"/>
    <col min="6413" max="6413" width="8.88671875" style="677" customWidth="1"/>
    <col min="6414" max="6656" width="10.21875" style="677"/>
    <col min="6657" max="6657" width="7.33203125" style="677" customWidth="1"/>
    <col min="6658" max="6662" width="10.21875" style="677"/>
    <col min="6663" max="6663" width="11.6640625" style="677" customWidth="1"/>
    <col min="6664" max="6667" width="10.21875" style="677"/>
    <col min="6668" max="6668" width="9" style="677" customWidth="1"/>
    <col min="6669" max="6669" width="8.88671875" style="677" customWidth="1"/>
    <col min="6670" max="6912" width="10.21875" style="677"/>
    <col min="6913" max="6913" width="7.33203125" style="677" customWidth="1"/>
    <col min="6914" max="6918" width="10.21875" style="677"/>
    <col min="6919" max="6919" width="11.6640625" style="677" customWidth="1"/>
    <col min="6920" max="6923" width="10.21875" style="677"/>
    <col min="6924" max="6924" width="9" style="677" customWidth="1"/>
    <col min="6925" max="6925" width="8.88671875" style="677" customWidth="1"/>
    <col min="6926" max="7168" width="10.21875" style="677"/>
    <col min="7169" max="7169" width="7.33203125" style="677" customWidth="1"/>
    <col min="7170" max="7174" width="10.21875" style="677"/>
    <col min="7175" max="7175" width="11.6640625" style="677" customWidth="1"/>
    <col min="7176" max="7179" width="10.21875" style="677"/>
    <col min="7180" max="7180" width="9" style="677" customWidth="1"/>
    <col min="7181" max="7181" width="8.88671875" style="677" customWidth="1"/>
    <col min="7182" max="7424" width="10.21875" style="677"/>
    <col min="7425" max="7425" width="7.33203125" style="677" customWidth="1"/>
    <col min="7426" max="7430" width="10.21875" style="677"/>
    <col min="7431" max="7431" width="11.6640625" style="677" customWidth="1"/>
    <col min="7432" max="7435" width="10.21875" style="677"/>
    <col min="7436" max="7436" width="9" style="677" customWidth="1"/>
    <col min="7437" max="7437" width="8.88671875" style="677" customWidth="1"/>
    <col min="7438" max="7680" width="10.21875" style="677"/>
    <col min="7681" max="7681" width="7.33203125" style="677" customWidth="1"/>
    <col min="7682" max="7686" width="10.21875" style="677"/>
    <col min="7687" max="7687" width="11.6640625" style="677" customWidth="1"/>
    <col min="7688" max="7691" width="10.21875" style="677"/>
    <col min="7692" max="7692" width="9" style="677" customWidth="1"/>
    <col min="7693" max="7693" width="8.88671875" style="677" customWidth="1"/>
    <col min="7694" max="7936" width="10.21875" style="677"/>
    <col min="7937" max="7937" width="7.33203125" style="677" customWidth="1"/>
    <col min="7938" max="7942" width="10.21875" style="677"/>
    <col min="7943" max="7943" width="11.6640625" style="677" customWidth="1"/>
    <col min="7944" max="7947" width="10.21875" style="677"/>
    <col min="7948" max="7948" width="9" style="677" customWidth="1"/>
    <col min="7949" max="7949" width="8.88671875" style="677" customWidth="1"/>
    <col min="7950" max="8192" width="10.21875" style="677"/>
    <col min="8193" max="8193" width="7.33203125" style="677" customWidth="1"/>
    <col min="8194" max="8198" width="10.21875" style="677"/>
    <col min="8199" max="8199" width="11.6640625" style="677" customWidth="1"/>
    <col min="8200" max="8203" width="10.21875" style="677"/>
    <col min="8204" max="8204" width="9" style="677" customWidth="1"/>
    <col min="8205" max="8205" width="8.88671875" style="677" customWidth="1"/>
    <col min="8206" max="8448" width="10.21875" style="677"/>
    <col min="8449" max="8449" width="7.33203125" style="677" customWidth="1"/>
    <col min="8450" max="8454" width="10.21875" style="677"/>
    <col min="8455" max="8455" width="11.6640625" style="677" customWidth="1"/>
    <col min="8456" max="8459" width="10.21875" style="677"/>
    <col min="8460" max="8460" width="9" style="677" customWidth="1"/>
    <col min="8461" max="8461" width="8.88671875" style="677" customWidth="1"/>
    <col min="8462" max="8704" width="10.21875" style="677"/>
    <col min="8705" max="8705" width="7.33203125" style="677" customWidth="1"/>
    <col min="8706" max="8710" width="10.21875" style="677"/>
    <col min="8711" max="8711" width="11.6640625" style="677" customWidth="1"/>
    <col min="8712" max="8715" width="10.21875" style="677"/>
    <col min="8716" max="8716" width="9" style="677" customWidth="1"/>
    <col min="8717" max="8717" width="8.88671875" style="677" customWidth="1"/>
    <col min="8718" max="8960" width="10.21875" style="677"/>
    <col min="8961" max="8961" width="7.33203125" style="677" customWidth="1"/>
    <col min="8962" max="8966" width="10.21875" style="677"/>
    <col min="8967" max="8967" width="11.6640625" style="677" customWidth="1"/>
    <col min="8968" max="8971" width="10.21875" style="677"/>
    <col min="8972" max="8972" width="9" style="677" customWidth="1"/>
    <col min="8973" max="8973" width="8.88671875" style="677" customWidth="1"/>
    <col min="8974" max="9216" width="10.21875" style="677"/>
    <col min="9217" max="9217" width="7.33203125" style="677" customWidth="1"/>
    <col min="9218" max="9222" width="10.21875" style="677"/>
    <col min="9223" max="9223" width="11.6640625" style="677" customWidth="1"/>
    <col min="9224" max="9227" width="10.21875" style="677"/>
    <col min="9228" max="9228" width="9" style="677" customWidth="1"/>
    <col min="9229" max="9229" width="8.88671875" style="677" customWidth="1"/>
    <col min="9230" max="9472" width="10.21875" style="677"/>
    <col min="9473" max="9473" width="7.33203125" style="677" customWidth="1"/>
    <col min="9474" max="9478" width="10.21875" style="677"/>
    <col min="9479" max="9479" width="11.6640625" style="677" customWidth="1"/>
    <col min="9480" max="9483" width="10.21875" style="677"/>
    <col min="9484" max="9484" width="9" style="677" customWidth="1"/>
    <col min="9485" max="9485" width="8.88671875" style="677" customWidth="1"/>
    <col min="9486" max="9728" width="10.21875" style="677"/>
    <col min="9729" max="9729" width="7.33203125" style="677" customWidth="1"/>
    <col min="9730" max="9734" width="10.21875" style="677"/>
    <col min="9735" max="9735" width="11.6640625" style="677" customWidth="1"/>
    <col min="9736" max="9739" width="10.21875" style="677"/>
    <col min="9740" max="9740" width="9" style="677" customWidth="1"/>
    <col min="9741" max="9741" width="8.88671875" style="677" customWidth="1"/>
    <col min="9742" max="9984" width="10.21875" style="677"/>
    <col min="9985" max="9985" width="7.33203125" style="677" customWidth="1"/>
    <col min="9986" max="9990" width="10.21875" style="677"/>
    <col min="9991" max="9991" width="11.6640625" style="677" customWidth="1"/>
    <col min="9992" max="9995" width="10.21875" style="677"/>
    <col min="9996" max="9996" width="9" style="677" customWidth="1"/>
    <col min="9997" max="9997" width="8.88671875" style="677" customWidth="1"/>
    <col min="9998" max="10240" width="10.21875" style="677"/>
    <col min="10241" max="10241" width="7.33203125" style="677" customWidth="1"/>
    <col min="10242" max="10246" width="10.21875" style="677"/>
    <col min="10247" max="10247" width="11.6640625" style="677" customWidth="1"/>
    <col min="10248" max="10251" width="10.21875" style="677"/>
    <col min="10252" max="10252" width="9" style="677" customWidth="1"/>
    <col min="10253" max="10253" width="8.88671875" style="677" customWidth="1"/>
    <col min="10254" max="10496" width="10.21875" style="677"/>
    <col min="10497" max="10497" width="7.33203125" style="677" customWidth="1"/>
    <col min="10498" max="10502" width="10.21875" style="677"/>
    <col min="10503" max="10503" width="11.6640625" style="677" customWidth="1"/>
    <col min="10504" max="10507" width="10.21875" style="677"/>
    <col min="10508" max="10508" width="9" style="677" customWidth="1"/>
    <col min="10509" max="10509" width="8.88671875" style="677" customWidth="1"/>
    <col min="10510" max="10752" width="10.21875" style="677"/>
    <col min="10753" max="10753" width="7.33203125" style="677" customWidth="1"/>
    <col min="10754" max="10758" width="10.21875" style="677"/>
    <col min="10759" max="10759" width="11.6640625" style="677" customWidth="1"/>
    <col min="10760" max="10763" width="10.21875" style="677"/>
    <col min="10764" max="10764" width="9" style="677" customWidth="1"/>
    <col min="10765" max="10765" width="8.88671875" style="677" customWidth="1"/>
    <col min="10766" max="11008" width="10.21875" style="677"/>
    <col min="11009" max="11009" width="7.33203125" style="677" customWidth="1"/>
    <col min="11010" max="11014" width="10.21875" style="677"/>
    <col min="11015" max="11015" width="11.6640625" style="677" customWidth="1"/>
    <col min="11016" max="11019" width="10.21875" style="677"/>
    <col min="11020" max="11020" width="9" style="677" customWidth="1"/>
    <col min="11021" max="11021" width="8.88671875" style="677" customWidth="1"/>
    <col min="11022" max="11264" width="10.21875" style="677"/>
    <col min="11265" max="11265" width="7.33203125" style="677" customWidth="1"/>
    <col min="11266" max="11270" width="10.21875" style="677"/>
    <col min="11271" max="11271" width="11.6640625" style="677" customWidth="1"/>
    <col min="11272" max="11275" width="10.21875" style="677"/>
    <col min="11276" max="11276" width="9" style="677" customWidth="1"/>
    <col min="11277" max="11277" width="8.88671875" style="677" customWidth="1"/>
    <col min="11278" max="11520" width="10.21875" style="677"/>
    <col min="11521" max="11521" width="7.33203125" style="677" customWidth="1"/>
    <col min="11522" max="11526" width="10.21875" style="677"/>
    <col min="11527" max="11527" width="11.6640625" style="677" customWidth="1"/>
    <col min="11528" max="11531" width="10.21875" style="677"/>
    <col min="11532" max="11532" width="9" style="677" customWidth="1"/>
    <col min="11533" max="11533" width="8.88671875" style="677" customWidth="1"/>
    <col min="11534" max="11776" width="10.21875" style="677"/>
    <col min="11777" max="11777" width="7.33203125" style="677" customWidth="1"/>
    <col min="11778" max="11782" width="10.21875" style="677"/>
    <col min="11783" max="11783" width="11.6640625" style="677" customWidth="1"/>
    <col min="11784" max="11787" width="10.21875" style="677"/>
    <col min="11788" max="11788" width="9" style="677" customWidth="1"/>
    <col min="11789" max="11789" width="8.88671875" style="677" customWidth="1"/>
    <col min="11790" max="12032" width="10.21875" style="677"/>
    <col min="12033" max="12033" width="7.33203125" style="677" customWidth="1"/>
    <col min="12034" max="12038" width="10.21875" style="677"/>
    <col min="12039" max="12039" width="11.6640625" style="677" customWidth="1"/>
    <col min="12040" max="12043" width="10.21875" style="677"/>
    <col min="12044" max="12044" width="9" style="677" customWidth="1"/>
    <col min="12045" max="12045" width="8.88671875" style="677" customWidth="1"/>
    <col min="12046" max="12288" width="10.21875" style="677"/>
    <col min="12289" max="12289" width="7.33203125" style="677" customWidth="1"/>
    <col min="12290" max="12294" width="10.21875" style="677"/>
    <col min="12295" max="12295" width="11.6640625" style="677" customWidth="1"/>
    <col min="12296" max="12299" width="10.21875" style="677"/>
    <col min="12300" max="12300" width="9" style="677" customWidth="1"/>
    <col min="12301" max="12301" width="8.88671875" style="677" customWidth="1"/>
    <col min="12302" max="12544" width="10.21875" style="677"/>
    <col min="12545" max="12545" width="7.33203125" style="677" customWidth="1"/>
    <col min="12546" max="12550" width="10.21875" style="677"/>
    <col min="12551" max="12551" width="11.6640625" style="677" customWidth="1"/>
    <col min="12552" max="12555" width="10.21875" style="677"/>
    <col min="12556" max="12556" width="9" style="677" customWidth="1"/>
    <col min="12557" max="12557" width="8.88671875" style="677" customWidth="1"/>
    <col min="12558" max="12800" width="10.21875" style="677"/>
    <col min="12801" max="12801" width="7.33203125" style="677" customWidth="1"/>
    <col min="12802" max="12806" width="10.21875" style="677"/>
    <col min="12807" max="12807" width="11.6640625" style="677" customWidth="1"/>
    <col min="12808" max="12811" width="10.21875" style="677"/>
    <col min="12812" max="12812" width="9" style="677" customWidth="1"/>
    <col min="12813" max="12813" width="8.88671875" style="677" customWidth="1"/>
    <col min="12814" max="13056" width="10.21875" style="677"/>
    <col min="13057" max="13057" width="7.33203125" style="677" customWidth="1"/>
    <col min="13058" max="13062" width="10.21875" style="677"/>
    <col min="13063" max="13063" width="11.6640625" style="677" customWidth="1"/>
    <col min="13064" max="13067" width="10.21875" style="677"/>
    <col min="13068" max="13068" width="9" style="677" customWidth="1"/>
    <col min="13069" max="13069" width="8.88671875" style="677" customWidth="1"/>
    <col min="13070" max="13312" width="10.21875" style="677"/>
    <col min="13313" max="13313" width="7.33203125" style="677" customWidth="1"/>
    <col min="13314" max="13318" width="10.21875" style="677"/>
    <col min="13319" max="13319" width="11.6640625" style="677" customWidth="1"/>
    <col min="13320" max="13323" width="10.21875" style="677"/>
    <col min="13324" max="13324" width="9" style="677" customWidth="1"/>
    <col min="13325" max="13325" width="8.88671875" style="677" customWidth="1"/>
    <col min="13326" max="13568" width="10.21875" style="677"/>
    <col min="13569" max="13569" width="7.33203125" style="677" customWidth="1"/>
    <col min="13570" max="13574" width="10.21875" style="677"/>
    <col min="13575" max="13575" width="11.6640625" style="677" customWidth="1"/>
    <col min="13576" max="13579" width="10.21875" style="677"/>
    <col min="13580" max="13580" width="9" style="677" customWidth="1"/>
    <col min="13581" max="13581" width="8.88671875" style="677" customWidth="1"/>
    <col min="13582" max="13824" width="10.21875" style="677"/>
    <col min="13825" max="13825" width="7.33203125" style="677" customWidth="1"/>
    <col min="13826" max="13830" width="10.21875" style="677"/>
    <col min="13831" max="13831" width="11.6640625" style="677" customWidth="1"/>
    <col min="13832" max="13835" width="10.21875" style="677"/>
    <col min="13836" max="13836" width="9" style="677" customWidth="1"/>
    <col min="13837" max="13837" width="8.88671875" style="677" customWidth="1"/>
    <col min="13838" max="14080" width="10.21875" style="677"/>
    <col min="14081" max="14081" width="7.33203125" style="677" customWidth="1"/>
    <col min="14082" max="14086" width="10.21875" style="677"/>
    <col min="14087" max="14087" width="11.6640625" style="677" customWidth="1"/>
    <col min="14088" max="14091" width="10.21875" style="677"/>
    <col min="14092" max="14092" width="9" style="677" customWidth="1"/>
    <col min="14093" max="14093" width="8.88671875" style="677" customWidth="1"/>
    <col min="14094" max="14336" width="10.21875" style="677"/>
    <col min="14337" max="14337" width="7.33203125" style="677" customWidth="1"/>
    <col min="14338" max="14342" width="10.21875" style="677"/>
    <col min="14343" max="14343" width="11.6640625" style="677" customWidth="1"/>
    <col min="14344" max="14347" width="10.21875" style="677"/>
    <col min="14348" max="14348" width="9" style="677" customWidth="1"/>
    <col min="14349" max="14349" width="8.88671875" style="677" customWidth="1"/>
    <col min="14350" max="14592" width="10.21875" style="677"/>
    <col min="14593" max="14593" width="7.33203125" style="677" customWidth="1"/>
    <col min="14594" max="14598" width="10.21875" style="677"/>
    <col min="14599" max="14599" width="11.6640625" style="677" customWidth="1"/>
    <col min="14600" max="14603" width="10.21875" style="677"/>
    <col min="14604" max="14604" width="9" style="677" customWidth="1"/>
    <col min="14605" max="14605" width="8.88671875" style="677" customWidth="1"/>
    <col min="14606" max="14848" width="10.21875" style="677"/>
    <col min="14849" max="14849" width="7.33203125" style="677" customWidth="1"/>
    <col min="14850" max="14854" width="10.21875" style="677"/>
    <col min="14855" max="14855" width="11.6640625" style="677" customWidth="1"/>
    <col min="14856" max="14859" width="10.21875" style="677"/>
    <col min="14860" max="14860" width="9" style="677" customWidth="1"/>
    <col min="14861" max="14861" width="8.88671875" style="677" customWidth="1"/>
    <col min="14862" max="15104" width="10.21875" style="677"/>
    <col min="15105" max="15105" width="7.33203125" style="677" customWidth="1"/>
    <col min="15106" max="15110" width="10.21875" style="677"/>
    <col min="15111" max="15111" width="11.6640625" style="677" customWidth="1"/>
    <col min="15112" max="15115" width="10.21875" style="677"/>
    <col min="15116" max="15116" width="9" style="677" customWidth="1"/>
    <col min="15117" max="15117" width="8.88671875" style="677" customWidth="1"/>
    <col min="15118" max="15360" width="10.21875" style="677"/>
    <col min="15361" max="15361" width="7.33203125" style="677" customWidth="1"/>
    <col min="15362" max="15366" width="10.21875" style="677"/>
    <col min="15367" max="15367" width="11.6640625" style="677" customWidth="1"/>
    <col min="15368" max="15371" width="10.21875" style="677"/>
    <col min="15372" max="15372" width="9" style="677" customWidth="1"/>
    <col min="15373" max="15373" width="8.88671875" style="677" customWidth="1"/>
    <col min="15374" max="15616" width="10.21875" style="677"/>
    <col min="15617" max="15617" width="7.33203125" style="677" customWidth="1"/>
    <col min="15618" max="15622" width="10.21875" style="677"/>
    <col min="15623" max="15623" width="11.6640625" style="677" customWidth="1"/>
    <col min="15624" max="15627" width="10.21875" style="677"/>
    <col min="15628" max="15628" width="9" style="677" customWidth="1"/>
    <col min="15629" max="15629" width="8.88671875" style="677" customWidth="1"/>
    <col min="15630" max="15872" width="10.21875" style="677"/>
    <col min="15873" max="15873" width="7.33203125" style="677" customWidth="1"/>
    <col min="15874" max="15878" width="10.21875" style="677"/>
    <col min="15879" max="15879" width="11.6640625" style="677" customWidth="1"/>
    <col min="15880" max="15883" width="10.21875" style="677"/>
    <col min="15884" max="15884" width="9" style="677" customWidth="1"/>
    <col min="15885" max="15885" width="8.88671875" style="677" customWidth="1"/>
    <col min="15886" max="16128" width="10.21875" style="677"/>
    <col min="16129" max="16129" width="7.33203125" style="677" customWidth="1"/>
    <col min="16130" max="16134" width="10.21875" style="677"/>
    <col min="16135" max="16135" width="11.6640625" style="677" customWidth="1"/>
    <col min="16136" max="16139" width="10.21875" style="677"/>
    <col min="16140" max="16140" width="9" style="677" customWidth="1"/>
    <col min="16141" max="16141" width="8.88671875" style="677" customWidth="1"/>
    <col min="16142" max="16384" width="10.21875" style="677"/>
  </cols>
  <sheetData>
    <row r="5" spans="1:38" ht="15.75" x14ac:dyDescent="0.25">
      <c r="G5" s="678" t="s">
        <v>557</v>
      </c>
      <c r="H5" s="678"/>
      <c r="J5" s="679"/>
    </row>
    <row r="6" spans="1:38" ht="15.75" x14ac:dyDescent="0.25">
      <c r="G6" s="678"/>
      <c r="H6" s="678"/>
      <c r="J6" s="679"/>
    </row>
    <row r="7" spans="1:38" ht="18" x14ac:dyDescent="0.25">
      <c r="A7" s="945" t="str">
        <f>'[1]capcost(GST)'!E1</f>
        <v>S T E E L   A U T H O R I T Y   OF   I N D I A    L I M I T E D</v>
      </c>
      <c r="B7" s="945"/>
      <c r="C7" s="945"/>
      <c r="D7" s="945"/>
      <c r="E7" s="945"/>
      <c r="F7" s="945"/>
      <c r="G7" s="945"/>
      <c r="H7" s="678"/>
      <c r="J7" s="679"/>
    </row>
    <row r="8" spans="1:38" ht="18" x14ac:dyDescent="0.25">
      <c r="A8" s="946" t="e">
        <f>#REF!</f>
        <v>#REF!</v>
      </c>
      <c r="B8" s="946"/>
      <c r="C8" s="946"/>
      <c r="D8" s="946"/>
      <c r="E8" s="946"/>
      <c r="F8" s="946"/>
      <c r="G8" s="946"/>
      <c r="H8" s="678"/>
      <c r="J8" s="680"/>
    </row>
    <row r="9" spans="1:38" ht="24" customHeight="1" x14ac:dyDescent="0.25">
      <c r="A9" s="947" t="e">
        <f>#REF!</f>
        <v>#REF!</v>
      </c>
      <c r="B9" s="947"/>
      <c r="C9" s="947"/>
      <c r="D9" s="947"/>
      <c r="E9" s="947"/>
      <c r="F9" s="947"/>
      <c r="G9" s="947"/>
      <c r="H9" s="678"/>
      <c r="J9" s="679"/>
    </row>
    <row r="10" spans="1:38" ht="21" customHeight="1" x14ac:dyDescent="0.2">
      <c r="A10" s="948" t="s">
        <v>558</v>
      </c>
      <c r="B10" s="948"/>
      <c r="C10" s="948"/>
      <c r="D10" s="948"/>
      <c r="E10" s="948"/>
      <c r="F10" s="948"/>
      <c r="G10" s="948"/>
    </row>
    <row r="11" spans="1:38" s="681" customFormat="1" ht="20.25" customHeight="1" x14ac:dyDescent="0.2">
      <c r="F11" s="681" t="e">
        <f>#REF!</f>
        <v>#REF!</v>
      </c>
    </row>
    <row r="12" spans="1:38" s="681" customFormat="1" ht="22.5" customHeight="1" x14ac:dyDescent="0.2">
      <c r="A12" s="682" t="s">
        <v>138</v>
      </c>
      <c r="B12" s="949" t="s">
        <v>559</v>
      </c>
      <c r="C12" s="950"/>
      <c r="D12" s="950"/>
      <c r="E12" s="951"/>
      <c r="F12" s="682" t="s">
        <v>36</v>
      </c>
      <c r="G12" s="682" t="s">
        <v>136</v>
      </c>
      <c r="H12" s="683"/>
      <c r="L12" s="714" t="s">
        <v>560</v>
      </c>
      <c r="M12" s="677"/>
      <c r="O12" s="715" t="s">
        <v>588</v>
      </c>
      <c r="V12" s="684"/>
      <c r="W12" s="685"/>
      <c r="Z12" s="685"/>
      <c r="AB12" s="684"/>
      <c r="AC12" s="685"/>
      <c r="AF12" s="685"/>
      <c r="AI12" s="681" t="s">
        <v>123</v>
      </c>
      <c r="AK12" s="681" t="s">
        <v>153</v>
      </c>
      <c r="AL12" s="685" t="e">
        <f>#REF!</f>
        <v>#REF!</v>
      </c>
    </row>
    <row r="13" spans="1:38" ht="39" customHeight="1" x14ac:dyDescent="0.2">
      <c r="A13" s="686">
        <v>1</v>
      </c>
      <c r="B13" s="942" t="s">
        <v>561</v>
      </c>
      <c r="C13" s="943"/>
      <c r="D13" s="943"/>
      <c r="E13" s="944"/>
      <c r="F13" s="686" t="s">
        <v>15</v>
      </c>
      <c r="G13" s="687">
        <f>0.391*10^6</f>
        <v>391000</v>
      </c>
      <c r="L13" s="688" t="s">
        <v>316</v>
      </c>
      <c r="M13" s="689" t="s">
        <v>562</v>
      </c>
      <c r="O13" s="718">
        <v>44287</v>
      </c>
      <c r="P13" s="718">
        <v>44317</v>
      </c>
      <c r="Q13" s="718">
        <v>44348</v>
      </c>
      <c r="R13" s="718">
        <v>44378</v>
      </c>
      <c r="S13" s="718">
        <v>44409</v>
      </c>
      <c r="T13" s="718">
        <v>44440</v>
      </c>
      <c r="U13" s="718">
        <v>44470</v>
      </c>
      <c r="V13" s="718">
        <v>44501</v>
      </c>
      <c r="W13" s="718">
        <v>44531</v>
      </c>
      <c r="Z13" s="690"/>
      <c r="AB13" s="680"/>
      <c r="AC13" s="690"/>
      <c r="AF13" s="690"/>
      <c r="AI13" s="677" t="s">
        <v>563</v>
      </c>
      <c r="AK13" s="677" t="s">
        <v>153</v>
      </c>
      <c r="AL13" s="690">
        <v>8.7878353006035521</v>
      </c>
    </row>
    <row r="14" spans="1:38" ht="30.75" customHeight="1" x14ac:dyDescent="0.2">
      <c r="A14" s="686">
        <v>2</v>
      </c>
      <c r="B14" s="942" t="s">
        <v>564</v>
      </c>
      <c r="C14" s="943"/>
      <c r="D14" s="943"/>
      <c r="E14" s="944"/>
      <c r="F14" s="686" t="s">
        <v>355</v>
      </c>
      <c r="G14" s="824">
        <v>27547.782149546249</v>
      </c>
      <c r="H14" s="956" t="s">
        <v>587</v>
      </c>
      <c r="I14" s="956"/>
      <c r="J14" s="956"/>
      <c r="K14" s="691"/>
      <c r="L14" s="692">
        <f>AVERAGE(O14:W14)</f>
        <v>35230.555555555555</v>
      </c>
      <c r="M14" s="693">
        <f>5*400</f>
        <v>2000</v>
      </c>
      <c r="N14" s="681"/>
      <c r="O14" s="716">
        <v>28750</v>
      </c>
      <c r="P14" s="716">
        <v>27000</v>
      </c>
      <c r="Q14" s="716">
        <v>27700</v>
      </c>
      <c r="R14" s="717">
        <v>27500</v>
      </c>
      <c r="S14" s="717">
        <v>29875</v>
      </c>
      <c r="T14" s="717">
        <v>41100</v>
      </c>
      <c r="U14" s="717">
        <v>49500</v>
      </c>
      <c r="V14" s="717">
        <v>46250</v>
      </c>
      <c r="W14" s="716">
        <v>39400</v>
      </c>
      <c r="Y14" s="690"/>
      <c r="Z14" s="690"/>
      <c r="AB14" s="680"/>
      <c r="AD14" s="690"/>
      <c r="AE14" s="690"/>
      <c r="AF14" s="690"/>
      <c r="AI14" s="677" t="s">
        <v>565</v>
      </c>
      <c r="AK14" s="677" t="s">
        <v>566</v>
      </c>
      <c r="AL14" s="690" t="e">
        <f>0.33*1.02*#REF!</f>
        <v>#REF!</v>
      </c>
    </row>
    <row r="15" spans="1:38" ht="50.25" customHeight="1" x14ac:dyDescent="0.2">
      <c r="A15" s="686">
        <v>3</v>
      </c>
      <c r="B15" s="957" t="s">
        <v>567</v>
      </c>
      <c r="C15" s="958"/>
      <c r="D15" s="958"/>
      <c r="E15" s="959"/>
      <c r="F15" s="686" t="s">
        <v>355</v>
      </c>
      <c r="G15" s="687">
        <f>(L14+M14)*'Fin. Summary'!E24</f>
        <v>37230.555555555555</v>
      </c>
      <c r="H15" s="956" t="s">
        <v>631</v>
      </c>
      <c r="I15" s="956"/>
      <c r="J15" s="956"/>
      <c r="K15" s="694"/>
      <c r="L15" s="681"/>
      <c r="P15" s="680"/>
      <c r="Q15" s="695"/>
      <c r="V15" s="680"/>
      <c r="Y15" s="690"/>
      <c r="Z15" s="690"/>
      <c r="AB15" s="680"/>
      <c r="AD15" s="690"/>
      <c r="AE15" s="690"/>
      <c r="AF15" s="690"/>
    </row>
    <row r="16" spans="1:38" ht="55.5" customHeight="1" x14ac:dyDescent="0.2">
      <c r="A16" s="682" t="s">
        <v>26</v>
      </c>
      <c r="B16" s="942" t="s">
        <v>568</v>
      </c>
      <c r="C16" s="943"/>
      <c r="D16" s="943"/>
      <c r="E16" s="944"/>
      <c r="F16" s="682" t="s">
        <v>569</v>
      </c>
      <c r="G16" s="696">
        <f>G13*G15/10^7</f>
        <v>1455.7147222222222</v>
      </c>
      <c r="H16" s="690"/>
      <c r="V16" s="680"/>
      <c r="Y16" s="690"/>
      <c r="Z16" s="690"/>
      <c r="AB16" s="680"/>
      <c r="AD16" s="690"/>
      <c r="AE16" s="690"/>
      <c r="AF16" s="690"/>
    </row>
    <row r="17" spans="1:32" s="694" customFormat="1" ht="39" customHeight="1" x14ac:dyDescent="0.2">
      <c r="A17" s="697" t="s">
        <v>27</v>
      </c>
      <c r="B17" s="942" t="s">
        <v>570</v>
      </c>
      <c r="C17" s="943"/>
      <c r="D17" s="943"/>
      <c r="E17" s="944"/>
      <c r="F17" s="682" t="s">
        <v>153</v>
      </c>
      <c r="G17" s="698">
        <f>G13*G14/10^7</f>
        <v>1077.1182820472584</v>
      </c>
      <c r="H17" s="699"/>
      <c r="J17" s="694" t="e">
        <f>#REF!/G18</f>
        <v>#REF!</v>
      </c>
      <c r="Y17" s="699"/>
      <c r="Z17" s="699"/>
      <c r="AD17" s="699"/>
      <c r="AE17" s="699"/>
      <c r="AF17" s="699"/>
    </row>
    <row r="18" spans="1:32" s="681" customFormat="1" ht="36" customHeight="1" x14ac:dyDescent="0.2">
      <c r="A18" s="697" t="s">
        <v>28</v>
      </c>
      <c r="B18" s="952" t="s">
        <v>589</v>
      </c>
      <c r="C18" s="953"/>
      <c r="D18" s="953"/>
      <c r="E18" s="954"/>
      <c r="F18" s="700" t="s">
        <v>153</v>
      </c>
      <c r="G18" s="841">
        <f>(G16-G17)*'Fin. Summary'!E23</f>
        <v>378.59644017496385</v>
      </c>
      <c r="H18" s="701"/>
      <c r="J18" s="685"/>
      <c r="V18" s="684"/>
      <c r="Y18" s="685"/>
      <c r="Z18" s="685"/>
      <c r="AB18" s="684"/>
      <c r="AD18" s="685"/>
      <c r="AE18" s="685"/>
      <c r="AF18" s="685"/>
    </row>
    <row r="19" spans="1:32" x14ac:dyDescent="0.2">
      <c r="B19" s="702"/>
      <c r="C19" s="702"/>
      <c r="D19" s="702"/>
      <c r="E19" s="702"/>
      <c r="I19" s="690"/>
      <c r="J19" s="690"/>
      <c r="V19" s="680"/>
      <c r="Y19" s="690"/>
      <c r="Z19" s="690"/>
      <c r="AB19" s="680"/>
      <c r="AD19" s="690"/>
      <c r="AE19" s="690"/>
      <c r="AF19" s="690"/>
    </row>
    <row r="20" spans="1:32" x14ac:dyDescent="0.2">
      <c r="A20" s="703" t="s">
        <v>571</v>
      </c>
      <c r="B20" s="703" t="s">
        <v>409</v>
      </c>
      <c r="C20" s="704">
        <v>648.04</v>
      </c>
      <c r="D20" s="704" t="s">
        <v>572</v>
      </c>
      <c r="E20" s="704"/>
      <c r="F20" s="703"/>
      <c r="G20" s="703"/>
      <c r="H20" s="690"/>
      <c r="I20" s="690"/>
      <c r="J20" s="690"/>
      <c r="V20" s="680"/>
      <c r="Y20" s="690"/>
      <c r="Z20" s="690"/>
      <c r="AB20" s="680"/>
      <c r="AD20" s="690"/>
      <c r="AE20" s="690"/>
      <c r="AF20" s="690"/>
    </row>
    <row r="21" spans="1:32" x14ac:dyDescent="0.2">
      <c r="A21" s="703" t="s">
        <v>571</v>
      </c>
      <c r="B21" s="703" t="s">
        <v>404</v>
      </c>
      <c r="C21" s="705">
        <f>36000*0.23884*1000/10^6*C20</f>
        <v>5572.0034495999998</v>
      </c>
      <c r="D21" s="706" t="s">
        <v>573</v>
      </c>
      <c r="E21" s="703"/>
      <c r="F21" s="703"/>
      <c r="G21" s="703"/>
      <c r="H21" s="690"/>
      <c r="V21" s="680"/>
      <c r="Y21" s="690"/>
      <c r="Z21" s="690"/>
      <c r="AB21" s="680"/>
      <c r="AD21" s="690"/>
      <c r="AE21" s="690"/>
      <c r="AF21" s="690"/>
    </row>
    <row r="22" spans="1:32" x14ac:dyDescent="0.2">
      <c r="A22" s="703" t="s">
        <v>574</v>
      </c>
      <c r="B22" s="703" t="s">
        <v>569</v>
      </c>
      <c r="C22" s="707">
        <f>F28*F23*C20/10^6/10^7</f>
        <v>55.79188917119999</v>
      </c>
      <c r="D22" s="706" t="s">
        <v>575</v>
      </c>
      <c r="E22" s="703"/>
      <c r="F22" s="703"/>
      <c r="G22" s="703"/>
      <c r="H22" s="690"/>
      <c r="V22" s="680"/>
      <c r="Y22" s="690"/>
      <c r="Z22" s="690"/>
      <c r="AB22" s="680"/>
      <c r="AD22" s="690"/>
      <c r="AE22" s="690"/>
      <c r="AF22" s="690"/>
    </row>
    <row r="23" spans="1:32" x14ac:dyDescent="0.2">
      <c r="A23" s="677" t="s">
        <v>576</v>
      </c>
      <c r="E23" s="677" t="s">
        <v>577</v>
      </c>
      <c r="F23" s="677">
        <f>4300*0+4200</f>
        <v>4200</v>
      </c>
    </row>
    <row r="24" spans="1:32" x14ac:dyDescent="0.2">
      <c r="F24" s="677" t="s">
        <v>578</v>
      </c>
    </row>
    <row r="25" spans="1:32" x14ac:dyDescent="0.2">
      <c r="A25" s="677" t="s">
        <v>579</v>
      </c>
      <c r="D25" s="677">
        <f>19.5*90</f>
        <v>1755</v>
      </c>
      <c r="E25" s="677" t="s">
        <v>580</v>
      </c>
      <c r="F25" s="708">
        <f>D25*365</f>
        <v>640575</v>
      </c>
      <c r="G25" s="677" t="s">
        <v>15</v>
      </c>
      <c r="H25" s="955" t="s">
        <v>581</v>
      </c>
      <c r="I25" s="955"/>
      <c r="J25" s="955"/>
      <c r="K25" s="677">
        <f>20.2*90</f>
        <v>1818</v>
      </c>
    </row>
    <row r="26" spans="1:32" x14ac:dyDescent="0.2">
      <c r="A26" s="677" t="s">
        <v>582</v>
      </c>
      <c r="D26" s="709">
        <v>0.77</v>
      </c>
      <c r="F26" s="710">
        <f>D26*F25</f>
        <v>493242.75</v>
      </c>
      <c r="G26" s="677" t="s">
        <v>15</v>
      </c>
      <c r="H26" s="955"/>
      <c r="I26" s="955"/>
      <c r="J26" s="955"/>
    </row>
    <row r="27" spans="1:32" x14ac:dyDescent="0.2">
      <c r="A27" s="677" t="s">
        <v>583</v>
      </c>
      <c r="D27" s="711">
        <v>0.69</v>
      </c>
      <c r="F27" s="710">
        <f>D27*F25</f>
        <v>441996.74999999994</v>
      </c>
      <c r="G27" s="677" t="s">
        <v>15</v>
      </c>
      <c r="H27" s="955"/>
      <c r="I27" s="955"/>
      <c r="J27" s="955"/>
    </row>
    <row r="28" spans="1:32" s="681" customFormat="1" ht="21.75" customHeight="1" x14ac:dyDescent="0.2">
      <c r="A28" s="681" t="s">
        <v>584</v>
      </c>
      <c r="D28" s="681">
        <f>320*D25</f>
        <v>561600</v>
      </c>
      <c r="E28" s="681" t="s">
        <v>585</v>
      </c>
      <c r="F28" s="712">
        <f>+D28*365</f>
        <v>204984000</v>
      </c>
      <c r="G28" s="681" t="s">
        <v>586</v>
      </c>
      <c r="H28" s="955"/>
      <c r="I28" s="955"/>
      <c r="J28" s="955"/>
    </row>
    <row r="29" spans="1:32" x14ac:dyDescent="0.2">
      <c r="G29" s="708"/>
      <c r="H29" s="708"/>
    </row>
    <row r="30" spans="1:32" x14ac:dyDescent="0.2">
      <c r="G30" s="713"/>
      <c r="H30" s="713"/>
    </row>
  </sheetData>
  <mergeCells count="14">
    <mergeCell ref="B18:E18"/>
    <mergeCell ref="H25:J28"/>
    <mergeCell ref="B14:E14"/>
    <mergeCell ref="H14:J14"/>
    <mergeCell ref="B15:E15"/>
    <mergeCell ref="H15:J15"/>
    <mergeCell ref="B16:E16"/>
    <mergeCell ref="B17:E17"/>
    <mergeCell ref="B13:E13"/>
    <mergeCell ref="A7:G7"/>
    <mergeCell ref="A8:G8"/>
    <mergeCell ref="A9:G9"/>
    <mergeCell ref="A10:G10"/>
    <mergeCell ref="B12:E12"/>
  </mergeCells>
  <pageMargins left="0.51181102362204722" right="0.31496062992125984" top="0.74803149606299213" bottom="0.74803149606299213" header="0.31496062992125984" footer="0.31496062992125984"/>
  <pageSetup paperSize="9" scale="6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5:BL3684"/>
  <sheetViews>
    <sheetView showZeros="0" topLeftCell="L1" zoomScale="90" zoomScaleNormal="90" workbookViewId="0">
      <selection activeCell="T29" sqref="T29"/>
    </sheetView>
  </sheetViews>
  <sheetFormatPr defaultRowHeight="15" x14ac:dyDescent="0.2"/>
  <cols>
    <col min="1" max="1" width="8.88671875" style="719"/>
    <col min="2" max="2" width="14.6640625" style="719" customWidth="1"/>
    <col min="3" max="3" width="10" style="719" bestFit="1" customWidth="1"/>
    <col min="4" max="7" width="8.88671875" style="719"/>
    <col min="8" max="8" width="10" style="719" customWidth="1"/>
    <col min="9" max="10" width="10.21875" style="719" customWidth="1"/>
    <col min="11" max="12" width="12" style="719" customWidth="1"/>
    <col min="13" max="13" width="8.6640625" style="719" customWidth="1"/>
    <col min="14" max="14" width="30.44140625" style="719" customWidth="1"/>
    <col min="15" max="15" width="9.6640625" style="719" customWidth="1"/>
    <col min="16" max="19" width="8.77734375" style="719" customWidth="1"/>
    <col min="20" max="36" width="10.33203125" style="719" customWidth="1"/>
    <col min="37" max="37" width="8.88671875" style="719"/>
    <col min="38" max="38" width="12.33203125" style="719" customWidth="1"/>
    <col min="39" max="39" width="13.109375" style="719" customWidth="1"/>
    <col min="40" max="40" width="9.109375" style="719" customWidth="1"/>
    <col min="41" max="257" width="8.88671875" style="719"/>
    <col min="258" max="258" width="14.6640625" style="719" customWidth="1"/>
    <col min="259" max="259" width="10" style="719" bestFit="1" customWidth="1"/>
    <col min="260" max="263" width="8.88671875" style="719"/>
    <col min="264" max="264" width="10" style="719" customWidth="1"/>
    <col min="265" max="266" width="10.21875" style="719" customWidth="1"/>
    <col min="267" max="268" width="12" style="719" customWidth="1"/>
    <col min="269" max="269" width="8.6640625" style="719" customWidth="1"/>
    <col min="270" max="270" width="30.44140625" style="719" customWidth="1"/>
    <col min="271" max="271" width="9.6640625" style="719" customWidth="1"/>
    <col min="272" max="275" width="8.77734375" style="719" customWidth="1"/>
    <col min="276" max="292" width="10.33203125" style="719" customWidth="1"/>
    <col min="293" max="293" width="8.88671875" style="719"/>
    <col min="294" max="294" width="12.33203125" style="719" customWidth="1"/>
    <col min="295" max="295" width="13.109375" style="719" customWidth="1"/>
    <col min="296" max="296" width="9.109375" style="719" customWidth="1"/>
    <col min="297" max="513" width="8.88671875" style="719"/>
    <col min="514" max="514" width="14.6640625" style="719" customWidth="1"/>
    <col min="515" max="515" width="10" style="719" bestFit="1" customWidth="1"/>
    <col min="516" max="519" width="8.88671875" style="719"/>
    <col min="520" max="520" width="10" style="719" customWidth="1"/>
    <col min="521" max="522" width="10.21875" style="719" customWidth="1"/>
    <col min="523" max="524" width="12" style="719" customWidth="1"/>
    <col min="525" max="525" width="8.6640625" style="719" customWidth="1"/>
    <col min="526" max="526" width="30.44140625" style="719" customWidth="1"/>
    <col min="527" max="527" width="9.6640625" style="719" customWidth="1"/>
    <col min="528" max="531" width="8.77734375" style="719" customWidth="1"/>
    <col min="532" max="548" width="10.33203125" style="719" customWidth="1"/>
    <col min="549" max="549" width="8.88671875" style="719"/>
    <col min="550" max="550" width="12.33203125" style="719" customWidth="1"/>
    <col min="551" max="551" width="13.109375" style="719" customWidth="1"/>
    <col min="552" max="552" width="9.109375" style="719" customWidth="1"/>
    <col min="553" max="769" width="8.88671875" style="719"/>
    <col min="770" max="770" width="14.6640625" style="719" customWidth="1"/>
    <col min="771" max="771" width="10" style="719" bestFit="1" customWidth="1"/>
    <col min="772" max="775" width="8.88671875" style="719"/>
    <col min="776" max="776" width="10" style="719" customWidth="1"/>
    <col min="777" max="778" width="10.21875" style="719" customWidth="1"/>
    <col min="779" max="780" width="12" style="719" customWidth="1"/>
    <col min="781" max="781" width="8.6640625" style="719" customWidth="1"/>
    <col min="782" max="782" width="30.44140625" style="719" customWidth="1"/>
    <col min="783" max="783" width="9.6640625" style="719" customWidth="1"/>
    <col min="784" max="787" width="8.77734375" style="719" customWidth="1"/>
    <col min="788" max="804" width="10.33203125" style="719" customWidth="1"/>
    <col min="805" max="805" width="8.88671875" style="719"/>
    <col min="806" max="806" width="12.33203125" style="719" customWidth="1"/>
    <col min="807" max="807" width="13.109375" style="719" customWidth="1"/>
    <col min="808" max="808" width="9.109375" style="719" customWidth="1"/>
    <col min="809" max="1025" width="8.88671875" style="719"/>
    <col min="1026" max="1026" width="14.6640625" style="719" customWidth="1"/>
    <col min="1027" max="1027" width="10" style="719" bestFit="1" customWidth="1"/>
    <col min="1028" max="1031" width="8.88671875" style="719"/>
    <col min="1032" max="1032" width="10" style="719" customWidth="1"/>
    <col min="1033" max="1034" width="10.21875" style="719" customWidth="1"/>
    <col min="1035" max="1036" width="12" style="719" customWidth="1"/>
    <col min="1037" max="1037" width="8.6640625" style="719" customWidth="1"/>
    <col min="1038" max="1038" width="30.44140625" style="719" customWidth="1"/>
    <col min="1039" max="1039" width="9.6640625" style="719" customWidth="1"/>
    <col min="1040" max="1043" width="8.77734375" style="719" customWidth="1"/>
    <col min="1044" max="1060" width="10.33203125" style="719" customWidth="1"/>
    <col min="1061" max="1061" width="8.88671875" style="719"/>
    <col min="1062" max="1062" width="12.33203125" style="719" customWidth="1"/>
    <col min="1063" max="1063" width="13.109375" style="719" customWidth="1"/>
    <col min="1064" max="1064" width="9.109375" style="719" customWidth="1"/>
    <col min="1065" max="1281" width="8.88671875" style="719"/>
    <col min="1282" max="1282" width="14.6640625" style="719" customWidth="1"/>
    <col min="1283" max="1283" width="10" style="719" bestFit="1" customWidth="1"/>
    <col min="1284" max="1287" width="8.88671875" style="719"/>
    <col min="1288" max="1288" width="10" style="719" customWidth="1"/>
    <col min="1289" max="1290" width="10.21875" style="719" customWidth="1"/>
    <col min="1291" max="1292" width="12" style="719" customWidth="1"/>
    <col min="1293" max="1293" width="8.6640625" style="719" customWidth="1"/>
    <col min="1294" max="1294" width="30.44140625" style="719" customWidth="1"/>
    <col min="1295" max="1295" width="9.6640625" style="719" customWidth="1"/>
    <col min="1296" max="1299" width="8.77734375" style="719" customWidth="1"/>
    <col min="1300" max="1316" width="10.33203125" style="719" customWidth="1"/>
    <col min="1317" max="1317" width="8.88671875" style="719"/>
    <col min="1318" max="1318" width="12.33203125" style="719" customWidth="1"/>
    <col min="1319" max="1319" width="13.109375" style="719" customWidth="1"/>
    <col min="1320" max="1320" width="9.109375" style="719" customWidth="1"/>
    <col min="1321" max="1537" width="8.88671875" style="719"/>
    <col min="1538" max="1538" width="14.6640625" style="719" customWidth="1"/>
    <col min="1539" max="1539" width="10" style="719" bestFit="1" customWidth="1"/>
    <col min="1540" max="1543" width="8.88671875" style="719"/>
    <col min="1544" max="1544" width="10" style="719" customWidth="1"/>
    <col min="1545" max="1546" width="10.21875" style="719" customWidth="1"/>
    <col min="1547" max="1548" width="12" style="719" customWidth="1"/>
    <col min="1549" max="1549" width="8.6640625" style="719" customWidth="1"/>
    <col min="1550" max="1550" width="30.44140625" style="719" customWidth="1"/>
    <col min="1551" max="1551" width="9.6640625" style="719" customWidth="1"/>
    <col min="1552" max="1555" width="8.77734375" style="719" customWidth="1"/>
    <col min="1556" max="1572" width="10.33203125" style="719" customWidth="1"/>
    <col min="1573" max="1573" width="8.88671875" style="719"/>
    <col min="1574" max="1574" width="12.33203125" style="719" customWidth="1"/>
    <col min="1575" max="1575" width="13.109375" style="719" customWidth="1"/>
    <col min="1576" max="1576" width="9.109375" style="719" customWidth="1"/>
    <col min="1577" max="1793" width="8.88671875" style="719"/>
    <col min="1794" max="1794" width="14.6640625" style="719" customWidth="1"/>
    <col min="1795" max="1795" width="10" style="719" bestFit="1" customWidth="1"/>
    <col min="1796" max="1799" width="8.88671875" style="719"/>
    <col min="1800" max="1800" width="10" style="719" customWidth="1"/>
    <col min="1801" max="1802" width="10.21875" style="719" customWidth="1"/>
    <col min="1803" max="1804" width="12" style="719" customWidth="1"/>
    <col min="1805" max="1805" width="8.6640625" style="719" customWidth="1"/>
    <col min="1806" max="1806" width="30.44140625" style="719" customWidth="1"/>
    <col min="1807" max="1807" width="9.6640625" style="719" customWidth="1"/>
    <col min="1808" max="1811" width="8.77734375" style="719" customWidth="1"/>
    <col min="1812" max="1828" width="10.33203125" style="719" customWidth="1"/>
    <col min="1829" max="1829" width="8.88671875" style="719"/>
    <col min="1830" max="1830" width="12.33203125" style="719" customWidth="1"/>
    <col min="1831" max="1831" width="13.109375" style="719" customWidth="1"/>
    <col min="1832" max="1832" width="9.109375" style="719" customWidth="1"/>
    <col min="1833" max="2049" width="8.88671875" style="719"/>
    <col min="2050" max="2050" width="14.6640625" style="719" customWidth="1"/>
    <col min="2051" max="2051" width="10" style="719" bestFit="1" customWidth="1"/>
    <col min="2052" max="2055" width="8.88671875" style="719"/>
    <col min="2056" max="2056" width="10" style="719" customWidth="1"/>
    <col min="2057" max="2058" width="10.21875" style="719" customWidth="1"/>
    <col min="2059" max="2060" width="12" style="719" customWidth="1"/>
    <col min="2061" max="2061" width="8.6640625" style="719" customWidth="1"/>
    <col min="2062" max="2062" width="30.44140625" style="719" customWidth="1"/>
    <col min="2063" max="2063" width="9.6640625" style="719" customWidth="1"/>
    <col min="2064" max="2067" width="8.77734375" style="719" customWidth="1"/>
    <col min="2068" max="2084" width="10.33203125" style="719" customWidth="1"/>
    <col min="2085" max="2085" width="8.88671875" style="719"/>
    <col min="2086" max="2086" width="12.33203125" style="719" customWidth="1"/>
    <col min="2087" max="2087" width="13.109375" style="719" customWidth="1"/>
    <col min="2088" max="2088" width="9.109375" style="719" customWidth="1"/>
    <col min="2089" max="2305" width="8.88671875" style="719"/>
    <col min="2306" max="2306" width="14.6640625" style="719" customWidth="1"/>
    <col min="2307" max="2307" width="10" style="719" bestFit="1" customWidth="1"/>
    <col min="2308" max="2311" width="8.88671875" style="719"/>
    <col min="2312" max="2312" width="10" style="719" customWidth="1"/>
    <col min="2313" max="2314" width="10.21875" style="719" customWidth="1"/>
    <col min="2315" max="2316" width="12" style="719" customWidth="1"/>
    <col min="2317" max="2317" width="8.6640625" style="719" customWidth="1"/>
    <col min="2318" max="2318" width="30.44140625" style="719" customWidth="1"/>
    <col min="2319" max="2319" width="9.6640625" style="719" customWidth="1"/>
    <col min="2320" max="2323" width="8.77734375" style="719" customWidth="1"/>
    <col min="2324" max="2340" width="10.33203125" style="719" customWidth="1"/>
    <col min="2341" max="2341" width="8.88671875" style="719"/>
    <col min="2342" max="2342" width="12.33203125" style="719" customWidth="1"/>
    <col min="2343" max="2343" width="13.109375" style="719" customWidth="1"/>
    <col min="2344" max="2344" width="9.109375" style="719" customWidth="1"/>
    <col min="2345" max="2561" width="8.88671875" style="719"/>
    <col min="2562" max="2562" width="14.6640625" style="719" customWidth="1"/>
    <col min="2563" max="2563" width="10" style="719" bestFit="1" customWidth="1"/>
    <col min="2564" max="2567" width="8.88671875" style="719"/>
    <col min="2568" max="2568" width="10" style="719" customWidth="1"/>
    <col min="2569" max="2570" width="10.21875" style="719" customWidth="1"/>
    <col min="2571" max="2572" width="12" style="719" customWidth="1"/>
    <col min="2573" max="2573" width="8.6640625" style="719" customWidth="1"/>
    <col min="2574" max="2574" width="30.44140625" style="719" customWidth="1"/>
    <col min="2575" max="2575" width="9.6640625" style="719" customWidth="1"/>
    <col min="2576" max="2579" width="8.77734375" style="719" customWidth="1"/>
    <col min="2580" max="2596" width="10.33203125" style="719" customWidth="1"/>
    <col min="2597" max="2597" width="8.88671875" style="719"/>
    <col min="2598" max="2598" width="12.33203125" style="719" customWidth="1"/>
    <col min="2599" max="2599" width="13.109375" style="719" customWidth="1"/>
    <col min="2600" max="2600" width="9.109375" style="719" customWidth="1"/>
    <col min="2601" max="2817" width="8.88671875" style="719"/>
    <col min="2818" max="2818" width="14.6640625" style="719" customWidth="1"/>
    <col min="2819" max="2819" width="10" style="719" bestFit="1" customWidth="1"/>
    <col min="2820" max="2823" width="8.88671875" style="719"/>
    <col min="2824" max="2824" width="10" style="719" customWidth="1"/>
    <col min="2825" max="2826" width="10.21875" style="719" customWidth="1"/>
    <col min="2827" max="2828" width="12" style="719" customWidth="1"/>
    <col min="2829" max="2829" width="8.6640625" style="719" customWidth="1"/>
    <col min="2830" max="2830" width="30.44140625" style="719" customWidth="1"/>
    <col min="2831" max="2831" width="9.6640625" style="719" customWidth="1"/>
    <col min="2832" max="2835" width="8.77734375" style="719" customWidth="1"/>
    <col min="2836" max="2852" width="10.33203125" style="719" customWidth="1"/>
    <col min="2853" max="2853" width="8.88671875" style="719"/>
    <col min="2854" max="2854" width="12.33203125" style="719" customWidth="1"/>
    <col min="2855" max="2855" width="13.109375" style="719" customWidth="1"/>
    <col min="2856" max="2856" width="9.109375" style="719" customWidth="1"/>
    <col min="2857" max="3073" width="8.88671875" style="719"/>
    <col min="3074" max="3074" width="14.6640625" style="719" customWidth="1"/>
    <col min="3075" max="3075" width="10" style="719" bestFit="1" customWidth="1"/>
    <col min="3076" max="3079" width="8.88671875" style="719"/>
    <col min="3080" max="3080" width="10" style="719" customWidth="1"/>
    <col min="3081" max="3082" width="10.21875" style="719" customWidth="1"/>
    <col min="3083" max="3084" width="12" style="719" customWidth="1"/>
    <col min="3085" max="3085" width="8.6640625" style="719" customWidth="1"/>
    <col min="3086" max="3086" width="30.44140625" style="719" customWidth="1"/>
    <col min="3087" max="3087" width="9.6640625" style="719" customWidth="1"/>
    <col min="3088" max="3091" width="8.77734375" style="719" customWidth="1"/>
    <col min="3092" max="3108" width="10.33203125" style="719" customWidth="1"/>
    <col min="3109" max="3109" width="8.88671875" style="719"/>
    <col min="3110" max="3110" width="12.33203125" style="719" customWidth="1"/>
    <col min="3111" max="3111" width="13.109375" style="719" customWidth="1"/>
    <col min="3112" max="3112" width="9.109375" style="719" customWidth="1"/>
    <col min="3113" max="3329" width="8.88671875" style="719"/>
    <col min="3330" max="3330" width="14.6640625" style="719" customWidth="1"/>
    <col min="3331" max="3331" width="10" style="719" bestFit="1" customWidth="1"/>
    <col min="3332" max="3335" width="8.88671875" style="719"/>
    <col min="3336" max="3336" width="10" style="719" customWidth="1"/>
    <col min="3337" max="3338" width="10.21875" style="719" customWidth="1"/>
    <col min="3339" max="3340" width="12" style="719" customWidth="1"/>
    <col min="3341" max="3341" width="8.6640625" style="719" customWidth="1"/>
    <col min="3342" max="3342" width="30.44140625" style="719" customWidth="1"/>
    <col min="3343" max="3343" width="9.6640625" style="719" customWidth="1"/>
    <col min="3344" max="3347" width="8.77734375" style="719" customWidth="1"/>
    <col min="3348" max="3364" width="10.33203125" style="719" customWidth="1"/>
    <col min="3365" max="3365" width="8.88671875" style="719"/>
    <col min="3366" max="3366" width="12.33203125" style="719" customWidth="1"/>
    <col min="3367" max="3367" width="13.109375" style="719" customWidth="1"/>
    <col min="3368" max="3368" width="9.109375" style="719" customWidth="1"/>
    <col min="3369" max="3585" width="8.88671875" style="719"/>
    <col min="3586" max="3586" width="14.6640625" style="719" customWidth="1"/>
    <col min="3587" max="3587" width="10" style="719" bestFit="1" customWidth="1"/>
    <col min="3588" max="3591" width="8.88671875" style="719"/>
    <col min="3592" max="3592" width="10" style="719" customWidth="1"/>
    <col min="3593" max="3594" width="10.21875" style="719" customWidth="1"/>
    <col min="3595" max="3596" width="12" style="719" customWidth="1"/>
    <col min="3597" max="3597" width="8.6640625" style="719" customWidth="1"/>
    <col min="3598" max="3598" width="30.44140625" style="719" customWidth="1"/>
    <col min="3599" max="3599" width="9.6640625" style="719" customWidth="1"/>
    <col min="3600" max="3603" width="8.77734375" style="719" customWidth="1"/>
    <col min="3604" max="3620" width="10.33203125" style="719" customWidth="1"/>
    <col min="3621" max="3621" width="8.88671875" style="719"/>
    <col min="3622" max="3622" width="12.33203125" style="719" customWidth="1"/>
    <col min="3623" max="3623" width="13.109375" style="719" customWidth="1"/>
    <col min="3624" max="3624" width="9.109375" style="719" customWidth="1"/>
    <col min="3625" max="3841" width="8.88671875" style="719"/>
    <col min="3842" max="3842" width="14.6640625" style="719" customWidth="1"/>
    <col min="3843" max="3843" width="10" style="719" bestFit="1" customWidth="1"/>
    <col min="3844" max="3847" width="8.88671875" style="719"/>
    <col min="3848" max="3848" width="10" style="719" customWidth="1"/>
    <col min="3849" max="3850" width="10.21875" style="719" customWidth="1"/>
    <col min="3851" max="3852" width="12" style="719" customWidth="1"/>
    <col min="3853" max="3853" width="8.6640625" style="719" customWidth="1"/>
    <col min="3854" max="3854" width="30.44140625" style="719" customWidth="1"/>
    <col min="3855" max="3855" width="9.6640625" style="719" customWidth="1"/>
    <col min="3856" max="3859" width="8.77734375" style="719" customWidth="1"/>
    <col min="3860" max="3876" width="10.33203125" style="719" customWidth="1"/>
    <col min="3877" max="3877" width="8.88671875" style="719"/>
    <col min="3878" max="3878" width="12.33203125" style="719" customWidth="1"/>
    <col min="3879" max="3879" width="13.109375" style="719" customWidth="1"/>
    <col min="3880" max="3880" width="9.109375" style="719" customWidth="1"/>
    <col min="3881" max="4097" width="8.88671875" style="719"/>
    <col min="4098" max="4098" width="14.6640625" style="719" customWidth="1"/>
    <col min="4099" max="4099" width="10" style="719" bestFit="1" customWidth="1"/>
    <col min="4100" max="4103" width="8.88671875" style="719"/>
    <col min="4104" max="4104" width="10" style="719" customWidth="1"/>
    <col min="4105" max="4106" width="10.21875" style="719" customWidth="1"/>
    <col min="4107" max="4108" width="12" style="719" customWidth="1"/>
    <col min="4109" max="4109" width="8.6640625" style="719" customWidth="1"/>
    <col min="4110" max="4110" width="30.44140625" style="719" customWidth="1"/>
    <col min="4111" max="4111" width="9.6640625" style="719" customWidth="1"/>
    <col min="4112" max="4115" width="8.77734375" style="719" customWidth="1"/>
    <col min="4116" max="4132" width="10.33203125" style="719" customWidth="1"/>
    <col min="4133" max="4133" width="8.88671875" style="719"/>
    <col min="4134" max="4134" width="12.33203125" style="719" customWidth="1"/>
    <col min="4135" max="4135" width="13.109375" style="719" customWidth="1"/>
    <col min="4136" max="4136" width="9.109375" style="719" customWidth="1"/>
    <col min="4137" max="4353" width="8.88671875" style="719"/>
    <col min="4354" max="4354" width="14.6640625" style="719" customWidth="1"/>
    <col min="4355" max="4355" width="10" style="719" bestFit="1" customWidth="1"/>
    <col min="4356" max="4359" width="8.88671875" style="719"/>
    <col min="4360" max="4360" width="10" style="719" customWidth="1"/>
    <col min="4361" max="4362" width="10.21875" style="719" customWidth="1"/>
    <col min="4363" max="4364" width="12" style="719" customWidth="1"/>
    <col min="4365" max="4365" width="8.6640625" style="719" customWidth="1"/>
    <col min="4366" max="4366" width="30.44140625" style="719" customWidth="1"/>
    <col min="4367" max="4367" width="9.6640625" style="719" customWidth="1"/>
    <col min="4368" max="4371" width="8.77734375" style="719" customWidth="1"/>
    <col min="4372" max="4388" width="10.33203125" style="719" customWidth="1"/>
    <col min="4389" max="4389" width="8.88671875" style="719"/>
    <col min="4390" max="4390" width="12.33203125" style="719" customWidth="1"/>
    <col min="4391" max="4391" width="13.109375" style="719" customWidth="1"/>
    <col min="4392" max="4392" width="9.109375" style="719" customWidth="1"/>
    <col min="4393" max="4609" width="8.88671875" style="719"/>
    <col min="4610" max="4610" width="14.6640625" style="719" customWidth="1"/>
    <col min="4611" max="4611" width="10" style="719" bestFit="1" customWidth="1"/>
    <col min="4612" max="4615" width="8.88671875" style="719"/>
    <col min="4616" max="4616" width="10" style="719" customWidth="1"/>
    <col min="4617" max="4618" width="10.21875" style="719" customWidth="1"/>
    <col min="4619" max="4620" width="12" style="719" customWidth="1"/>
    <col min="4621" max="4621" width="8.6640625" style="719" customWidth="1"/>
    <col min="4622" max="4622" width="30.44140625" style="719" customWidth="1"/>
    <col min="4623" max="4623" width="9.6640625" style="719" customWidth="1"/>
    <col min="4624" max="4627" width="8.77734375" style="719" customWidth="1"/>
    <col min="4628" max="4644" width="10.33203125" style="719" customWidth="1"/>
    <col min="4645" max="4645" width="8.88671875" style="719"/>
    <col min="4646" max="4646" width="12.33203125" style="719" customWidth="1"/>
    <col min="4647" max="4647" width="13.109375" style="719" customWidth="1"/>
    <col min="4648" max="4648" width="9.109375" style="719" customWidth="1"/>
    <col min="4649" max="4865" width="8.88671875" style="719"/>
    <col min="4866" max="4866" width="14.6640625" style="719" customWidth="1"/>
    <col min="4867" max="4867" width="10" style="719" bestFit="1" customWidth="1"/>
    <col min="4868" max="4871" width="8.88671875" style="719"/>
    <col min="4872" max="4872" width="10" style="719" customWidth="1"/>
    <col min="4873" max="4874" width="10.21875" style="719" customWidth="1"/>
    <col min="4875" max="4876" width="12" style="719" customWidth="1"/>
    <col min="4877" max="4877" width="8.6640625" style="719" customWidth="1"/>
    <col min="4878" max="4878" width="30.44140625" style="719" customWidth="1"/>
    <col min="4879" max="4879" width="9.6640625" style="719" customWidth="1"/>
    <col min="4880" max="4883" width="8.77734375" style="719" customWidth="1"/>
    <col min="4884" max="4900" width="10.33203125" style="719" customWidth="1"/>
    <col min="4901" max="4901" width="8.88671875" style="719"/>
    <col min="4902" max="4902" width="12.33203125" style="719" customWidth="1"/>
    <col min="4903" max="4903" width="13.109375" style="719" customWidth="1"/>
    <col min="4904" max="4904" width="9.109375" style="719" customWidth="1"/>
    <col min="4905" max="5121" width="8.88671875" style="719"/>
    <col min="5122" max="5122" width="14.6640625" style="719" customWidth="1"/>
    <col min="5123" max="5123" width="10" style="719" bestFit="1" customWidth="1"/>
    <col min="5124" max="5127" width="8.88671875" style="719"/>
    <col min="5128" max="5128" width="10" style="719" customWidth="1"/>
    <col min="5129" max="5130" width="10.21875" style="719" customWidth="1"/>
    <col min="5131" max="5132" width="12" style="719" customWidth="1"/>
    <col min="5133" max="5133" width="8.6640625" style="719" customWidth="1"/>
    <col min="5134" max="5134" width="30.44140625" style="719" customWidth="1"/>
    <col min="5135" max="5135" width="9.6640625" style="719" customWidth="1"/>
    <col min="5136" max="5139" width="8.77734375" style="719" customWidth="1"/>
    <col min="5140" max="5156" width="10.33203125" style="719" customWidth="1"/>
    <col min="5157" max="5157" width="8.88671875" style="719"/>
    <col min="5158" max="5158" width="12.33203125" style="719" customWidth="1"/>
    <col min="5159" max="5159" width="13.109375" style="719" customWidth="1"/>
    <col min="5160" max="5160" width="9.109375" style="719" customWidth="1"/>
    <col min="5161" max="5377" width="8.88671875" style="719"/>
    <col min="5378" max="5378" width="14.6640625" style="719" customWidth="1"/>
    <col min="5379" max="5379" width="10" style="719" bestFit="1" customWidth="1"/>
    <col min="5380" max="5383" width="8.88671875" style="719"/>
    <col min="5384" max="5384" width="10" style="719" customWidth="1"/>
    <col min="5385" max="5386" width="10.21875" style="719" customWidth="1"/>
    <col min="5387" max="5388" width="12" style="719" customWidth="1"/>
    <col min="5389" max="5389" width="8.6640625" style="719" customWidth="1"/>
    <col min="5390" max="5390" width="30.44140625" style="719" customWidth="1"/>
    <col min="5391" max="5391" width="9.6640625" style="719" customWidth="1"/>
    <col min="5392" max="5395" width="8.77734375" style="719" customWidth="1"/>
    <col min="5396" max="5412" width="10.33203125" style="719" customWidth="1"/>
    <col min="5413" max="5413" width="8.88671875" style="719"/>
    <col min="5414" max="5414" width="12.33203125" style="719" customWidth="1"/>
    <col min="5415" max="5415" width="13.109375" style="719" customWidth="1"/>
    <col min="5416" max="5416" width="9.109375" style="719" customWidth="1"/>
    <col min="5417" max="5633" width="8.88671875" style="719"/>
    <col min="5634" max="5634" width="14.6640625" style="719" customWidth="1"/>
    <col min="5635" max="5635" width="10" style="719" bestFit="1" customWidth="1"/>
    <col min="5636" max="5639" width="8.88671875" style="719"/>
    <col min="5640" max="5640" width="10" style="719" customWidth="1"/>
    <col min="5641" max="5642" width="10.21875" style="719" customWidth="1"/>
    <col min="5643" max="5644" width="12" style="719" customWidth="1"/>
    <col min="5645" max="5645" width="8.6640625" style="719" customWidth="1"/>
    <col min="5646" max="5646" width="30.44140625" style="719" customWidth="1"/>
    <col min="5647" max="5647" width="9.6640625" style="719" customWidth="1"/>
    <col min="5648" max="5651" width="8.77734375" style="719" customWidth="1"/>
    <col min="5652" max="5668" width="10.33203125" style="719" customWidth="1"/>
    <col min="5669" max="5669" width="8.88671875" style="719"/>
    <col min="5670" max="5670" width="12.33203125" style="719" customWidth="1"/>
    <col min="5671" max="5671" width="13.109375" style="719" customWidth="1"/>
    <col min="5672" max="5672" width="9.109375" style="719" customWidth="1"/>
    <col min="5673" max="5889" width="8.88671875" style="719"/>
    <col min="5890" max="5890" width="14.6640625" style="719" customWidth="1"/>
    <col min="5891" max="5891" width="10" style="719" bestFit="1" customWidth="1"/>
    <col min="5892" max="5895" width="8.88671875" style="719"/>
    <col min="5896" max="5896" width="10" style="719" customWidth="1"/>
    <col min="5897" max="5898" width="10.21875" style="719" customWidth="1"/>
    <col min="5899" max="5900" width="12" style="719" customWidth="1"/>
    <col min="5901" max="5901" width="8.6640625" style="719" customWidth="1"/>
    <col min="5902" max="5902" width="30.44140625" style="719" customWidth="1"/>
    <col min="5903" max="5903" width="9.6640625" style="719" customWidth="1"/>
    <col min="5904" max="5907" width="8.77734375" style="719" customWidth="1"/>
    <col min="5908" max="5924" width="10.33203125" style="719" customWidth="1"/>
    <col min="5925" max="5925" width="8.88671875" style="719"/>
    <col min="5926" max="5926" width="12.33203125" style="719" customWidth="1"/>
    <col min="5927" max="5927" width="13.109375" style="719" customWidth="1"/>
    <col min="5928" max="5928" width="9.109375" style="719" customWidth="1"/>
    <col min="5929" max="6145" width="8.88671875" style="719"/>
    <col min="6146" max="6146" width="14.6640625" style="719" customWidth="1"/>
    <col min="6147" max="6147" width="10" style="719" bestFit="1" customWidth="1"/>
    <col min="6148" max="6151" width="8.88671875" style="719"/>
    <col min="6152" max="6152" width="10" style="719" customWidth="1"/>
    <col min="6153" max="6154" width="10.21875" style="719" customWidth="1"/>
    <col min="6155" max="6156" width="12" style="719" customWidth="1"/>
    <col min="6157" max="6157" width="8.6640625" style="719" customWidth="1"/>
    <col min="6158" max="6158" width="30.44140625" style="719" customWidth="1"/>
    <col min="6159" max="6159" width="9.6640625" style="719" customWidth="1"/>
    <col min="6160" max="6163" width="8.77734375" style="719" customWidth="1"/>
    <col min="6164" max="6180" width="10.33203125" style="719" customWidth="1"/>
    <col min="6181" max="6181" width="8.88671875" style="719"/>
    <col min="6182" max="6182" width="12.33203125" style="719" customWidth="1"/>
    <col min="6183" max="6183" width="13.109375" style="719" customWidth="1"/>
    <col min="6184" max="6184" width="9.109375" style="719" customWidth="1"/>
    <col min="6185" max="6401" width="8.88671875" style="719"/>
    <col min="6402" max="6402" width="14.6640625" style="719" customWidth="1"/>
    <col min="6403" max="6403" width="10" style="719" bestFit="1" customWidth="1"/>
    <col min="6404" max="6407" width="8.88671875" style="719"/>
    <col min="6408" max="6408" width="10" style="719" customWidth="1"/>
    <col min="6409" max="6410" width="10.21875" style="719" customWidth="1"/>
    <col min="6411" max="6412" width="12" style="719" customWidth="1"/>
    <col min="6413" max="6413" width="8.6640625" style="719" customWidth="1"/>
    <col min="6414" max="6414" width="30.44140625" style="719" customWidth="1"/>
    <col min="6415" max="6415" width="9.6640625" style="719" customWidth="1"/>
    <col min="6416" max="6419" width="8.77734375" style="719" customWidth="1"/>
    <col min="6420" max="6436" width="10.33203125" style="719" customWidth="1"/>
    <col min="6437" max="6437" width="8.88671875" style="719"/>
    <col min="6438" max="6438" width="12.33203125" style="719" customWidth="1"/>
    <col min="6439" max="6439" width="13.109375" style="719" customWidth="1"/>
    <col min="6440" max="6440" width="9.109375" style="719" customWidth="1"/>
    <col min="6441" max="6657" width="8.88671875" style="719"/>
    <col min="6658" max="6658" width="14.6640625" style="719" customWidth="1"/>
    <col min="6659" max="6659" width="10" style="719" bestFit="1" customWidth="1"/>
    <col min="6660" max="6663" width="8.88671875" style="719"/>
    <col min="6664" max="6664" width="10" style="719" customWidth="1"/>
    <col min="6665" max="6666" width="10.21875" style="719" customWidth="1"/>
    <col min="6667" max="6668" width="12" style="719" customWidth="1"/>
    <col min="6669" max="6669" width="8.6640625" style="719" customWidth="1"/>
    <col min="6670" max="6670" width="30.44140625" style="719" customWidth="1"/>
    <col min="6671" max="6671" width="9.6640625" style="719" customWidth="1"/>
    <col min="6672" max="6675" width="8.77734375" style="719" customWidth="1"/>
    <col min="6676" max="6692" width="10.33203125" style="719" customWidth="1"/>
    <col min="6693" max="6693" width="8.88671875" style="719"/>
    <col min="6694" max="6694" width="12.33203125" style="719" customWidth="1"/>
    <col min="6695" max="6695" width="13.109375" style="719" customWidth="1"/>
    <col min="6696" max="6696" width="9.109375" style="719" customWidth="1"/>
    <col min="6697" max="6913" width="8.88671875" style="719"/>
    <col min="6914" max="6914" width="14.6640625" style="719" customWidth="1"/>
    <col min="6915" max="6915" width="10" style="719" bestFit="1" customWidth="1"/>
    <col min="6916" max="6919" width="8.88671875" style="719"/>
    <col min="6920" max="6920" width="10" style="719" customWidth="1"/>
    <col min="6921" max="6922" width="10.21875" style="719" customWidth="1"/>
    <col min="6923" max="6924" width="12" style="719" customWidth="1"/>
    <col min="6925" max="6925" width="8.6640625" style="719" customWidth="1"/>
    <col min="6926" max="6926" width="30.44140625" style="719" customWidth="1"/>
    <col min="6927" max="6927" width="9.6640625" style="719" customWidth="1"/>
    <col min="6928" max="6931" width="8.77734375" style="719" customWidth="1"/>
    <col min="6932" max="6948" width="10.33203125" style="719" customWidth="1"/>
    <col min="6949" max="6949" width="8.88671875" style="719"/>
    <col min="6950" max="6950" width="12.33203125" style="719" customWidth="1"/>
    <col min="6951" max="6951" width="13.109375" style="719" customWidth="1"/>
    <col min="6952" max="6952" width="9.109375" style="719" customWidth="1"/>
    <col min="6953" max="7169" width="8.88671875" style="719"/>
    <col min="7170" max="7170" width="14.6640625" style="719" customWidth="1"/>
    <col min="7171" max="7171" width="10" style="719" bestFit="1" customWidth="1"/>
    <col min="7172" max="7175" width="8.88671875" style="719"/>
    <col min="7176" max="7176" width="10" style="719" customWidth="1"/>
    <col min="7177" max="7178" width="10.21875" style="719" customWidth="1"/>
    <col min="7179" max="7180" width="12" style="719" customWidth="1"/>
    <col min="7181" max="7181" width="8.6640625" style="719" customWidth="1"/>
    <col min="7182" max="7182" width="30.44140625" style="719" customWidth="1"/>
    <col min="7183" max="7183" width="9.6640625" style="719" customWidth="1"/>
    <col min="7184" max="7187" width="8.77734375" style="719" customWidth="1"/>
    <col min="7188" max="7204" width="10.33203125" style="719" customWidth="1"/>
    <col min="7205" max="7205" width="8.88671875" style="719"/>
    <col min="7206" max="7206" width="12.33203125" style="719" customWidth="1"/>
    <col min="7207" max="7207" width="13.109375" style="719" customWidth="1"/>
    <col min="7208" max="7208" width="9.109375" style="719" customWidth="1"/>
    <col min="7209" max="7425" width="8.88671875" style="719"/>
    <col min="7426" max="7426" width="14.6640625" style="719" customWidth="1"/>
    <col min="7427" max="7427" width="10" style="719" bestFit="1" customWidth="1"/>
    <col min="7428" max="7431" width="8.88671875" style="719"/>
    <col min="7432" max="7432" width="10" style="719" customWidth="1"/>
    <col min="7433" max="7434" width="10.21875" style="719" customWidth="1"/>
    <col min="7435" max="7436" width="12" style="719" customWidth="1"/>
    <col min="7437" max="7437" width="8.6640625" style="719" customWidth="1"/>
    <col min="7438" max="7438" width="30.44140625" style="719" customWidth="1"/>
    <col min="7439" max="7439" width="9.6640625" style="719" customWidth="1"/>
    <col min="7440" max="7443" width="8.77734375" style="719" customWidth="1"/>
    <col min="7444" max="7460" width="10.33203125" style="719" customWidth="1"/>
    <col min="7461" max="7461" width="8.88671875" style="719"/>
    <col min="7462" max="7462" width="12.33203125" style="719" customWidth="1"/>
    <col min="7463" max="7463" width="13.109375" style="719" customWidth="1"/>
    <col min="7464" max="7464" width="9.109375" style="719" customWidth="1"/>
    <col min="7465" max="7681" width="8.88671875" style="719"/>
    <col min="7682" max="7682" width="14.6640625" style="719" customWidth="1"/>
    <col min="7683" max="7683" width="10" style="719" bestFit="1" customWidth="1"/>
    <col min="7684" max="7687" width="8.88671875" style="719"/>
    <col min="7688" max="7688" width="10" style="719" customWidth="1"/>
    <col min="7689" max="7690" width="10.21875" style="719" customWidth="1"/>
    <col min="7691" max="7692" width="12" style="719" customWidth="1"/>
    <col min="7693" max="7693" width="8.6640625" style="719" customWidth="1"/>
    <col min="7694" max="7694" width="30.44140625" style="719" customWidth="1"/>
    <col min="7695" max="7695" width="9.6640625" style="719" customWidth="1"/>
    <col min="7696" max="7699" width="8.77734375" style="719" customWidth="1"/>
    <col min="7700" max="7716" width="10.33203125" style="719" customWidth="1"/>
    <col min="7717" max="7717" width="8.88671875" style="719"/>
    <col min="7718" max="7718" width="12.33203125" style="719" customWidth="1"/>
    <col min="7719" max="7719" width="13.109375" style="719" customWidth="1"/>
    <col min="7720" max="7720" width="9.109375" style="719" customWidth="1"/>
    <col min="7721" max="7937" width="8.88671875" style="719"/>
    <col min="7938" max="7938" width="14.6640625" style="719" customWidth="1"/>
    <col min="7939" max="7939" width="10" style="719" bestFit="1" customWidth="1"/>
    <col min="7940" max="7943" width="8.88671875" style="719"/>
    <col min="7944" max="7944" width="10" style="719" customWidth="1"/>
    <col min="7945" max="7946" width="10.21875" style="719" customWidth="1"/>
    <col min="7947" max="7948" width="12" style="719" customWidth="1"/>
    <col min="7949" max="7949" width="8.6640625" style="719" customWidth="1"/>
    <col min="7950" max="7950" width="30.44140625" style="719" customWidth="1"/>
    <col min="7951" max="7951" width="9.6640625" style="719" customWidth="1"/>
    <col min="7952" max="7955" width="8.77734375" style="719" customWidth="1"/>
    <col min="7956" max="7972" width="10.33203125" style="719" customWidth="1"/>
    <col min="7973" max="7973" width="8.88671875" style="719"/>
    <col min="7974" max="7974" width="12.33203125" style="719" customWidth="1"/>
    <col min="7975" max="7975" width="13.109375" style="719" customWidth="1"/>
    <col min="7976" max="7976" width="9.109375" style="719" customWidth="1"/>
    <col min="7977" max="8193" width="8.88671875" style="719"/>
    <col min="8194" max="8194" width="14.6640625" style="719" customWidth="1"/>
    <col min="8195" max="8195" width="10" style="719" bestFit="1" customWidth="1"/>
    <col min="8196" max="8199" width="8.88671875" style="719"/>
    <col min="8200" max="8200" width="10" style="719" customWidth="1"/>
    <col min="8201" max="8202" width="10.21875" style="719" customWidth="1"/>
    <col min="8203" max="8204" width="12" style="719" customWidth="1"/>
    <col min="8205" max="8205" width="8.6640625" style="719" customWidth="1"/>
    <col min="8206" max="8206" width="30.44140625" style="719" customWidth="1"/>
    <col min="8207" max="8207" width="9.6640625" style="719" customWidth="1"/>
    <col min="8208" max="8211" width="8.77734375" style="719" customWidth="1"/>
    <col min="8212" max="8228" width="10.33203125" style="719" customWidth="1"/>
    <col min="8229" max="8229" width="8.88671875" style="719"/>
    <col min="8230" max="8230" width="12.33203125" style="719" customWidth="1"/>
    <col min="8231" max="8231" width="13.109375" style="719" customWidth="1"/>
    <col min="8232" max="8232" width="9.109375" style="719" customWidth="1"/>
    <col min="8233" max="8449" width="8.88671875" style="719"/>
    <col min="8450" max="8450" width="14.6640625" style="719" customWidth="1"/>
    <col min="8451" max="8451" width="10" style="719" bestFit="1" customWidth="1"/>
    <col min="8452" max="8455" width="8.88671875" style="719"/>
    <col min="8456" max="8456" width="10" style="719" customWidth="1"/>
    <col min="8457" max="8458" width="10.21875" style="719" customWidth="1"/>
    <col min="8459" max="8460" width="12" style="719" customWidth="1"/>
    <col min="8461" max="8461" width="8.6640625" style="719" customWidth="1"/>
    <col min="8462" max="8462" width="30.44140625" style="719" customWidth="1"/>
    <col min="8463" max="8463" width="9.6640625" style="719" customWidth="1"/>
    <col min="8464" max="8467" width="8.77734375" style="719" customWidth="1"/>
    <col min="8468" max="8484" width="10.33203125" style="719" customWidth="1"/>
    <col min="8485" max="8485" width="8.88671875" style="719"/>
    <col min="8486" max="8486" width="12.33203125" style="719" customWidth="1"/>
    <col min="8487" max="8487" width="13.109375" style="719" customWidth="1"/>
    <col min="8488" max="8488" width="9.109375" style="719" customWidth="1"/>
    <col min="8489" max="8705" width="8.88671875" style="719"/>
    <col min="8706" max="8706" width="14.6640625" style="719" customWidth="1"/>
    <col min="8707" max="8707" width="10" style="719" bestFit="1" customWidth="1"/>
    <col min="8708" max="8711" width="8.88671875" style="719"/>
    <col min="8712" max="8712" width="10" style="719" customWidth="1"/>
    <col min="8713" max="8714" width="10.21875" style="719" customWidth="1"/>
    <col min="8715" max="8716" width="12" style="719" customWidth="1"/>
    <col min="8717" max="8717" width="8.6640625" style="719" customWidth="1"/>
    <col min="8718" max="8718" width="30.44140625" style="719" customWidth="1"/>
    <col min="8719" max="8719" width="9.6640625" style="719" customWidth="1"/>
    <col min="8720" max="8723" width="8.77734375" style="719" customWidth="1"/>
    <col min="8724" max="8740" width="10.33203125" style="719" customWidth="1"/>
    <col min="8741" max="8741" width="8.88671875" style="719"/>
    <col min="8742" max="8742" width="12.33203125" style="719" customWidth="1"/>
    <col min="8743" max="8743" width="13.109375" style="719" customWidth="1"/>
    <col min="8744" max="8744" width="9.109375" style="719" customWidth="1"/>
    <col min="8745" max="8961" width="8.88671875" style="719"/>
    <col min="8962" max="8962" width="14.6640625" style="719" customWidth="1"/>
    <col min="8963" max="8963" width="10" style="719" bestFit="1" customWidth="1"/>
    <col min="8964" max="8967" width="8.88671875" style="719"/>
    <col min="8968" max="8968" width="10" style="719" customWidth="1"/>
    <col min="8969" max="8970" width="10.21875" style="719" customWidth="1"/>
    <col min="8971" max="8972" width="12" style="719" customWidth="1"/>
    <col min="8973" max="8973" width="8.6640625" style="719" customWidth="1"/>
    <col min="8974" max="8974" width="30.44140625" style="719" customWidth="1"/>
    <col min="8975" max="8975" width="9.6640625" style="719" customWidth="1"/>
    <col min="8976" max="8979" width="8.77734375" style="719" customWidth="1"/>
    <col min="8980" max="8996" width="10.33203125" style="719" customWidth="1"/>
    <col min="8997" max="8997" width="8.88671875" style="719"/>
    <col min="8998" max="8998" width="12.33203125" style="719" customWidth="1"/>
    <col min="8999" max="8999" width="13.109375" style="719" customWidth="1"/>
    <col min="9000" max="9000" width="9.109375" style="719" customWidth="1"/>
    <col min="9001" max="9217" width="8.88671875" style="719"/>
    <col min="9218" max="9218" width="14.6640625" style="719" customWidth="1"/>
    <col min="9219" max="9219" width="10" style="719" bestFit="1" customWidth="1"/>
    <col min="9220" max="9223" width="8.88671875" style="719"/>
    <col min="9224" max="9224" width="10" style="719" customWidth="1"/>
    <col min="9225" max="9226" width="10.21875" style="719" customWidth="1"/>
    <col min="9227" max="9228" width="12" style="719" customWidth="1"/>
    <col min="9229" max="9229" width="8.6640625" style="719" customWidth="1"/>
    <col min="9230" max="9230" width="30.44140625" style="719" customWidth="1"/>
    <col min="9231" max="9231" width="9.6640625" style="719" customWidth="1"/>
    <col min="9232" max="9235" width="8.77734375" style="719" customWidth="1"/>
    <col min="9236" max="9252" width="10.33203125" style="719" customWidth="1"/>
    <col min="9253" max="9253" width="8.88671875" style="719"/>
    <col min="9254" max="9254" width="12.33203125" style="719" customWidth="1"/>
    <col min="9255" max="9255" width="13.109375" style="719" customWidth="1"/>
    <col min="9256" max="9256" width="9.109375" style="719" customWidth="1"/>
    <col min="9257" max="9473" width="8.88671875" style="719"/>
    <col min="9474" max="9474" width="14.6640625" style="719" customWidth="1"/>
    <col min="9475" max="9475" width="10" style="719" bestFit="1" customWidth="1"/>
    <col min="9476" max="9479" width="8.88671875" style="719"/>
    <col min="9480" max="9480" width="10" style="719" customWidth="1"/>
    <col min="9481" max="9482" width="10.21875" style="719" customWidth="1"/>
    <col min="9483" max="9484" width="12" style="719" customWidth="1"/>
    <col min="9485" max="9485" width="8.6640625" style="719" customWidth="1"/>
    <col min="9486" max="9486" width="30.44140625" style="719" customWidth="1"/>
    <col min="9487" max="9487" width="9.6640625" style="719" customWidth="1"/>
    <col min="9488" max="9491" width="8.77734375" style="719" customWidth="1"/>
    <col min="9492" max="9508" width="10.33203125" style="719" customWidth="1"/>
    <col min="9509" max="9509" width="8.88671875" style="719"/>
    <col min="9510" max="9510" width="12.33203125" style="719" customWidth="1"/>
    <col min="9511" max="9511" width="13.109375" style="719" customWidth="1"/>
    <col min="9512" max="9512" width="9.109375" style="719" customWidth="1"/>
    <col min="9513" max="9729" width="8.88671875" style="719"/>
    <col min="9730" max="9730" width="14.6640625" style="719" customWidth="1"/>
    <col min="9731" max="9731" width="10" style="719" bestFit="1" customWidth="1"/>
    <col min="9732" max="9735" width="8.88671875" style="719"/>
    <col min="9736" max="9736" width="10" style="719" customWidth="1"/>
    <col min="9737" max="9738" width="10.21875" style="719" customWidth="1"/>
    <col min="9739" max="9740" width="12" style="719" customWidth="1"/>
    <col min="9741" max="9741" width="8.6640625" style="719" customWidth="1"/>
    <col min="9742" max="9742" width="30.44140625" style="719" customWidth="1"/>
    <col min="9743" max="9743" width="9.6640625" style="719" customWidth="1"/>
    <col min="9744" max="9747" width="8.77734375" style="719" customWidth="1"/>
    <col min="9748" max="9764" width="10.33203125" style="719" customWidth="1"/>
    <col min="9765" max="9765" width="8.88671875" style="719"/>
    <col min="9766" max="9766" width="12.33203125" style="719" customWidth="1"/>
    <col min="9767" max="9767" width="13.109375" style="719" customWidth="1"/>
    <col min="9768" max="9768" width="9.109375" style="719" customWidth="1"/>
    <col min="9769" max="9985" width="8.88671875" style="719"/>
    <col min="9986" max="9986" width="14.6640625" style="719" customWidth="1"/>
    <col min="9987" max="9987" width="10" style="719" bestFit="1" customWidth="1"/>
    <col min="9988" max="9991" width="8.88671875" style="719"/>
    <col min="9992" max="9992" width="10" style="719" customWidth="1"/>
    <col min="9993" max="9994" width="10.21875" style="719" customWidth="1"/>
    <col min="9995" max="9996" width="12" style="719" customWidth="1"/>
    <col min="9997" max="9997" width="8.6640625" style="719" customWidth="1"/>
    <col min="9998" max="9998" width="30.44140625" style="719" customWidth="1"/>
    <col min="9999" max="9999" width="9.6640625" style="719" customWidth="1"/>
    <col min="10000" max="10003" width="8.77734375" style="719" customWidth="1"/>
    <col min="10004" max="10020" width="10.33203125" style="719" customWidth="1"/>
    <col min="10021" max="10021" width="8.88671875" style="719"/>
    <col min="10022" max="10022" width="12.33203125" style="719" customWidth="1"/>
    <col min="10023" max="10023" width="13.109375" style="719" customWidth="1"/>
    <col min="10024" max="10024" width="9.109375" style="719" customWidth="1"/>
    <col min="10025" max="10241" width="8.88671875" style="719"/>
    <col min="10242" max="10242" width="14.6640625" style="719" customWidth="1"/>
    <col min="10243" max="10243" width="10" style="719" bestFit="1" customWidth="1"/>
    <col min="10244" max="10247" width="8.88671875" style="719"/>
    <col min="10248" max="10248" width="10" style="719" customWidth="1"/>
    <col min="10249" max="10250" width="10.21875" style="719" customWidth="1"/>
    <col min="10251" max="10252" width="12" style="719" customWidth="1"/>
    <col min="10253" max="10253" width="8.6640625" style="719" customWidth="1"/>
    <col min="10254" max="10254" width="30.44140625" style="719" customWidth="1"/>
    <col min="10255" max="10255" width="9.6640625" style="719" customWidth="1"/>
    <col min="10256" max="10259" width="8.77734375" style="719" customWidth="1"/>
    <col min="10260" max="10276" width="10.33203125" style="719" customWidth="1"/>
    <col min="10277" max="10277" width="8.88671875" style="719"/>
    <col min="10278" max="10278" width="12.33203125" style="719" customWidth="1"/>
    <col min="10279" max="10279" width="13.109375" style="719" customWidth="1"/>
    <col min="10280" max="10280" width="9.109375" style="719" customWidth="1"/>
    <col min="10281" max="10497" width="8.88671875" style="719"/>
    <col min="10498" max="10498" width="14.6640625" style="719" customWidth="1"/>
    <col min="10499" max="10499" width="10" style="719" bestFit="1" customWidth="1"/>
    <col min="10500" max="10503" width="8.88671875" style="719"/>
    <col min="10504" max="10504" width="10" style="719" customWidth="1"/>
    <col min="10505" max="10506" width="10.21875" style="719" customWidth="1"/>
    <col min="10507" max="10508" width="12" style="719" customWidth="1"/>
    <col min="10509" max="10509" width="8.6640625" style="719" customWidth="1"/>
    <col min="10510" max="10510" width="30.44140625" style="719" customWidth="1"/>
    <col min="10511" max="10511" width="9.6640625" style="719" customWidth="1"/>
    <col min="10512" max="10515" width="8.77734375" style="719" customWidth="1"/>
    <col min="10516" max="10532" width="10.33203125" style="719" customWidth="1"/>
    <col min="10533" max="10533" width="8.88671875" style="719"/>
    <col min="10534" max="10534" width="12.33203125" style="719" customWidth="1"/>
    <col min="10535" max="10535" width="13.109375" style="719" customWidth="1"/>
    <col min="10536" max="10536" width="9.109375" style="719" customWidth="1"/>
    <col min="10537" max="10753" width="8.88671875" style="719"/>
    <col min="10754" max="10754" width="14.6640625" style="719" customWidth="1"/>
    <col min="10755" max="10755" width="10" style="719" bestFit="1" customWidth="1"/>
    <col min="10756" max="10759" width="8.88671875" style="719"/>
    <col min="10760" max="10760" width="10" style="719" customWidth="1"/>
    <col min="10761" max="10762" width="10.21875" style="719" customWidth="1"/>
    <col min="10763" max="10764" width="12" style="719" customWidth="1"/>
    <col min="10765" max="10765" width="8.6640625" style="719" customWidth="1"/>
    <col min="10766" max="10766" width="30.44140625" style="719" customWidth="1"/>
    <col min="10767" max="10767" width="9.6640625" style="719" customWidth="1"/>
    <col min="10768" max="10771" width="8.77734375" style="719" customWidth="1"/>
    <col min="10772" max="10788" width="10.33203125" style="719" customWidth="1"/>
    <col min="10789" max="10789" width="8.88671875" style="719"/>
    <col min="10790" max="10790" width="12.33203125" style="719" customWidth="1"/>
    <col min="10791" max="10791" width="13.109375" style="719" customWidth="1"/>
    <col min="10792" max="10792" width="9.109375" style="719" customWidth="1"/>
    <col min="10793" max="11009" width="8.88671875" style="719"/>
    <col min="11010" max="11010" width="14.6640625" style="719" customWidth="1"/>
    <col min="11011" max="11011" width="10" style="719" bestFit="1" customWidth="1"/>
    <col min="11012" max="11015" width="8.88671875" style="719"/>
    <col min="11016" max="11016" width="10" style="719" customWidth="1"/>
    <col min="11017" max="11018" width="10.21875" style="719" customWidth="1"/>
    <col min="11019" max="11020" width="12" style="719" customWidth="1"/>
    <col min="11021" max="11021" width="8.6640625" style="719" customWidth="1"/>
    <col min="11022" max="11022" width="30.44140625" style="719" customWidth="1"/>
    <col min="11023" max="11023" width="9.6640625" style="719" customWidth="1"/>
    <col min="11024" max="11027" width="8.77734375" style="719" customWidth="1"/>
    <col min="11028" max="11044" width="10.33203125" style="719" customWidth="1"/>
    <col min="11045" max="11045" width="8.88671875" style="719"/>
    <col min="11046" max="11046" width="12.33203125" style="719" customWidth="1"/>
    <col min="11047" max="11047" width="13.109375" style="719" customWidth="1"/>
    <col min="11048" max="11048" width="9.109375" style="719" customWidth="1"/>
    <col min="11049" max="11265" width="8.88671875" style="719"/>
    <col min="11266" max="11266" width="14.6640625" style="719" customWidth="1"/>
    <col min="11267" max="11267" width="10" style="719" bestFit="1" customWidth="1"/>
    <col min="11268" max="11271" width="8.88671875" style="719"/>
    <col min="11272" max="11272" width="10" style="719" customWidth="1"/>
    <col min="11273" max="11274" width="10.21875" style="719" customWidth="1"/>
    <col min="11275" max="11276" width="12" style="719" customWidth="1"/>
    <col min="11277" max="11277" width="8.6640625" style="719" customWidth="1"/>
    <col min="11278" max="11278" width="30.44140625" style="719" customWidth="1"/>
    <col min="11279" max="11279" width="9.6640625" style="719" customWidth="1"/>
    <col min="11280" max="11283" width="8.77734375" style="719" customWidth="1"/>
    <col min="11284" max="11300" width="10.33203125" style="719" customWidth="1"/>
    <col min="11301" max="11301" width="8.88671875" style="719"/>
    <col min="11302" max="11302" width="12.33203125" style="719" customWidth="1"/>
    <col min="11303" max="11303" width="13.109375" style="719" customWidth="1"/>
    <col min="11304" max="11304" width="9.109375" style="719" customWidth="1"/>
    <col min="11305" max="11521" width="8.88671875" style="719"/>
    <col min="11522" max="11522" width="14.6640625" style="719" customWidth="1"/>
    <col min="11523" max="11523" width="10" style="719" bestFit="1" customWidth="1"/>
    <col min="11524" max="11527" width="8.88671875" style="719"/>
    <col min="11528" max="11528" width="10" style="719" customWidth="1"/>
    <col min="11529" max="11530" width="10.21875" style="719" customWidth="1"/>
    <col min="11531" max="11532" width="12" style="719" customWidth="1"/>
    <col min="11533" max="11533" width="8.6640625" style="719" customWidth="1"/>
    <col min="11534" max="11534" width="30.44140625" style="719" customWidth="1"/>
    <col min="11535" max="11535" width="9.6640625" style="719" customWidth="1"/>
    <col min="11536" max="11539" width="8.77734375" style="719" customWidth="1"/>
    <col min="11540" max="11556" width="10.33203125" style="719" customWidth="1"/>
    <col min="11557" max="11557" width="8.88671875" style="719"/>
    <col min="11558" max="11558" width="12.33203125" style="719" customWidth="1"/>
    <col min="11559" max="11559" width="13.109375" style="719" customWidth="1"/>
    <col min="11560" max="11560" width="9.109375" style="719" customWidth="1"/>
    <col min="11561" max="11777" width="8.88671875" style="719"/>
    <col min="11778" max="11778" width="14.6640625" style="719" customWidth="1"/>
    <col min="11779" max="11779" width="10" style="719" bestFit="1" customWidth="1"/>
    <col min="11780" max="11783" width="8.88671875" style="719"/>
    <col min="11784" max="11784" width="10" style="719" customWidth="1"/>
    <col min="11785" max="11786" width="10.21875" style="719" customWidth="1"/>
    <col min="11787" max="11788" width="12" style="719" customWidth="1"/>
    <col min="11789" max="11789" width="8.6640625" style="719" customWidth="1"/>
    <col min="11790" max="11790" width="30.44140625" style="719" customWidth="1"/>
    <col min="11791" max="11791" width="9.6640625" style="719" customWidth="1"/>
    <col min="11792" max="11795" width="8.77734375" style="719" customWidth="1"/>
    <col min="11796" max="11812" width="10.33203125" style="719" customWidth="1"/>
    <col min="11813" max="11813" width="8.88671875" style="719"/>
    <col min="11814" max="11814" width="12.33203125" style="719" customWidth="1"/>
    <col min="11815" max="11815" width="13.109375" style="719" customWidth="1"/>
    <col min="11816" max="11816" width="9.109375" style="719" customWidth="1"/>
    <col min="11817" max="12033" width="8.88671875" style="719"/>
    <col min="12034" max="12034" width="14.6640625" style="719" customWidth="1"/>
    <col min="12035" max="12035" width="10" style="719" bestFit="1" customWidth="1"/>
    <col min="12036" max="12039" width="8.88671875" style="719"/>
    <col min="12040" max="12040" width="10" style="719" customWidth="1"/>
    <col min="12041" max="12042" width="10.21875" style="719" customWidth="1"/>
    <col min="12043" max="12044" width="12" style="719" customWidth="1"/>
    <col min="12045" max="12045" width="8.6640625" style="719" customWidth="1"/>
    <col min="12046" max="12046" width="30.44140625" style="719" customWidth="1"/>
    <col min="12047" max="12047" width="9.6640625" style="719" customWidth="1"/>
    <col min="12048" max="12051" width="8.77734375" style="719" customWidth="1"/>
    <col min="12052" max="12068" width="10.33203125" style="719" customWidth="1"/>
    <col min="12069" max="12069" width="8.88671875" style="719"/>
    <col min="12070" max="12070" width="12.33203125" style="719" customWidth="1"/>
    <col min="12071" max="12071" width="13.109375" style="719" customWidth="1"/>
    <col min="12072" max="12072" width="9.109375" style="719" customWidth="1"/>
    <col min="12073" max="12289" width="8.88671875" style="719"/>
    <col min="12290" max="12290" width="14.6640625" style="719" customWidth="1"/>
    <col min="12291" max="12291" width="10" style="719" bestFit="1" customWidth="1"/>
    <col min="12292" max="12295" width="8.88671875" style="719"/>
    <col min="12296" max="12296" width="10" style="719" customWidth="1"/>
    <col min="12297" max="12298" width="10.21875" style="719" customWidth="1"/>
    <col min="12299" max="12300" width="12" style="719" customWidth="1"/>
    <col min="12301" max="12301" width="8.6640625" style="719" customWidth="1"/>
    <col min="12302" max="12302" width="30.44140625" style="719" customWidth="1"/>
    <col min="12303" max="12303" width="9.6640625" style="719" customWidth="1"/>
    <col min="12304" max="12307" width="8.77734375" style="719" customWidth="1"/>
    <col min="12308" max="12324" width="10.33203125" style="719" customWidth="1"/>
    <col min="12325" max="12325" width="8.88671875" style="719"/>
    <col min="12326" max="12326" width="12.33203125" style="719" customWidth="1"/>
    <col min="12327" max="12327" width="13.109375" style="719" customWidth="1"/>
    <col min="12328" max="12328" width="9.109375" style="719" customWidth="1"/>
    <col min="12329" max="12545" width="8.88671875" style="719"/>
    <col min="12546" max="12546" width="14.6640625" style="719" customWidth="1"/>
    <col min="12547" max="12547" width="10" style="719" bestFit="1" customWidth="1"/>
    <col min="12548" max="12551" width="8.88671875" style="719"/>
    <col min="12552" max="12552" width="10" style="719" customWidth="1"/>
    <col min="12553" max="12554" width="10.21875" style="719" customWidth="1"/>
    <col min="12555" max="12556" width="12" style="719" customWidth="1"/>
    <col min="12557" max="12557" width="8.6640625" style="719" customWidth="1"/>
    <col min="12558" max="12558" width="30.44140625" style="719" customWidth="1"/>
    <col min="12559" max="12559" width="9.6640625" style="719" customWidth="1"/>
    <col min="12560" max="12563" width="8.77734375" style="719" customWidth="1"/>
    <col min="12564" max="12580" width="10.33203125" style="719" customWidth="1"/>
    <col min="12581" max="12581" width="8.88671875" style="719"/>
    <col min="12582" max="12582" width="12.33203125" style="719" customWidth="1"/>
    <col min="12583" max="12583" width="13.109375" style="719" customWidth="1"/>
    <col min="12584" max="12584" width="9.109375" style="719" customWidth="1"/>
    <col min="12585" max="12801" width="8.88671875" style="719"/>
    <col min="12802" max="12802" width="14.6640625" style="719" customWidth="1"/>
    <col min="12803" max="12803" width="10" style="719" bestFit="1" customWidth="1"/>
    <col min="12804" max="12807" width="8.88671875" style="719"/>
    <col min="12808" max="12808" width="10" style="719" customWidth="1"/>
    <col min="12809" max="12810" width="10.21875" style="719" customWidth="1"/>
    <col min="12811" max="12812" width="12" style="719" customWidth="1"/>
    <col min="12813" max="12813" width="8.6640625" style="719" customWidth="1"/>
    <col min="12814" max="12814" width="30.44140625" style="719" customWidth="1"/>
    <col min="12815" max="12815" width="9.6640625" style="719" customWidth="1"/>
    <col min="12816" max="12819" width="8.77734375" style="719" customWidth="1"/>
    <col min="12820" max="12836" width="10.33203125" style="719" customWidth="1"/>
    <col min="12837" max="12837" width="8.88671875" style="719"/>
    <col min="12838" max="12838" width="12.33203125" style="719" customWidth="1"/>
    <col min="12839" max="12839" width="13.109375" style="719" customWidth="1"/>
    <col min="12840" max="12840" width="9.109375" style="719" customWidth="1"/>
    <col min="12841" max="13057" width="8.88671875" style="719"/>
    <col min="13058" max="13058" width="14.6640625" style="719" customWidth="1"/>
    <col min="13059" max="13059" width="10" style="719" bestFit="1" customWidth="1"/>
    <col min="13060" max="13063" width="8.88671875" style="719"/>
    <col min="13064" max="13064" width="10" style="719" customWidth="1"/>
    <col min="13065" max="13066" width="10.21875" style="719" customWidth="1"/>
    <col min="13067" max="13068" width="12" style="719" customWidth="1"/>
    <col min="13069" max="13069" width="8.6640625" style="719" customWidth="1"/>
    <col min="13070" max="13070" width="30.44140625" style="719" customWidth="1"/>
    <col min="13071" max="13071" width="9.6640625" style="719" customWidth="1"/>
    <col min="13072" max="13075" width="8.77734375" style="719" customWidth="1"/>
    <col min="13076" max="13092" width="10.33203125" style="719" customWidth="1"/>
    <col min="13093" max="13093" width="8.88671875" style="719"/>
    <col min="13094" max="13094" width="12.33203125" style="719" customWidth="1"/>
    <col min="13095" max="13095" width="13.109375" style="719" customWidth="1"/>
    <col min="13096" max="13096" width="9.109375" style="719" customWidth="1"/>
    <col min="13097" max="13313" width="8.88671875" style="719"/>
    <col min="13314" max="13314" width="14.6640625" style="719" customWidth="1"/>
    <col min="13315" max="13315" width="10" style="719" bestFit="1" customWidth="1"/>
    <col min="13316" max="13319" width="8.88671875" style="719"/>
    <col min="13320" max="13320" width="10" style="719" customWidth="1"/>
    <col min="13321" max="13322" width="10.21875" style="719" customWidth="1"/>
    <col min="13323" max="13324" width="12" style="719" customWidth="1"/>
    <col min="13325" max="13325" width="8.6640625" style="719" customWidth="1"/>
    <col min="13326" max="13326" width="30.44140625" style="719" customWidth="1"/>
    <col min="13327" max="13327" width="9.6640625" style="719" customWidth="1"/>
    <col min="13328" max="13331" width="8.77734375" style="719" customWidth="1"/>
    <col min="13332" max="13348" width="10.33203125" style="719" customWidth="1"/>
    <col min="13349" max="13349" width="8.88671875" style="719"/>
    <col min="13350" max="13350" width="12.33203125" style="719" customWidth="1"/>
    <col min="13351" max="13351" width="13.109375" style="719" customWidth="1"/>
    <col min="13352" max="13352" width="9.109375" style="719" customWidth="1"/>
    <col min="13353" max="13569" width="8.88671875" style="719"/>
    <col min="13570" max="13570" width="14.6640625" style="719" customWidth="1"/>
    <col min="13571" max="13571" width="10" style="719" bestFit="1" customWidth="1"/>
    <col min="13572" max="13575" width="8.88671875" style="719"/>
    <col min="13576" max="13576" width="10" style="719" customWidth="1"/>
    <col min="13577" max="13578" width="10.21875" style="719" customWidth="1"/>
    <col min="13579" max="13580" width="12" style="719" customWidth="1"/>
    <col min="13581" max="13581" width="8.6640625" style="719" customWidth="1"/>
    <col min="13582" max="13582" width="30.44140625" style="719" customWidth="1"/>
    <col min="13583" max="13583" width="9.6640625" style="719" customWidth="1"/>
    <col min="13584" max="13587" width="8.77734375" style="719" customWidth="1"/>
    <col min="13588" max="13604" width="10.33203125" style="719" customWidth="1"/>
    <col min="13605" max="13605" width="8.88671875" style="719"/>
    <col min="13606" max="13606" width="12.33203125" style="719" customWidth="1"/>
    <col min="13607" max="13607" width="13.109375" style="719" customWidth="1"/>
    <col min="13608" max="13608" width="9.109375" style="719" customWidth="1"/>
    <col min="13609" max="13825" width="8.88671875" style="719"/>
    <col min="13826" max="13826" width="14.6640625" style="719" customWidth="1"/>
    <col min="13827" max="13827" width="10" style="719" bestFit="1" customWidth="1"/>
    <col min="13828" max="13831" width="8.88671875" style="719"/>
    <col min="13832" max="13832" width="10" style="719" customWidth="1"/>
    <col min="13833" max="13834" width="10.21875" style="719" customWidth="1"/>
    <col min="13835" max="13836" width="12" style="719" customWidth="1"/>
    <col min="13837" max="13837" width="8.6640625" style="719" customWidth="1"/>
    <col min="13838" max="13838" width="30.44140625" style="719" customWidth="1"/>
    <col min="13839" max="13839" width="9.6640625" style="719" customWidth="1"/>
    <col min="13840" max="13843" width="8.77734375" style="719" customWidth="1"/>
    <col min="13844" max="13860" width="10.33203125" style="719" customWidth="1"/>
    <col min="13861" max="13861" width="8.88671875" style="719"/>
    <col min="13862" max="13862" width="12.33203125" style="719" customWidth="1"/>
    <col min="13863" max="13863" width="13.109375" style="719" customWidth="1"/>
    <col min="13864" max="13864" width="9.109375" style="719" customWidth="1"/>
    <col min="13865" max="14081" width="8.88671875" style="719"/>
    <col min="14082" max="14082" width="14.6640625" style="719" customWidth="1"/>
    <col min="14083" max="14083" width="10" style="719" bestFit="1" customWidth="1"/>
    <col min="14084" max="14087" width="8.88671875" style="719"/>
    <col min="14088" max="14088" width="10" style="719" customWidth="1"/>
    <col min="14089" max="14090" width="10.21875" style="719" customWidth="1"/>
    <col min="14091" max="14092" width="12" style="719" customWidth="1"/>
    <col min="14093" max="14093" width="8.6640625" style="719" customWidth="1"/>
    <col min="14094" max="14094" width="30.44140625" style="719" customWidth="1"/>
    <col min="14095" max="14095" width="9.6640625" style="719" customWidth="1"/>
    <col min="14096" max="14099" width="8.77734375" style="719" customWidth="1"/>
    <col min="14100" max="14116" width="10.33203125" style="719" customWidth="1"/>
    <col min="14117" max="14117" width="8.88671875" style="719"/>
    <col min="14118" max="14118" width="12.33203125" style="719" customWidth="1"/>
    <col min="14119" max="14119" width="13.109375" style="719" customWidth="1"/>
    <col min="14120" max="14120" width="9.109375" style="719" customWidth="1"/>
    <col min="14121" max="14337" width="8.88671875" style="719"/>
    <col min="14338" max="14338" width="14.6640625" style="719" customWidth="1"/>
    <col min="14339" max="14339" width="10" style="719" bestFit="1" customWidth="1"/>
    <col min="14340" max="14343" width="8.88671875" style="719"/>
    <col min="14344" max="14344" width="10" style="719" customWidth="1"/>
    <col min="14345" max="14346" width="10.21875" style="719" customWidth="1"/>
    <col min="14347" max="14348" width="12" style="719" customWidth="1"/>
    <col min="14349" max="14349" width="8.6640625" style="719" customWidth="1"/>
    <col min="14350" max="14350" width="30.44140625" style="719" customWidth="1"/>
    <col min="14351" max="14351" width="9.6640625" style="719" customWidth="1"/>
    <col min="14352" max="14355" width="8.77734375" style="719" customWidth="1"/>
    <col min="14356" max="14372" width="10.33203125" style="719" customWidth="1"/>
    <col min="14373" max="14373" width="8.88671875" style="719"/>
    <col min="14374" max="14374" width="12.33203125" style="719" customWidth="1"/>
    <col min="14375" max="14375" width="13.109375" style="719" customWidth="1"/>
    <col min="14376" max="14376" width="9.109375" style="719" customWidth="1"/>
    <col min="14377" max="14593" width="8.88671875" style="719"/>
    <col min="14594" max="14594" width="14.6640625" style="719" customWidth="1"/>
    <col min="14595" max="14595" width="10" style="719" bestFit="1" customWidth="1"/>
    <col min="14596" max="14599" width="8.88671875" style="719"/>
    <col min="14600" max="14600" width="10" style="719" customWidth="1"/>
    <col min="14601" max="14602" width="10.21875" style="719" customWidth="1"/>
    <col min="14603" max="14604" width="12" style="719" customWidth="1"/>
    <col min="14605" max="14605" width="8.6640625" style="719" customWidth="1"/>
    <col min="14606" max="14606" width="30.44140625" style="719" customWidth="1"/>
    <col min="14607" max="14607" width="9.6640625" style="719" customWidth="1"/>
    <col min="14608" max="14611" width="8.77734375" style="719" customWidth="1"/>
    <col min="14612" max="14628" width="10.33203125" style="719" customWidth="1"/>
    <col min="14629" max="14629" width="8.88671875" style="719"/>
    <col min="14630" max="14630" width="12.33203125" style="719" customWidth="1"/>
    <col min="14631" max="14631" width="13.109375" style="719" customWidth="1"/>
    <col min="14632" max="14632" width="9.109375" style="719" customWidth="1"/>
    <col min="14633" max="14849" width="8.88671875" style="719"/>
    <col min="14850" max="14850" width="14.6640625" style="719" customWidth="1"/>
    <col min="14851" max="14851" width="10" style="719" bestFit="1" customWidth="1"/>
    <col min="14852" max="14855" width="8.88671875" style="719"/>
    <col min="14856" max="14856" width="10" style="719" customWidth="1"/>
    <col min="14857" max="14858" width="10.21875" style="719" customWidth="1"/>
    <col min="14859" max="14860" width="12" style="719" customWidth="1"/>
    <col min="14861" max="14861" width="8.6640625" style="719" customWidth="1"/>
    <col min="14862" max="14862" width="30.44140625" style="719" customWidth="1"/>
    <col min="14863" max="14863" width="9.6640625" style="719" customWidth="1"/>
    <col min="14864" max="14867" width="8.77734375" style="719" customWidth="1"/>
    <col min="14868" max="14884" width="10.33203125" style="719" customWidth="1"/>
    <col min="14885" max="14885" width="8.88671875" style="719"/>
    <col min="14886" max="14886" width="12.33203125" style="719" customWidth="1"/>
    <col min="14887" max="14887" width="13.109375" style="719" customWidth="1"/>
    <col min="14888" max="14888" width="9.109375" style="719" customWidth="1"/>
    <col min="14889" max="15105" width="8.88671875" style="719"/>
    <col min="15106" max="15106" width="14.6640625" style="719" customWidth="1"/>
    <col min="15107" max="15107" width="10" style="719" bestFit="1" customWidth="1"/>
    <col min="15108" max="15111" width="8.88671875" style="719"/>
    <col min="15112" max="15112" width="10" style="719" customWidth="1"/>
    <col min="15113" max="15114" width="10.21875" style="719" customWidth="1"/>
    <col min="15115" max="15116" width="12" style="719" customWidth="1"/>
    <col min="15117" max="15117" width="8.6640625" style="719" customWidth="1"/>
    <col min="15118" max="15118" width="30.44140625" style="719" customWidth="1"/>
    <col min="15119" max="15119" width="9.6640625" style="719" customWidth="1"/>
    <col min="15120" max="15123" width="8.77734375" style="719" customWidth="1"/>
    <col min="15124" max="15140" width="10.33203125" style="719" customWidth="1"/>
    <col min="15141" max="15141" width="8.88671875" style="719"/>
    <col min="15142" max="15142" width="12.33203125" style="719" customWidth="1"/>
    <col min="15143" max="15143" width="13.109375" style="719" customWidth="1"/>
    <col min="15144" max="15144" width="9.109375" style="719" customWidth="1"/>
    <col min="15145" max="15361" width="8.88671875" style="719"/>
    <col min="15362" max="15362" width="14.6640625" style="719" customWidth="1"/>
    <col min="15363" max="15363" width="10" style="719" bestFit="1" customWidth="1"/>
    <col min="15364" max="15367" width="8.88671875" style="719"/>
    <col min="15368" max="15368" width="10" style="719" customWidth="1"/>
    <col min="15369" max="15370" width="10.21875" style="719" customWidth="1"/>
    <col min="15371" max="15372" width="12" style="719" customWidth="1"/>
    <col min="15373" max="15373" width="8.6640625" style="719" customWidth="1"/>
    <col min="15374" max="15374" width="30.44140625" style="719" customWidth="1"/>
    <col min="15375" max="15375" width="9.6640625" style="719" customWidth="1"/>
    <col min="15376" max="15379" width="8.77734375" style="719" customWidth="1"/>
    <col min="15380" max="15396" width="10.33203125" style="719" customWidth="1"/>
    <col min="15397" max="15397" width="8.88671875" style="719"/>
    <col min="15398" max="15398" width="12.33203125" style="719" customWidth="1"/>
    <col min="15399" max="15399" width="13.109375" style="719" customWidth="1"/>
    <col min="15400" max="15400" width="9.109375" style="719" customWidth="1"/>
    <col min="15401" max="15617" width="8.88671875" style="719"/>
    <col min="15618" max="15618" width="14.6640625" style="719" customWidth="1"/>
    <col min="15619" max="15619" width="10" style="719" bestFit="1" customWidth="1"/>
    <col min="15620" max="15623" width="8.88671875" style="719"/>
    <col min="15624" max="15624" width="10" style="719" customWidth="1"/>
    <col min="15625" max="15626" width="10.21875" style="719" customWidth="1"/>
    <col min="15627" max="15628" width="12" style="719" customWidth="1"/>
    <col min="15629" max="15629" width="8.6640625" style="719" customWidth="1"/>
    <col min="15630" max="15630" width="30.44140625" style="719" customWidth="1"/>
    <col min="15631" max="15631" width="9.6640625" style="719" customWidth="1"/>
    <col min="15632" max="15635" width="8.77734375" style="719" customWidth="1"/>
    <col min="15636" max="15652" width="10.33203125" style="719" customWidth="1"/>
    <col min="15653" max="15653" width="8.88671875" style="719"/>
    <col min="15654" max="15654" width="12.33203125" style="719" customWidth="1"/>
    <col min="15655" max="15655" width="13.109375" style="719" customWidth="1"/>
    <col min="15656" max="15656" width="9.109375" style="719" customWidth="1"/>
    <col min="15657" max="15873" width="8.88671875" style="719"/>
    <col min="15874" max="15874" width="14.6640625" style="719" customWidth="1"/>
    <col min="15875" max="15875" width="10" style="719" bestFit="1" customWidth="1"/>
    <col min="15876" max="15879" width="8.88671875" style="719"/>
    <col min="15880" max="15880" width="10" style="719" customWidth="1"/>
    <col min="15881" max="15882" width="10.21875" style="719" customWidth="1"/>
    <col min="15883" max="15884" width="12" style="719" customWidth="1"/>
    <col min="15885" max="15885" width="8.6640625" style="719" customWidth="1"/>
    <col min="15886" max="15886" width="30.44140625" style="719" customWidth="1"/>
    <col min="15887" max="15887" width="9.6640625" style="719" customWidth="1"/>
    <col min="15888" max="15891" width="8.77734375" style="719" customWidth="1"/>
    <col min="15892" max="15908" width="10.33203125" style="719" customWidth="1"/>
    <col min="15909" max="15909" width="8.88671875" style="719"/>
    <col min="15910" max="15910" width="12.33203125" style="719" customWidth="1"/>
    <col min="15911" max="15911" width="13.109375" style="719" customWidth="1"/>
    <col min="15912" max="15912" width="9.109375" style="719" customWidth="1"/>
    <col min="15913" max="16129" width="8.88671875" style="719"/>
    <col min="16130" max="16130" width="14.6640625" style="719" customWidth="1"/>
    <col min="16131" max="16131" width="10" style="719" bestFit="1" customWidth="1"/>
    <col min="16132" max="16135" width="8.88671875" style="719"/>
    <col min="16136" max="16136" width="10" style="719" customWidth="1"/>
    <col min="16137" max="16138" width="10.21875" style="719" customWidth="1"/>
    <col min="16139" max="16140" width="12" style="719" customWidth="1"/>
    <col min="16141" max="16141" width="8.6640625" style="719" customWidth="1"/>
    <col min="16142" max="16142" width="30.44140625" style="719" customWidth="1"/>
    <col min="16143" max="16143" width="9.6640625" style="719" customWidth="1"/>
    <col min="16144" max="16147" width="8.77734375" style="719" customWidth="1"/>
    <col min="16148" max="16164" width="10.33203125" style="719" customWidth="1"/>
    <col min="16165" max="16165" width="8.88671875" style="719"/>
    <col min="16166" max="16166" width="12.33203125" style="719" customWidth="1"/>
    <col min="16167" max="16167" width="13.109375" style="719" customWidth="1"/>
    <col min="16168" max="16168" width="9.109375" style="719" customWidth="1"/>
    <col min="16169" max="16384" width="8.88671875" style="719"/>
  </cols>
  <sheetData>
    <row r="5" spans="1:64" ht="20.100000000000001" customHeight="1" x14ac:dyDescent="0.25">
      <c r="B5" s="720" t="s">
        <v>590</v>
      </c>
      <c r="N5" s="721" t="s">
        <v>614</v>
      </c>
      <c r="Y5" s="720" t="s">
        <v>591</v>
      </c>
      <c r="AI5" s="721" t="s">
        <v>592</v>
      </c>
    </row>
    <row r="6" spans="1:64" ht="20.100000000000001" customHeight="1" x14ac:dyDescent="0.25">
      <c r="B6" s="722" t="s">
        <v>6</v>
      </c>
      <c r="C6" s="722" t="s">
        <v>7</v>
      </c>
      <c r="D6" s="719" t="s">
        <v>39</v>
      </c>
      <c r="E6" s="719" t="s">
        <v>40</v>
      </c>
      <c r="F6" s="722" t="s">
        <v>5</v>
      </c>
      <c r="G6" s="719" t="s">
        <v>8</v>
      </c>
      <c r="H6" s="960" t="s">
        <v>41</v>
      </c>
      <c r="I6" s="960"/>
      <c r="J6" s="722" t="s">
        <v>238</v>
      </c>
      <c r="K6" s="722" t="s">
        <v>593</v>
      </c>
      <c r="L6" s="722"/>
      <c r="N6" s="721" t="e">
        <f>#REF!</f>
        <v>#REF!</v>
      </c>
      <c r="AI6" s="721" t="e">
        <f>#REF!</f>
        <v>#REF!</v>
      </c>
      <c r="AN6" s="723"/>
      <c r="AO6" s="20"/>
    </row>
    <row r="7" spans="1:64" ht="20.100000000000001" customHeight="1" x14ac:dyDescent="0.2">
      <c r="C7" s="722" t="s">
        <v>9</v>
      </c>
      <c r="D7" s="719" t="s">
        <v>42</v>
      </c>
      <c r="E7" s="719" t="s">
        <v>43</v>
      </c>
      <c r="F7" s="724" t="s">
        <v>199</v>
      </c>
      <c r="G7" s="719" t="s">
        <v>594</v>
      </c>
      <c r="H7" s="722" t="s">
        <v>37</v>
      </c>
      <c r="I7" s="722" t="s">
        <v>10</v>
      </c>
      <c r="J7" s="722"/>
      <c r="K7" s="722" t="s">
        <v>595</v>
      </c>
      <c r="L7" s="722"/>
      <c r="O7" s="725"/>
      <c r="P7" s="725"/>
      <c r="Q7" s="725"/>
      <c r="R7" s="726"/>
      <c r="S7" s="725"/>
      <c r="T7" s="725"/>
      <c r="U7" s="725"/>
      <c r="V7" s="725"/>
      <c r="W7" s="725"/>
      <c r="X7" s="725"/>
      <c r="Y7" s="725"/>
      <c r="Z7" s="725"/>
      <c r="AA7" s="725"/>
      <c r="AB7" s="725"/>
      <c r="AC7" s="725"/>
    </row>
    <row r="8" spans="1:64" ht="20.100000000000001" customHeight="1" x14ac:dyDescent="0.25">
      <c r="B8" s="727" t="s">
        <v>2</v>
      </c>
      <c r="C8" s="727" t="s">
        <v>2</v>
      </c>
      <c r="D8" s="727" t="s">
        <v>2</v>
      </c>
      <c r="E8" s="727" t="s">
        <v>2</v>
      </c>
      <c r="F8" s="727" t="s">
        <v>2</v>
      </c>
      <c r="G8" s="727" t="s">
        <v>2</v>
      </c>
      <c r="H8" s="727" t="s">
        <v>2</v>
      </c>
      <c r="I8" s="727" t="s">
        <v>2</v>
      </c>
      <c r="J8" s="727"/>
      <c r="K8" s="727"/>
      <c r="L8" s="727"/>
      <c r="N8" s="815" t="s">
        <v>47</v>
      </c>
      <c r="O8" s="725"/>
      <c r="P8" s="725"/>
      <c r="Q8" s="725"/>
      <c r="R8" s="729"/>
      <c r="S8" s="725"/>
      <c r="T8" s="725"/>
      <c r="U8" s="725"/>
      <c r="V8" s="725"/>
      <c r="W8" s="725"/>
      <c r="X8" s="725"/>
      <c r="Y8" s="725"/>
      <c r="AA8" s="725"/>
      <c r="AB8" s="725"/>
      <c r="AC8" s="725"/>
      <c r="AJ8" s="728" t="s">
        <v>596</v>
      </c>
      <c r="AO8" s="690"/>
      <c r="AP8" s="690"/>
      <c r="AQ8" s="690"/>
      <c r="AR8" s="690"/>
      <c r="AS8" s="690"/>
      <c r="AT8" s="690"/>
      <c r="AU8" s="690"/>
      <c r="AV8" s="690"/>
      <c r="AW8" s="690"/>
    </row>
    <row r="9" spans="1:64" ht="20.100000000000001" customHeight="1" x14ac:dyDescent="0.2">
      <c r="A9" s="730"/>
      <c r="N9" s="731" t="s">
        <v>48</v>
      </c>
      <c r="O9" s="732" t="s">
        <v>49</v>
      </c>
      <c r="P9" s="732" t="s">
        <v>50</v>
      </c>
      <c r="Q9" s="732" t="s">
        <v>51</v>
      </c>
      <c r="R9" s="732" t="s">
        <v>52</v>
      </c>
      <c r="S9" s="732" t="s">
        <v>53</v>
      </c>
      <c r="T9" s="732" t="s">
        <v>54</v>
      </c>
      <c r="U9" s="732" t="s">
        <v>55</v>
      </c>
      <c r="V9" s="732" t="s">
        <v>56</v>
      </c>
      <c r="W9" s="732" t="s">
        <v>57</v>
      </c>
      <c r="X9" s="732" t="s">
        <v>58</v>
      </c>
      <c r="Y9" s="732" t="s">
        <v>59</v>
      </c>
      <c r="Z9" s="732" t="s">
        <v>60</v>
      </c>
      <c r="AA9" s="732" t="s">
        <v>61</v>
      </c>
      <c r="AB9" s="732" t="s">
        <v>62</v>
      </c>
      <c r="AC9" s="732" t="s">
        <v>63</v>
      </c>
      <c r="AD9" s="732" t="s">
        <v>64</v>
      </c>
      <c r="AE9" s="732" t="s">
        <v>65</v>
      </c>
      <c r="AF9" s="732" t="s">
        <v>66</v>
      </c>
      <c r="AG9" s="732" t="s">
        <v>67</v>
      </c>
      <c r="AH9" s="732" t="s">
        <v>68</v>
      </c>
      <c r="AI9" s="732" t="s">
        <v>69</v>
      </c>
      <c r="AJ9" s="732" t="s">
        <v>70</v>
      </c>
      <c r="AK9" s="732" t="s">
        <v>155</v>
      </c>
      <c r="AM9" s="812" t="s">
        <v>597</v>
      </c>
    </row>
    <row r="10" spans="1:64" ht="20.100000000000001" customHeight="1" x14ac:dyDescent="0.2">
      <c r="B10" s="722" t="s">
        <v>612</v>
      </c>
      <c r="C10" s="719" t="e">
        <f>#REF!</f>
        <v>#REF!</v>
      </c>
      <c r="D10" s="719">
        <f>'[1]capcost(GST)'!BK10</f>
        <v>0</v>
      </c>
      <c r="E10" s="719" t="e">
        <f>#REF!</f>
        <v>#REF!</v>
      </c>
      <c r="F10" s="719" t="e">
        <f>#REF!</f>
        <v>#REF!</v>
      </c>
      <c r="G10" s="719" t="e">
        <f>C10+F10</f>
        <v>#REF!</v>
      </c>
      <c r="H10" s="719">
        <f>D10</f>
        <v>0</v>
      </c>
      <c r="I10" s="719" t="e">
        <f>E10+F10</f>
        <v>#REF!</v>
      </c>
      <c r="N10" s="734" t="s">
        <v>72</v>
      </c>
      <c r="O10" s="732"/>
      <c r="P10" s="36"/>
      <c r="Q10" s="36">
        <f>70%*6/12*0</f>
        <v>0</v>
      </c>
      <c r="R10" s="36">
        <f>80%</f>
        <v>0.8</v>
      </c>
      <c r="S10" s="36">
        <v>0.9</v>
      </c>
      <c r="T10" s="36">
        <v>1</v>
      </c>
      <c r="U10" s="36">
        <v>1</v>
      </c>
      <c r="V10" s="36">
        <v>1</v>
      </c>
      <c r="W10" s="36">
        <v>1</v>
      </c>
      <c r="X10" s="36">
        <v>1</v>
      </c>
      <c r="Y10" s="36">
        <v>1</v>
      </c>
      <c r="Z10" s="36">
        <v>1</v>
      </c>
      <c r="AA10" s="36">
        <v>1</v>
      </c>
      <c r="AB10" s="36">
        <v>1</v>
      </c>
      <c r="AC10" s="36">
        <v>1</v>
      </c>
      <c r="AD10" s="36">
        <v>1</v>
      </c>
      <c r="AE10" s="36">
        <v>1</v>
      </c>
      <c r="AF10" s="36">
        <v>1</v>
      </c>
      <c r="AG10" s="36">
        <v>1</v>
      </c>
      <c r="AH10" s="36">
        <v>1</v>
      </c>
      <c r="AI10" s="36">
        <v>1</v>
      </c>
      <c r="AJ10" s="36">
        <v>1</v>
      </c>
      <c r="AK10" s="36">
        <v>1</v>
      </c>
      <c r="AN10" s="735">
        <v>0.15</v>
      </c>
    </row>
    <row r="11" spans="1:64" ht="20.100000000000001" customHeight="1" x14ac:dyDescent="0.2">
      <c r="B11" s="722" t="s">
        <v>609</v>
      </c>
      <c r="C11" s="719" t="e">
        <f>#REF!</f>
        <v>#REF!</v>
      </c>
      <c r="D11" s="719">
        <f>'[1]capcost(GST)'!BK11</f>
        <v>0</v>
      </c>
      <c r="E11" s="719" t="e">
        <f>#REF!</f>
        <v>#REF!</v>
      </c>
      <c r="F11" s="719" t="e">
        <f>#REF!</f>
        <v>#REF!</v>
      </c>
      <c r="G11" s="719" t="e">
        <f t="shared" ref="G11:G14" si="0">C11+F11</f>
        <v>#REF!</v>
      </c>
      <c r="H11" s="719">
        <f>D11</f>
        <v>0</v>
      </c>
      <c r="I11" s="719" t="e">
        <f>E11+F11</f>
        <v>#REF!</v>
      </c>
      <c r="N11" s="725" t="s">
        <v>598</v>
      </c>
      <c r="O11" s="725">
        <v>0</v>
      </c>
      <c r="P11" s="725">
        <v>0</v>
      </c>
      <c r="Q11" s="725">
        <f>+$D$17*Q10</f>
        <v>0</v>
      </c>
      <c r="R11" s="725">
        <f>+$D$17*R10*11/12</f>
        <v>277.63738946164017</v>
      </c>
      <c r="S11" s="725">
        <f t="shared" ref="S11:AJ11" si="1">+$D$17*S10</f>
        <v>340.7367961574675</v>
      </c>
      <c r="T11" s="725">
        <f t="shared" si="1"/>
        <v>378.59644017496385</v>
      </c>
      <c r="U11" s="725">
        <f t="shared" si="1"/>
        <v>378.59644017496385</v>
      </c>
      <c r="V11" s="725">
        <f t="shared" si="1"/>
        <v>378.59644017496385</v>
      </c>
      <c r="W11" s="725">
        <f t="shared" si="1"/>
        <v>378.59644017496385</v>
      </c>
      <c r="X11" s="725">
        <f t="shared" si="1"/>
        <v>378.59644017496385</v>
      </c>
      <c r="Y11" s="725">
        <f t="shared" si="1"/>
        <v>378.59644017496385</v>
      </c>
      <c r="Z11" s="725">
        <f t="shared" si="1"/>
        <v>378.59644017496385</v>
      </c>
      <c r="AA11" s="725">
        <f t="shared" si="1"/>
        <v>378.59644017496385</v>
      </c>
      <c r="AB11" s="725">
        <f t="shared" si="1"/>
        <v>378.59644017496385</v>
      </c>
      <c r="AC11" s="725">
        <f t="shared" si="1"/>
        <v>378.59644017496385</v>
      </c>
      <c r="AD11" s="725">
        <f t="shared" si="1"/>
        <v>378.59644017496385</v>
      </c>
      <c r="AE11" s="725">
        <f t="shared" si="1"/>
        <v>378.59644017496385</v>
      </c>
      <c r="AF11" s="725">
        <f t="shared" si="1"/>
        <v>378.59644017496385</v>
      </c>
      <c r="AG11" s="725">
        <f t="shared" si="1"/>
        <v>378.59644017496385</v>
      </c>
      <c r="AH11" s="725">
        <f t="shared" si="1"/>
        <v>378.59644017496385</v>
      </c>
      <c r="AI11" s="725">
        <f t="shared" si="1"/>
        <v>378.59644017496385</v>
      </c>
      <c r="AJ11" s="725">
        <f t="shared" si="1"/>
        <v>378.59644017496385</v>
      </c>
      <c r="AK11" s="725">
        <f>+$D$17*AK10</f>
        <v>378.59644017496385</v>
      </c>
      <c r="AM11" s="719" t="s">
        <v>599</v>
      </c>
      <c r="AN11" s="736">
        <v>1</v>
      </c>
      <c r="AO11" s="737">
        <v>2</v>
      </c>
      <c r="AP11" s="737">
        <v>3</v>
      </c>
      <c r="AQ11" s="737">
        <v>4</v>
      </c>
      <c r="AR11" s="737">
        <v>5</v>
      </c>
      <c r="AS11" s="737">
        <v>6</v>
      </c>
      <c r="AT11" s="737">
        <v>7</v>
      </c>
      <c r="AU11" s="737">
        <v>8</v>
      </c>
      <c r="AV11" s="737">
        <v>9</v>
      </c>
      <c r="AW11" s="737">
        <v>10</v>
      </c>
      <c r="AX11" s="737">
        <v>11</v>
      </c>
      <c r="AY11" s="737">
        <v>12</v>
      </c>
      <c r="AZ11" s="737">
        <v>13</v>
      </c>
      <c r="BA11" s="737">
        <v>14</v>
      </c>
      <c r="BB11" s="737">
        <v>15</v>
      </c>
      <c r="BC11" s="737">
        <v>16</v>
      </c>
      <c r="BD11" s="737">
        <v>17</v>
      </c>
      <c r="BE11" s="737">
        <v>18</v>
      </c>
      <c r="BF11" s="737">
        <v>19</v>
      </c>
      <c r="BG11" s="737">
        <v>20</v>
      </c>
      <c r="BH11" s="737">
        <v>21</v>
      </c>
      <c r="BI11" s="738">
        <v>22</v>
      </c>
      <c r="BJ11" s="738">
        <v>23</v>
      </c>
    </row>
    <row r="12" spans="1:64" ht="20.100000000000001" customHeight="1" x14ac:dyDescent="0.2">
      <c r="B12" s="722" t="s">
        <v>610</v>
      </c>
      <c r="C12" s="719" t="e">
        <f>#REF!</f>
        <v>#REF!</v>
      </c>
      <c r="D12" s="719">
        <f>'[1]capcost(GST)'!BK12</f>
        <v>0</v>
      </c>
      <c r="E12" s="719" t="e">
        <f>#REF!</f>
        <v>#REF!</v>
      </c>
      <c r="F12" s="719" t="e">
        <f>#REF!</f>
        <v>#REF!</v>
      </c>
      <c r="G12" s="719" t="e">
        <f t="shared" si="0"/>
        <v>#REF!</v>
      </c>
      <c r="H12" s="719">
        <f>D12</f>
        <v>0</v>
      </c>
      <c r="I12" s="719" t="e">
        <f>E12+F12</f>
        <v>#REF!</v>
      </c>
      <c r="N12" s="725" t="s">
        <v>150</v>
      </c>
      <c r="O12" s="725">
        <f>+O32</f>
        <v>0</v>
      </c>
      <c r="P12" s="725">
        <f>+P32</f>
        <v>0</v>
      </c>
      <c r="Q12" s="725"/>
      <c r="R12" s="725" t="e">
        <f t="shared" ref="R12:AK12" si="2">+R32</f>
        <v>#REF!</v>
      </c>
      <c r="S12" s="725" t="e">
        <f t="shared" si="2"/>
        <v>#REF!</v>
      </c>
      <c r="T12" s="725" t="e">
        <f t="shared" si="2"/>
        <v>#REF!</v>
      </c>
      <c r="U12" s="725" t="e">
        <f t="shared" si="2"/>
        <v>#REF!</v>
      </c>
      <c r="V12" s="725" t="e">
        <f t="shared" si="2"/>
        <v>#REF!</v>
      </c>
      <c r="W12" s="725" t="e">
        <f t="shared" si="2"/>
        <v>#REF!</v>
      </c>
      <c r="X12" s="725" t="e">
        <f t="shared" si="2"/>
        <v>#REF!</v>
      </c>
      <c r="Y12" s="725" t="e">
        <f t="shared" si="2"/>
        <v>#REF!</v>
      </c>
      <c r="Z12" s="725" t="e">
        <f t="shared" si="2"/>
        <v>#REF!</v>
      </c>
      <c r="AA12" s="725" t="e">
        <f t="shared" si="2"/>
        <v>#REF!</v>
      </c>
      <c r="AB12" s="725" t="e">
        <f t="shared" si="2"/>
        <v>#REF!</v>
      </c>
      <c r="AC12" s="725">
        <f t="shared" si="2"/>
        <v>0</v>
      </c>
      <c r="AD12" s="725">
        <f t="shared" si="2"/>
        <v>0</v>
      </c>
      <c r="AE12" s="725">
        <f t="shared" si="2"/>
        <v>0</v>
      </c>
      <c r="AF12" s="725">
        <f t="shared" si="2"/>
        <v>0</v>
      </c>
      <c r="AG12" s="725">
        <f t="shared" si="2"/>
        <v>0</v>
      </c>
      <c r="AH12" s="725">
        <f t="shared" si="2"/>
        <v>0</v>
      </c>
      <c r="AI12" s="725">
        <f t="shared" si="2"/>
        <v>0</v>
      </c>
      <c r="AJ12" s="725">
        <f t="shared" si="2"/>
        <v>0</v>
      </c>
      <c r="AK12" s="725">
        <f t="shared" si="2"/>
        <v>0</v>
      </c>
      <c r="AM12" s="719" t="s">
        <v>600</v>
      </c>
      <c r="AN12" s="719" t="e">
        <f>+K15</f>
        <v>#REF!</v>
      </c>
      <c r="AO12" s="719" t="e">
        <f>+AN14</f>
        <v>#REF!</v>
      </c>
      <c r="AP12" s="719" t="e">
        <f t="shared" ref="AP12:BG12" si="3">+AO14</f>
        <v>#REF!</v>
      </c>
      <c r="AQ12" s="719" t="e">
        <f t="shared" si="3"/>
        <v>#REF!</v>
      </c>
      <c r="AR12" s="719" t="e">
        <f t="shared" si="3"/>
        <v>#REF!</v>
      </c>
      <c r="AS12" s="719" t="e">
        <f t="shared" si="3"/>
        <v>#REF!</v>
      </c>
      <c r="AT12" s="719" t="e">
        <f t="shared" si="3"/>
        <v>#REF!</v>
      </c>
      <c r="AU12" s="719" t="e">
        <f t="shared" si="3"/>
        <v>#REF!</v>
      </c>
      <c r="AV12" s="719" t="e">
        <f t="shared" si="3"/>
        <v>#REF!</v>
      </c>
      <c r="AW12" s="719" t="e">
        <f t="shared" si="3"/>
        <v>#REF!</v>
      </c>
      <c r="AX12" s="719" t="e">
        <f t="shared" si="3"/>
        <v>#REF!</v>
      </c>
      <c r="AY12" s="719" t="e">
        <f t="shared" si="3"/>
        <v>#REF!</v>
      </c>
      <c r="AZ12" s="719" t="e">
        <f t="shared" si="3"/>
        <v>#REF!</v>
      </c>
      <c r="BA12" s="719" t="e">
        <f t="shared" si="3"/>
        <v>#REF!</v>
      </c>
      <c r="BB12" s="719" t="e">
        <f t="shared" si="3"/>
        <v>#REF!</v>
      </c>
      <c r="BC12" s="719" t="e">
        <f t="shared" si="3"/>
        <v>#REF!</v>
      </c>
      <c r="BD12" s="719" t="e">
        <f t="shared" si="3"/>
        <v>#REF!</v>
      </c>
      <c r="BE12" s="719" t="e">
        <f t="shared" si="3"/>
        <v>#REF!</v>
      </c>
      <c r="BF12" s="719" t="e">
        <f t="shared" si="3"/>
        <v>#REF!</v>
      </c>
      <c r="BG12" s="739" t="e">
        <f t="shared" si="3"/>
        <v>#REF!</v>
      </c>
      <c r="BH12" s="719" t="e">
        <f>+BG14</f>
        <v>#REF!</v>
      </c>
      <c r="BI12" s="719" t="e">
        <f>+BH14</f>
        <v>#REF!</v>
      </c>
      <c r="BJ12" s="719" t="e">
        <f>+BI14</f>
        <v>#REF!</v>
      </c>
      <c r="BL12" s="719" t="s">
        <v>601</v>
      </c>
    </row>
    <row r="13" spans="1:64" ht="20.100000000000001" customHeight="1" x14ac:dyDescent="0.2">
      <c r="B13" s="719" t="s">
        <v>611</v>
      </c>
      <c r="C13" s="719" t="e">
        <f>#REF!</f>
        <v>#REF!</v>
      </c>
      <c r="E13" s="719" t="e">
        <f>#REF!</f>
        <v>#REF!</v>
      </c>
      <c r="F13" s="719" t="e">
        <f>#REF!</f>
        <v>#REF!</v>
      </c>
      <c r="G13" s="719" t="e">
        <f t="shared" si="0"/>
        <v>#REF!</v>
      </c>
      <c r="I13" s="719" t="e">
        <f>E13+F13</f>
        <v>#REF!</v>
      </c>
      <c r="N13" s="725" t="s">
        <v>128</v>
      </c>
      <c r="O13" s="725">
        <v>0</v>
      </c>
      <c r="P13" s="725">
        <v>0</v>
      </c>
      <c r="Q13" s="725"/>
      <c r="R13" s="725" t="e">
        <f>AN13</f>
        <v>#REF!</v>
      </c>
      <c r="S13" s="725" t="e">
        <f>AO13</f>
        <v>#REF!</v>
      </c>
      <c r="T13" s="725" t="e">
        <f t="shared" ref="T13:AI13" si="4">AP13</f>
        <v>#REF!</v>
      </c>
      <c r="U13" s="725" t="e">
        <f t="shared" si="4"/>
        <v>#REF!</v>
      </c>
      <c r="V13" s="725" t="e">
        <f t="shared" si="4"/>
        <v>#REF!</v>
      </c>
      <c r="W13" s="725" t="e">
        <f t="shared" si="4"/>
        <v>#REF!</v>
      </c>
      <c r="X13" s="725" t="e">
        <f t="shared" si="4"/>
        <v>#REF!</v>
      </c>
      <c r="Y13" s="725" t="e">
        <f t="shared" si="4"/>
        <v>#REF!</v>
      </c>
      <c r="Z13" s="725" t="e">
        <f t="shared" si="4"/>
        <v>#REF!</v>
      </c>
      <c r="AA13" s="725" t="e">
        <f t="shared" si="4"/>
        <v>#REF!</v>
      </c>
      <c r="AB13" s="725" t="e">
        <f t="shared" si="4"/>
        <v>#REF!</v>
      </c>
      <c r="AC13" s="725" t="e">
        <f t="shared" si="4"/>
        <v>#REF!</v>
      </c>
      <c r="AD13" s="725" t="e">
        <f t="shared" si="4"/>
        <v>#REF!</v>
      </c>
      <c r="AE13" s="725" t="e">
        <f t="shared" si="4"/>
        <v>#REF!</v>
      </c>
      <c r="AF13" s="725" t="e">
        <f t="shared" si="4"/>
        <v>#REF!</v>
      </c>
      <c r="AG13" s="725" t="e">
        <f t="shared" si="4"/>
        <v>#REF!</v>
      </c>
      <c r="AH13" s="725" t="e">
        <f t="shared" si="4"/>
        <v>#REF!</v>
      </c>
      <c r="AI13" s="725" t="e">
        <f t="shared" si="4"/>
        <v>#REF!</v>
      </c>
      <c r="AJ13" s="811" t="e">
        <f>BF13</f>
        <v>#REF!</v>
      </c>
      <c r="AL13" s="725" t="e">
        <f>SUM(O13:AK13)</f>
        <v>#REF!</v>
      </c>
      <c r="AM13" s="719" t="s">
        <v>603</v>
      </c>
      <c r="AN13" s="739" t="e">
        <f>+AN12*AN10</f>
        <v>#REF!</v>
      </c>
      <c r="AO13" s="739" t="e">
        <f>+AO12*$AN$10</f>
        <v>#REF!</v>
      </c>
      <c r="AP13" s="739" t="e">
        <f t="shared" ref="AP13:BE13" si="5">+AP12*$AN$10</f>
        <v>#REF!</v>
      </c>
      <c r="AQ13" s="739" t="e">
        <f t="shared" si="5"/>
        <v>#REF!</v>
      </c>
      <c r="AR13" s="739" t="e">
        <f t="shared" si="5"/>
        <v>#REF!</v>
      </c>
      <c r="AS13" s="739" t="e">
        <f t="shared" si="5"/>
        <v>#REF!</v>
      </c>
      <c r="AT13" s="739" t="e">
        <f t="shared" si="5"/>
        <v>#REF!</v>
      </c>
      <c r="AU13" s="739" t="e">
        <f t="shared" si="5"/>
        <v>#REF!</v>
      </c>
      <c r="AV13" s="739" t="e">
        <f t="shared" si="5"/>
        <v>#REF!</v>
      </c>
      <c r="AW13" s="739" t="e">
        <f t="shared" si="5"/>
        <v>#REF!</v>
      </c>
      <c r="AX13" s="739" t="e">
        <f t="shared" si="5"/>
        <v>#REF!</v>
      </c>
      <c r="AY13" s="739" t="e">
        <f t="shared" si="5"/>
        <v>#REF!</v>
      </c>
      <c r="AZ13" s="739" t="e">
        <f t="shared" si="5"/>
        <v>#REF!</v>
      </c>
      <c r="BA13" s="739" t="e">
        <f t="shared" si="5"/>
        <v>#REF!</v>
      </c>
      <c r="BB13" s="739" t="e">
        <f t="shared" si="5"/>
        <v>#REF!</v>
      </c>
      <c r="BC13" s="739" t="e">
        <f t="shared" si="5"/>
        <v>#REF!</v>
      </c>
      <c r="BD13" s="739" t="e">
        <f t="shared" si="5"/>
        <v>#REF!</v>
      </c>
      <c r="BE13" s="739" t="e">
        <f t="shared" si="5"/>
        <v>#REF!</v>
      </c>
      <c r="BF13" s="813" t="e">
        <f>AN12*0.95-SUM(AN13:BE13)</f>
        <v>#REF!</v>
      </c>
      <c r="BG13" s="719" t="e">
        <f>AN12*0.95-SUM(AN13:BF13)</f>
        <v>#REF!</v>
      </c>
      <c r="BH13" s="739"/>
      <c r="BI13" s="739"/>
      <c r="BK13" s="810" t="e">
        <f>SUM(AN13:BJ13)</f>
        <v>#REF!</v>
      </c>
      <c r="BL13" s="719" t="e">
        <f>+K15*0.95</f>
        <v>#REF!</v>
      </c>
    </row>
    <row r="14" spans="1:64" ht="20.100000000000001" customHeight="1" x14ac:dyDescent="0.2">
      <c r="B14" s="740" t="s">
        <v>602</v>
      </c>
      <c r="C14" s="719" t="e">
        <f>#REF!</f>
        <v>#REF!</v>
      </c>
      <c r="D14" s="719">
        <f>'[1]capcost(GST)'!BK14</f>
        <v>0</v>
      </c>
      <c r="E14" s="719" t="e">
        <f>#REF!</f>
        <v>#REF!</v>
      </c>
      <c r="F14" s="719" t="e">
        <f>#REF!</f>
        <v>#REF!</v>
      </c>
      <c r="G14" s="719" t="e">
        <f t="shared" si="0"/>
        <v>#REF!</v>
      </c>
      <c r="H14" s="719">
        <f>D14</f>
        <v>0</v>
      </c>
      <c r="I14" s="719" t="e">
        <f>E14+F14</f>
        <v>#REF!</v>
      </c>
      <c r="J14" s="741"/>
      <c r="K14" s="741"/>
      <c r="N14" s="725" t="s">
        <v>78</v>
      </c>
      <c r="O14" s="725">
        <v>0</v>
      </c>
      <c r="P14" s="725">
        <f t="shared" ref="P14:AI14" si="6">+P11-P12-P13</f>
        <v>0</v>
      </c>
      <c r="Q14" s="725">
        <f t="shared" si="6"/>
        <v>0</v>
      </c>
      <c r="R14" s="725" t="e">
        <f t="shared" si="6"/>
        <v>#REF!</v>
      </c>
      <c r="S14" s="725" t="e">
        <f t="shared" si="6"/>
        <v>#REF!</v>
      </c>
      <c r="T14" s="725" t="e">
        <f t="shared" si="6"/>
        <v>#REF!</v>
      </c>
      <c r="U14" s="725" t="e">
        <f t="shared" si="6"/>
        <v>#REF!</v>
      </c>
      <c r="V14" s="725" t="e">
        <f t="shared" si="6"/>
        <v>#REF!</v>
      </c>
      <c r="W14" s="725" t="e">
        <f t="shared" si="6"/>
        <v>#REF!</v>
      </c>
      <c r="X14" s="725" t="e">
        <f t="shared" si="6"/>
        <v>#REF!</v>
      </c>
      <c r="Y14" s="725" t="e">
        <f t="shared" si="6"/>
        <v>#REF!</v>
      </c>
      <c r="Z14" s="725" t="e">
        <f t="shared" si="6"/>
        <v>#REF!</v>
      </c>
      <c r="AA14" s="725" t="e">
        <f t="shared" si="6"/>
        <v>#REF!</v>
      </c>
      <c r="AB14" s="725" t="e">
        <f t="shared" si="6"/>
        <v>#REF!</v>
      </c>
      <c r="AC14" s="725" t="e">
        <f t="shared" si="6"/>
        <v>#REF!</v>
      </c>
      <c r="AD14" s="725" t="e">
        <f t="shared" si="6"/>
        <v>#REF!</v>
      </c>
      <c r="AE14" s="725" t="e">
        <f t="shared" si="6"/>
        <v>#REF!</v>
      </c>
      <c r="AF14" s="725" t="e">
        <f t="shared" si="6"/>
        <v>#REF!</v>
      </c>
      <c r="AG14" s="725" t="e">
        <f t="shared" si="6"/>
        <v>#REF!</v>
      </c>
      <c r="AH14" s="725" t="e">
        <f t="shared" si="6"/>
        <v>#REF!</v>
      </c>
      <c r="AI14" s="725" t="e">
        <f t="shared" si="6"/>
        <v>#REF!</v>
      </c>
      <c r="AJ14" s="725" t="e">
        <f>+AJ11-AJ12-AJ13</f>
        <v>#REF!</v>
      </c>
      <c r="AK14" s="725">
        <f>+AK11-AK12-AK13</f>
        <v>378.59644017496385</v>
      </c>
      <c r="AM14" s="719" t="s">
        <v>604</v>
      </c>
      <c r="AN14" s="739" t="e">
        <f>+AN12-AN13</f>
        <v>#REF!</v>
      </c>
      <c r="AO14" s="739" t="e">
        <f>+AO12-AO13</f>
        <v>#REF!</v>
      </c>
      <c r="AP14" s="739" t="e">
        <f t="shared" ref="AP14:BG14" si="7">+AP12-AP13</f>
        <v>#REF!</v>
      </c>
      <c r="AQ14" s="739" t="e">
        <f t="shared" si="7"/>
        <v>#REF!</v>
      </c>
      <c r="AR14" s="739" t="e">
        <f t="shared" si="7"/>
        <v>#REF!</v>
      </c>
      <c r="AS14" s="739" t="e">
        <f t="shared" si="7"/>
        <v>#REF!</v>
      </c>
      <c r="AT14" s="739" t="e">
        <f t="shared" si="7"/>
        <v>#REF!</v>
      </c>
      <c r="AU14" s="739" t="e">
        <f t="shared" si="7"/>
        <v>#REF!</v>
      </c>
      <c r="AV14" s="739" t="e">
        <f t="shared" si="7"/>
        <v>#REF!</v>
      </c>
      <c r="AW14" s="739" t="e">
        <f t="shared" si="7"/>
        <v>#REF!</v>
      </c>
      <c r="AX14" s="739" t="e">
        <f t="shared" si="7"/>
        <v>#REF!</v>
      </c>
      <c r="AY14" s="739" t="e">
        <f t="shared" si="7"/>
        <v>#REF!</v>
      </c>
      <c r="AZ14" s="739" t="e">
        <f t="shared" si="7"/>
        <v>#REF!</v>
      </c>
      <c r="BA14" s="739" t="e">
        <f t="shared" si="7"/>
        <v>#REF!</v>
      </c>
      <c r="BB14" s="739" t="e">
        <f t="shared" si="7"/>
        <v>#REF!</v>
      </c>
      <c r="BC14" s="739" t="e">
        <f t="shared" si="7"/>
        <v>#REF!</v>
      </c>
      <c r="BD14" s="739" t="e">
        <f t="shared" si="7"/>
        <v>#REF!</v>
      </c>
      <c r="BE14" s="739" t="e">
        <f t="shared" si="7"/>
        <v>#REF!</v>
      </c>
      <c r="BF14" s="739" t="e">
        <f t="shared" si="7"/>
        <v>#REF!</v>
      </c>
      <c r="BG14" s="739" t="e">
        <f t="shared" si="7"/>
        <v>#REF!</v>
      </c>
      <c r="BH14" s="739" t="e">
        <f>+BH12-BH13</f>
        <v>#REF!</v>
      </c>
      <c r="BI14" s="739" t="e">
        <f>+BI12-BI13</f>
        <v>#REF!</v>
      </c>
      <c r="BJ14" s="739" t="e">
        <f>+BJ12-BJ13</f>
        <v>#REF!</v>
      </c>
    </row>
    <row r="15" spans="1:64" ht="20.100000000000001" customHeight="1" x14ac:dyDescent="0.2">
      <c r="B15" s="742" t="s">
        <v>4</v>
      </c>
      <c r="C15" s="739" t="e">
        <f t="shared" ref="C15:I15" si="8">SUM(C10:C14)</f>
        <v>#REF!</v>
      </c>
      <c r="D15" s="739">
        <f t="shared" si="8"/>
        <v>0</v>
      </c>
      <c r="E15" s="739" t="e">
        <f t="shared" si="8"/>
        <v>#REF!</v>
      </c>
      <c r="F15" s="739" t="e">
        <f t="shared" si="8"/>
        <v>#REF!</v>
      </c>
      <c r="G15" s="739" t="e">
        <f t="shared" si="8"/>
        <v>#REF!</v>
      </c>
      <c r="H15" s="739">
        <f t="shared" si="8"/>
        <v>0</v>
      </c>
      <c r="I15" s="739" t="e">
        <f t="shared" si="8"/>
        <v>#REF!</v>
      </c>
      <c r="J15" s="739" t="e">
        <f>#REF!</f>
        <v>#REF!</v>
      </c>
      <c r="K15" s="739" t="e">
        <f>+G15-J15</f>
        <v>#REF!</v>
      </c>
      <c r="M15" s="809">
        <f>0.22*1.1*1.04</f>
        <v>0.25168000000000001</v>
      </c>
      <c r="N15" s="725" t="s">
        <v>149</v>
      </c>
      <c r="O15" s="725">
        <f>IF(+O14*$M$15*$M$16&gt;0,O14*$M$15*$M$16,0)</f>
        <v>0</v>
      </c>
      <c r="P15" s="725">
        <f>IF(+P14*$M$15*$M$16&gt;0,P14*$M$15*$M$16,0)</f>
        <v>0</v>
      </c>
      <c r="Q15" s="725">
        <f t="shared" ref="Q15:AI15" si="9">IF(+Q14*$M$15*$M$16&gt;0,Q14*$M$15*$M$16,0)</f>
        <v>0</v>
      </c>
      <c r="R15" s="725" t="e">
        <f t="shared" si="9"/>
        <v>#REF!</v>
      </c>
      <c r="S15" s="725" t="e">
        <f t="shared" si="9"/>
        <v>#REF!</v>
      </c>
      <c r="T15" s="725" t="e">
        <f t="shared" si="9"/>
        <v>#REF!</v>
      </c>
      <c r="U15" s="725" t="e">
        <f t="shared" si="9"/>
        <v>#REF!</v>
      </c>
      <c r="V15" s="725" t="e">
        <f t="shared" si="9"/>
        <v>#REF!</v>
      </c>
      <c r="W15" s="725" t="e">
        <f t="shared" si="9"/>
        <v>#REF!</v>
      </c>
      <c r="X15" s="725" t="e">
        <f t="shared" si="9"/>
        <v>#REF!</v>
      </c>
      <c r="Y15" s="725" t="e">
        <f t="shared" si="9"/>
        <v>#REF!</v>
      </c>
      <c r="Z15" s="725" t="e">
        <f t="shared" si="9"/>
        <v>#REF!</v>
      </c>
      <c r="AA15" s="725" t="e">
        <f t="shared" si="9"/>
        <v>#REF!</v>
      </c>
      <c r="AB15" s="725" t="e">
        <f t="shared" si="9"/>
        <v>#REF!</v>
      </c>
      <c r="AC15" s="725" t="e">
        <f t="shared" si="9"/>
        <v>#REF!</v>
      </c>
      <c r="AD15" s="725" t="e">
        <f t="shared" si="9"/>
        <v>#REF!</v>
      </c>
      <c r="AE15" s="725" t="e">
        <f t="shared" si="9"/>
        <v>#REF!</v>
      </c>
      <c r="AF15" s="725" t="e">
        <f t="shared" si="9"/>
        <v>#REF!</v>
      </c>
      <c r="AG15" s="725" t="e">
        <f t="shared" si="9"/>
        <v>#REF!</v>
      </c>
      <c r="AH15" s="725" t="e">
        <f t="shared" si="9"/>
        <v>#REF!</v>
      </c>
      <c r="AI15" s="725" t="e">
        <f t="shared" si="9"/>
        <v>#REF!</v>
      </c>
      <c r="AJ15" s="725" t="e">
        <f>IF(+AJ14*$M$15*$M$16&gt;0,AJ14*$M$15*$M$16,0)</f>
        <v>#REF!</v>
      </c>
      <c r="AK15" s="725">
        <f>IF(+AK14*$M$15*$M$16&gt;0,AK14*$M$15*$M$16,0)</f>
        <v>95.285152063234904</v>
      </c>
      <c r="AO15" s="690"/>
      <c r="AP15" s="690"/>
      <c r="AQ15" s="690"/>
      <c r="AR15" s="690"/>
      <c r="AS15" s="690"/>
      <c r="AT15" s="690"/>
      <c r="AU15" s="690"/>
      <c r="AV15" s="690"/>
      <c r="AW15" s="690"/>
    </row>
    <row r="16" spans="1:64" ht="20.100000000000001" customHeight="1" x14ac:dyDescent="0.2">
      <c r="A16" s="743"/>
      <c r="H16" s="727"/>
      <c r="I16" s="727"/>
      <c r="J16" s="727"/>
      <c r="K16" s="727"/>
      <c r="M16" s="810">
        <v>1</v>
      </c>
      <c r="O16" s="725"/>
      <c r="P16" s="725"/>
      <c r="Q16" s="725"/>
      <c r="R16" s="725"/>
      <c r="S16" s="725"/>
      <c r="T16" s="725"/>
      <c r="U16" s="725"/>
      <c r="V16" s="725"/>
      <c r="W16" s="725"/>
      <c r="X16" s="725"/>
      <c r="Y16" s="725"/>
      <c r="Z16" s="725"/>
      <c r="AA16" s="725"/>
      <c r="AB16" s="725"/>
      <c r="AC16" s="725"/>
      <c r="AD16" s="725"/>
      <c r="AE16" s="725"/>
      <c r="AF16" s="725"/>
      <c r="AG16" s="725"/>
      <c r="AH16" s="725"/>
      <c r="AI16" s="725"/>
      <c r="AJ16" s="725"/>
      <c r="AK16" s="725"/>
      <c r="AN16" s="719" t="e">
        <f>AN12*0.95</f>
        <v>#REF!</v>
      </c>
      <c r="AO16" s="690"/>
      <c r="AP16" s="690"/>
      <c r="AQ16" s="690"/>
      <c r="AR16" s="690"/>
      <c r="AS16" s="690"/>
      <c r="AT16" s="690"/>
      <c r="AU16" s="690"/>
      <c r="AV16" s="690"/>
      <c r="AW16" s="690"/>
    </row>
    <row r="17" spans="1:49" ht="20.100000000000001" customHeight="1" x14ac:dyDescent="0.25">
      <c r="A17" s="743"/>
      <c r="B17" s="744" t="s">
        <v>123</v>
      </c>
      <c r="C17" s="745" t="s">
        <v>569</v>
      </c>
      <c r="D17" s="746">
        <f>'Gross Margin'!G18</f>
        <v>378.59644017496385</v>
      </c>
      <c r="N17" s="725" t="s">
        <v>79</v>
      </c>
      <c r="O17" s="725">
        <v>0</v>
      </c>
      <c r="P17" s="725">
        <f>+P14-P15</f>
        <v>0</v>
      </c>
      <c r="Q17" s="725">
        <f t="shared" ref="Q17:AK17" si="10">+Q14-Q15</f>
        <v>0</v>
      </c>
      <c r="R17" s="725" t="e">
        <f t="shared" si="10"/>
        <v>#REF!</v>
      </c>
      <c r="S17" s="725" t="e">
        <f t="shared" si="10"/>
        <v>#REF!</v>
      </c>
      <c r="T17" s="725" t="e">
        <f t="shared" si="10"/>
        <v>#REF!</v>
      </c>
      <c r="U17" s="725" t="e">
        <f t="shared" si="10"/>
        <v>#REF!</v>
      </c>
      <c r="V17" s="725" t="e">
        <f t="shared" si="10"/>
        <v>#REF!</v>
      </c>
      <c r="W17" s="725" t="e">
        <f t="shared" si="10"/>
        <v>#REF!</v>
      </c>
      <c r="X17" s="725" t="e">
        <f t="shared" si="10"/>
        <v>#REF!</v>
      </c>
      <c r="Y17" s="725" t="e">
        <f t="shared" si="10"/>
        <v>#REF!</v>
      </c>
      <c r="Z17" s="725" t="e">
        <f t="shared" si="10"/>
        <v>#REF!</v>
      </c>
      <c r="AA17" s="725" t="e">
        <f t="shared" si="10"/>
        <v>#REF!</v>
      </c>
      <c r="AB17" s="725" t="e">
        <f t="shared" si="10"/>
        <v>#REF!</v>
      </c>
      <c r="AC17" s="725" t="e">
        <f t="shared" si="10"/>
        <v>#REF!</v>
      </c>
      <c r="AD17" s="725" t="e">
        <f t="shared" si="10"/>
        <v>#REF!</v>
      </c>
      <c r="AE17" s="725" t="e">
        <f t="shared" si="10"/>
        <v>#REF!</v>
      </c>
      <c r="AF17" s="725" t="e">
        <f t="shared" si="10"/>
        <v>#REF!</v>
      </c>
      <c r="AG17" s="725" t="e">
        <f t="shared" si="10"/>
        <v>#REF!</v>
      </c>
      <c r="AH17" s="725" t="e">
        <f>+AH14-AH15</f>
        <v>#REF!</v>
      </c>
      <c r="AI17" s="725" t="e">
        <f t="shared" si="10"/>
        <v>#REF!</v>
      </c>
      <c r="AJ17" s="725" t="e">
        <f t="shared" si="10"/>
        <v>#REF!</v>
      </c>
      <c r="AK17" s="725">
        <f t="shared" si="10"/>
        <v>283.31128811172891</v>
      </c>
      <c r="AO17" s="690"/>
      <c r="AP17" s="690"/>
      <c r="AQ17" s="690"/>
      <c r="AR17" s="690"/>
      <c r="AS17" s="690"/>
      <c r="AT17" s="690"/>
    </row>
    <row r="18" spans="1:49" ht="20.100000000000001" customHeight="1" x14ac:dyDescent="0.2">
      <c r="A18" s="743"/>
      <c r="B18" s="747"/>
      <c r="C18" s="722"/>
      <c r="F18" s="722"/>
      <c r="N18" s="748" t="s">
        <v>80</v>
      </c>
      <c r="O18" s="748">
        <v>0</v>
      </c>
      <c r="P18" s="748">
        <f>+P17</f>
        <v>0</v>
      </c>
      <c r="Q18" s="748">
        <f>+Q17+P18</f>
        <v>0</v>
      </c>
      <c r="R18" s="748" t="e">
        <f t="shared" ref="R18:AK18" si="11">+R17+Q18</f>
        <v>#REF!</v>
      </c>
      <c r="S18" s="748" t="e">
        <f t="shared" si="11"/>
        <v>#REF!</v>
      </c>
      <c r="T18" s="748" t="e">
        <f t="shared" si="11"/>
        <v>#REF!</v>
      </c>
      <c r="U18" s="748" t="e">
        <f t="shared" si="11"/>
        <v>#REF!</v>
      </c>
      <c r="V18" s="748" t="e">
        <f t="shared" si="11"/>
        <v>#REF!</v>
      </c>
      <c r="W18" s="748" t="e">
        <f t="shared" si="11"/>
        <v>#REF!</v>
      </c>
      <c r="X18" s="748" t="e">
        <f t="shared" si="11"/>
        <v>#REF!</v>
      </c>
      <c r="Y18" s="748" t="e">
        <f t="shared" si="11"/>
        <v>#REF!</v>
      </c>
      <c r="Z18" s="748" t="e">
        <f t="shared" si="11"/>
        <v>#REF!</v>
      </c>
      <c r="AA18" s="748" t="e">
        <f t="shared" si="11"/>
        <v>#REF!</v>
      </c>
      <c r="AB18" s="748" t="e">
        <f t="shared" si="11"/>
        <v>#REF!</v>
      </c>
      <c r="AC18" s="748" t="e">
        <f t="shared" si="11"/>
        <v>#REF!</v>
      </c>
      <c r="AD18" s="748" t="e">
        <f t="shared" si="11"/>
        <v>#REF!</v>
      </c>
      <c r="AE18" s="748" t="e">
        <f t="shared" si="11"/>
        <v>#REF!</v>
      </c>
      <c r="AF18" s="748" t="e">
        <f t="shared" si="11"/>
        <v>#REF!</v>
      </c>
      <c r="AG18" s="748" t="e">
        <f t="shared" si="11"/>
        <v>#REF!</v>
      </c>
      <c r="AH18" s="748" t="e">
        <f t="shared" si="11"/>
        <v>#REF!</v>
      </c>
      <c r="AI18" s="748" t="e">
        <f>+AI17+AG18</f>
        <v>#REF!</v>
      </c>
      <c r="AJ18" s="748" t="e">
        <f t="shared" si="11"/>
        <v>#REF!</v>
      </c>
      <c r="AK18" s="748" t="e">
        <f t="shared" si="11"/>
        <v>#REF!</v>
      </c>
      <c r="AO18" s="690"/>
      <c r="AP18" s="690"/>
      <c r="AQ18" s="690"/>
      <c r="AR18" s="690"/>
      <c r="AS18" s="690"/>
      <c r="AT18" s="690"/>
      <c r="AU18" s="690"/>
      <c r="AV18" s="690"/>
      <c r="AW18" s="690"/>
    </row>
    <row r="19" spans="1:49" ht="20.100000000000001" customHeight="1" x14ac:dyDescent="0.2">
      <c r="AK19" s="725"/>
      <c r="AO19" s="690"/>
      <c r="AP19" s="690"/>
      <c r="AQ19" s="690"/>
      <c r="AR19" s="690"/>
      <c r="AS19" s="690"/>
      <c r="AT19" s="690"/>
    </row>
    <row r="20" spans="1:49" ht="20.100000000000001" customHeight="1" x14ac:dyDescent="0.25">
      <c r="H20" s="960"/>
      <c r="I20" s="960"/>
      <c r="J20" s="722"/>
      <c r="K20" s="722"/>
      <c r="N20" s="814" t="s">
        <v>83</v>
      </c>
      <c r="O20" s="725"/>
      <c r="P20" s="725"/>
      <c r="Q20" s="725"/>
      <c r="R20" s="725"/>
      <c r="S20" s="725"/>
      <c r="T20" s="725"/>
      <c r="U20" s="725"/>
      <c r="V20" s="725"/>
      <c r="W20" s="725"/>
      <c r="X20" s="725"/>
      <c r="Y20" s="725"/>
      <c r="Z20" s="725"/>
      <c r="AA20" s="725"/>
      <c r="AB20" s="725"/>
      <c r="AC20" s="725"/>
      <c r="AK20" s="725"/>
      <c r="AO20" s="690"/>
      <c r="AP20" s="690"/>
      <c r="AQ20" s="690"/>
      <c r="AR20" s="690"/>
      <c r="AS20" s="690"/>
      <c r="AT20" s="690"/>
      <c r="AU20" s="690"/>
      <c r="AV20" s="690"/>
      <c r="AW20" s="690"/>
    </row>
    <row r="21" spans="1:49" ht="20.100000000000001" customHeight="1" x14ac:dyDescent="0.25">
      <c r="H21" s="722"/>
      <c r="I21" s="722"/>
      <c r="J21" s="722"/>
      <c r="K21" s="722"/>
      <c r="N21" s="749"/>
      <c r="O21" s="725"/>
      <c r="P21" s="725"/>
      <c r="Q21" s="725"/>
      <c r="R21" s="725"/>
      <c r="S21" s="725"/>
      <c r="T21" s="725"/>
      <c r="U21" s="725"/>
      <c r="V21" s="725">
        <f>+V8</f>
        <v>0</v>
      </c>
      <c r="X21" s="725"/>
      <c r="Y21" s="725"/>
      <c r="Z21" s="725"/>
      <c r="AA21" s="725"/>
      <c r="AB21" s="725"/>
      <c r="AC21" s="725"/>
      <c r="AI21" s="719">
        <f>+V21</f>
        <v>0</v>
      </c>
      <c r="AK21" s="725"/>
      <c r="AO21" s="690"/>
      <c r="AP21" s="690"/>
      <c r="AQ21" s="690"/>
      <c r="AR21" s="690"/>
      <c r="AS21" s="690"/>
      <c r="AT21" s="690"/>
      <c r="AU21" s="690"/>
      <c r="AV21" s="690"/>
      <c r="AW21" s="690"/>
    </row>
    <row r="22" spans="1:49" ht="20.100000000000001" customHeight="1" x14ac:dyDescent="0.25">
      <c r="H22" s="722"/>
      <c r="I22" s="722"/>
      <c r="J22" s="722"/>
      <c r="K22" s="722"/>
      <c r="N22" s="816" t="s">
        <v>632</v>
      </c>
      <c r="O22" s="750" t="str">
        <f t="shared" ref="O22:AJ22" si="12">+O9</f>
        <v>Yr 1</v>
      </c>
      <c r="P22" s="750" t="str">
        <f t="shared" si="12"/>
        <v>Yr 2</v>
      </c>
      <c r="Q22" s="750" t="str">
        <f t="shared" si="12"/>
        <v>Yr 3</v>
      </c>
      <c r="R22" s="750" t="str">
        <f t="shared" si="12"/>
        <v>Yr 4</v>
      </c>
      <c r="S22" s="750" t="str">
        <f t="shared" si="12"/>
        <v>Yr 5</v>
      </c>
      <c r="T22" s="750" t="str">
        <f t="shared" si="12"/>
        <v>Yr 6</v>
      </c>
      <c r="U22" s="750" t="str">
        <f t="shared" si="12"/>
        <v>Yr 7</v>
      </c>
      <c r="V22" s="750" t="str">
        <f t="shared" si="12"/>
        <v>Yr 8</v>
      </c>
      <c r="W22" s="750" t="str">
        <f t="shared" si="12"/>
        <v>Yr 9</v>
      </c>
      <c r="X22" s="750" t="str">
        <f t="shared" si="12"/>
        <v>Yr 10</v>
      </c>
      <c r="Y22" s="750" t="str">
        <f t="shared" si="12"/>
        <v>Yr 11</v>
      </c>
      <c r="Z22" s="750" t="str">
        <f t="shared" si="12"/>
        <v>Yr 12</v>
      </c>
      <c r="AA22" s="750" t="str">
        <f t="shared" si="12"/>
        <v>Yr 13</v>
      </c>
      <c r="AB22" s="750" t="str">
        <f t="shared" si="12"/>
        <v>Yr 14</v>
      </c>
      <c r="AC22" s="750" t="str">
        <f t="shared" si="12"/>
        <v>Yr 15</v>
      </c>
      <c r="AD22" s="750" t="str">
        <f t="shared" si="12"/>
        <v>Yr 16</v>
      </c>
      <c r="AE22" s="750" t="str">
        <f t="shared" si="12"/>
        <v>Yr 17</v>
      </c>
      <c r="AF22" s="750" t="str">
        <f t="shared" si="12"/>
        <v>Yr 18</v>
      </c>
      <c r="AG22" s="750" t="str">
        <f t="shared" si="12"/>
        <v>Yr 19</v>
      </c>
      <c r="AH22" s="750" t="str">
        <f>+AH9</f>
        <v>Yr 20</v>
      </c>
      <c r="AI22" s="750" t="str">
        <f t="shared" si="12"/>
        <v>Yr 21</v>
      </c>
      <c r="AJ22" s="751" t="str">
        <f t="shared" si="12"/>
        <v>Yr 22</v>
      </c>
      <c r="AK22" s="732" t="s">
        <v>155</v>
      </c>
    </row>
    <row r="23" spans="1:49" ht="20.100000000000001" customHeight="1" x14ac:dyDescent="0.2">
      <c r="H23" s="727"/>
      <c r="I23" s="727"/>
      <c r="J23" s="727"/>
      <c r="K23" s="727"/>
      <c r="N23" s="725" t="s">
        <v>85</v>
      </c>
      <c r="O23" s="725">
        <v>0</v>
      </c>
      <c r="P23" s="725">
        <f>+P11</f>
        <v>0</v>
      </c>
      <c r="Q23" s="725">
        <f t="shared" ref="Q23:AK23" si="13">+Q11</f>
        <v>0</v>
      </c>
      <c r="R23" s="725">
        <f t="shared" si="13"/>
        <v>277.63738946164017</v>
      </c>
      <c r="S23" s="725">
        <f t="shared" si="13"/>
        <v>340.7367961574675</v>
      </c>
      <c r="T23" s="725">
        <f t="shared" si="13"/>
        <v>378.59644017496385</v>
      </c>
      <c r="U23" s="725">
        <f t="shared" si="13"/>
        <v>378.59644017496385</v>
      </c>
      <c r="V23" s="725">
        <f t="shared" si="13"/>
        <v>378.59644017496385</v>
      </c>
      <c r="W23" s="725">
        <f t="shared" si="13"/>
        <v>378.59644017496385</v>
      </c>
      <c r="X23" s="725">
        <f t="shared" si="13"/>
        <v>378.59644017496385</v>
      </c>
      <c r="Y23" s="725">
        <f t="shared" si="13"/>
        <v>378.59644017496385</v>
      </c>
      <c r="Z23" s="725">
        <f t="shared" si="13"/>
        <v>378.59644017496385</v>
      </c>
      <c r="AA23" s="725">
        <f t="shared" si="13"/>
        <v>378.59644017496385</v>
      </c>
      <c r="AB23" s="725">
        <f t="shared" si="13"/>
        <v>378.59644017496385</v>
      </c>
      <c r="AC23" s="725">
        <f t="shared" si="13"/>
        <v>378.59644017496385</v>
      </c>
      <c r="AD23" s="725">
        <f t="shared" si="13"/>
        <v>378.59644017496385</v>
      </c>
      <c r="AE23" s="725">
        <f t="shared" si="13"/>
        <v>378.59644017496385</v>
      </c>
      <c r="AF23" s="725">
        <f t="shared" si="13"/>
        <v>378.59644017496385</v>
      </c>
      <c r="AG23" s="725">
        <f t="shared" si="13"/>
        <v>378.59644017496385</v>
      </c>
      <c r="AH23" s="725">
        <f>+AH11</f>
        <v>378.59644017496385</v>
      </c>
      <c r="AI23" s="725">
        <f t="shared" si="13"/>
        <v>378.59644017496385</v>
      </c>
      <c r="AJ23" s="725">
        <f t="shared" si="13"/>
        <v>378.59644017496385</v>
      </c>
      <c r="AK23" s="725">
        <f t="shared" si="13"/>
        <v>378.59644017496385</v>
      </c>
      <c r="AL23" s="725">
        <f>SUM(O23:AJ23)</f>
        <v>7054.5136685934958</v>
      </c>
    </row>
    <row r="24" spans="1:49" ht="20.100000000000001" customHeight="1" x14ac:dyDescent="0.2">
      <c r="M24" s="719">
        <f>SUM(O24:R24)</f>
        <v>0</v>
      </c>
      <c r="N24" s="725" t="s">
        <v>86</v>
      </c>
      <c r="O24" s="725">
        <f>+H10</f>
        <v>0</v>
      </c>
      <c r="P24" s="725">
        <f>+H11+H14*0</f>
        <v>0</v>
      </c>
      <c r="Q24" s="725">
        <f>H14+H12</f>
        <v>0</v>
      </c>
      <c r="R24" s="725">
        <v>0</v>
      </c>
      <c r="S24" s="725">
        <v>0</v>
      </c>
      <c r="T24" s="725">
        <v>0</v>
      </c>
      <c r="U24" s="725">
        <v>0</v>
      </c>
      <c r="V24" s="725">
        <v>0</v>
      </c>
      <c r="W24" s="725">
        <v>0</v>
      </c>
      <c r="X24" s="725">
        <v>0</v>
      </c>
      <c r="Y24" s="725">
        <v>0</v>
      </c>
      <c r="Z24" s="725">
        <v>0</v>
      </c>
      <c r="AA24" s="725">
        <v>0</v>
      </c>
      <c r="AB24" s="725">
        <v>0</v>
      </c>
      <c r="AC24" s="725">
        <v>0</v>
      </c>
      <c r="AD24" s="725">
        <v>0</v>
      </c>
      <c r="AE24" s="725">
        <v>0</v>
      </c>
      <c r="AF24" s="725">
        <v>0</v>
      </c>
      <c r="AG24" s="725">
        <v>0</v>
      </c>
      <c r="AH24" s="725">
        <v>0</v>
      </c>
      <c r="AI24" s="725">
        <v>0</v>
      </c>
      <c r="AJ24" s="725">
        <v>0</v>
      </c>
      <c r="AL24" s="725">
        <f>SUM(O24:AJ24)</f>
        <v>0</v>
      </c>
    </row>
    <row r="25" spans="1:49" ht="20.100000000000001" customHeight="1" x14ac:dyDescent="0.2">
      <c r="A25" s="743"/>
      <c r="C25" s="722"/>
      <c r="F25" s="724"/>
      <c r="M25" s="719" t="e">
        <f>SUM(O25:R25)</f>
        <v>#REF!</v>
      </c>
      <c r="N25" s="725" t="s">
        <v>605</v>
      </c>
      <c r="O25" s="725" t="e">
        <f>+I10</f>
        <v>#REF!</v>
      </c>
      <c r="P25" s="725" t="e">
        <f>+I11</f>
        <v>#REF!</v>
      </c>
      <c r="Q25" s="725" t="e">
        <f>I12</f>
        <v>#REF!</v>
      </c>
      <c r="R25" s="725" t="e">
        <f>I13+I14</f>
        <v>#REF!</v>
      </c>
      <c r="S25" s="725">
        <v>0</v>
      </c>
      <c r="T25" s="725">
        <v>0</v>
      </c>
      <c r="U25" s="725">
        <v>0</v>
      </c>
      <c r="V25" s="725">
        <v>0</v>
      </c>
      <c r="W25" s="725">
        <v>0</v>
      </c>
      <c r="X25" s="725">
        <v>0</v>
      </c>
      <c r="Y25" s="725">
        <v>0</v>
      </c>
      <c r="Z25" s="725">
        <v>0</v>
      </c>
      <c r="AA25" s="725">
        <v>0</v>
      </c>
      <c r="AB25" s="725">
        <v>0</v>
      </c>
      <c r="AC25" s="725">
        <v>0</v>
      </c>
      <c r="AD25" s="725">
        <v>0</v>
      </c>
      <c r="AE25" s="725">
        <v>0</v>
      </c>
      <c r="AF25" s="725">
        <v>0</v>
      </c>
      <c r="AG25" s="725">
        <v>0</v>
      </c>
      <c r="AH25" s="725">
        <v>0</v>
      </c>
      <c r="AI25" s="725">
        <v>0</v>
      </c>
      <c r="AJ25" s="725">
        <v>0</v>
      </c>
      <c r="AL25" s="725" t="e">
        <f>SUM(O25:AJ25)</f>
        <v>#REF!</v>
      </c>
    </row>
    <row r="26" spans="1:49" ht="20.100000000000001" customHeight="1" x14ac:dyDescent="0.2">
      <c r="A26" s="743"/>
      <c r="G26" s="727"/>
      <c r="M26" s="739" t="e">
        <f>+M25+M24</f>
        <v>#REF!</v>
      </c>
      <c r="N26" s="734" t="s">
        <v>4</v>
      </c>
      <c r="O26" s="734" t="e">
        <f>SUM(O23:O25)</f>
        <v>#REF!</v>
      </c>
      <c r="P26" s="734" t="e">
        <f t="shared" ref="P26:AK26" si="14">SUM(P23:P25)</f>
        <v>#REF!</v>
      </c>
      <c r="Q26" s="734" t="e">
        <f t="shared" si="14"/>
        <v>#REF!</v>
      </c>
      <c r="R26" s="734" t="e">
        <f t="shared" si="14"/>
        <v>#REF!</v>
      </c>
      <c r="S26" s="734">
        <f t="shared" si="14"/>
        <v>340.7367961574675</v>
      </c>
      <c r="T26" s="734">
        <f t="shared" si="14"/>
        <v>378.59644017496385</v>
      </c>
      <c r="U26" s="734">
        <f t="shared" si="14"/>
        <v>378.59644017496385</v>
      </c>
      <c r="V26" s="734">
        <f t="shared" si="14"/>
        <v>378.59644017496385</v>
      </c>
      <c r="W26" s="734">
        <f t="shared" si="14"/>
        <v>378.59644017496385</v>
      </c>
      <c r="X26" s="734">
        <f t="shared" si="14"/>
        <v>378.59644017496385</v>
      </c>
      <c r="Y26" s="734">
        <f t="shared" si="14"/>
        <v>378.59644017496385</v>
      </c>
      <c r="Z26" s="734">
        <f t="shared" si="14"/>
        <v>378.59644017496385</v>
      </c>
      <c r="AA26" s="734">
        <f t="shared" si="14"/>
        <v>378.59644017496385</v>
      </c>
      <c r="AB26" s="734">
        <f t="shared" si="14"/>
        <v>378.59644017496385</v>
      </c>
      <c r="AC26" s="734">
        <f t="shared" si="14"/>
        <v>378.59644017496385</v>
      </c>
      <c r="AD26" s="734">
        <f t="shared" si="14"/>
        <v>378.59644017496385</v>
      </c>
      <c r="AE26" s="734">
        <f t="shared" si="14"/>
        <v>378.59644017496385</v>
      </c>
      <c r="AF26" s="734">
        <f t="shared" si="14"/>
        <v>378.59644017496385</v>
      </c>
      <c r="AG26" s="734">
        <f t="shared" si="14"/>
        <v>378.59644017496385</v>
      </c>
      <c r="AH26" s="734">
        <f t="shared" si="14"/>
        <v>378.59644017496385</v>
      </c>
      <c r="AI26" s="734">
        <f t="shared" si="14"/>
        <v>378.59644017496385</v>
      </c>
      <c r="AJ26" s="734">
        <f t="shared" si="14"/>
        <v>378.59644017496385</v>
      </c>
      <c r="AK26" s="734">
        <f t="shared" si="14"/>
        <v>378.59644017496385</v>
      </c>
      <c r="AL26" s="725" t="e">
        <f>SUM(O26:AJ26)</f>
        <v>#REF!</v>
      </c>
    </row>
    <row r="27" spans="1:49" ht="20.100000000000001" customHeight="1" x14ac:dyDescent="0.2">
      <c r="A27" s="743"/>
      <c r="B27" s="727"/>
      <c r="C27" s="722"/>
      <c r="D27" s="722"/>
      <c r="E27" s="722"/>
      <c r="F27" s="722"/>
      <c r="AL27" s="725"/>
    </row>
    <row r="28" spans="1:49" ht="20.100000000000001" customHeight="1" x14ac:dyDescent="0.25">
      <c r="A28" s="743"/>
      <c r="C28" s="743"/>
      <c r="H28" s="727"/>
      <c r="I28" s="727"/>
      <c r="J28" s="727"/>
      <c r="K28" s="727"/>
      <c r="N28" s="728" t="s">
        <v>633</v>
      </c>
      <c r="O28" s="725"/>
      <c r="P28" s="725"/>
      <c r="Q28" s="725"/>
      <c r="R28" s="725"/>
      <c r="S28" s="725"/>
      <c r="T28" s="725"/>
      <c r="U28" s="752"/>
      <c r="V28" s="725"/>
      <c r="W28" s="725"/>
      <c r="X28" s="725"/>
      <c r="Y28" s="725"/>
      <c r="Z28" s="725"/>
      <c r="AA28" s="725"/>
      <c r="AB28" s="725"/>
      <c r="AC28" s="725"/>
      <c r="AD28" s="725"/>
      <c r="AE28" s="725"/>
      <c r="AF28" s="725"/>
      <c r="AG28" s="725"/>
      <c r="AH28" s="725"/>
      <c r="AI28" s="725"/>
      <c r="AJ28" s="725"/>
      <c r="AL28" s="725">
        <f>SUM(O28:AJ28)</f>
        <v>0</v>
      </c>
    </row>
    <row r="29" spans="1:49" ht="20.100000000000001" customHeight="1" x14ac:dyDescent="0.2">
      <c r="A29" s="743"/>
      <c r="B29" s="722"/>
      <c r="N29" s="725" t="s">
        <v>88</v>
      </c>
      <c r="O29" s="725"/>
      <c r="P29" s="725"/>
      <c r="Q29" s="725"/>
      <c r="R29" s="725"/>
      <c r="S29" s="725"/>
      <c r="T29" s="725"/>
      <c r="U29" s="725"/>
      <c r="V29" s="725"/>
      <c r="W29" s="725"/>
      <c r="X29" s="725"/>
      <c r="Y29" s="725"/>
      <c r="Z29" s="725"/>
      <c r="AA29" s="725"/>
      <c r="AB29" s="725"/>
      <c r="AC29" s="725"/>
      <c r="AD29" s="725"/>
      <c r="AE29" s="725"/>
      <c r="AF29" s="725"/>
      <c r="AG29" s="725"/>
      <c r="AH29" s="725"/>
      <c r="AI29" s="725"/>
      <c r="AJ29" s="725"/>
      <c r="AL29" s="725"/>
    </row>
    <row r="30" spans="1:49" ht="20.100000000000001" customHeight="1" x14ac:dyDescent="0.2">
      <c r="A30" s="743"/>
      <c r="B30" s="747"/>
      <c r="H30" s="727"/>
      <c r="I30" s="727"/>
      <c r="J30" s="727"/>
      <c r="K30" s="727"/>
      <c r="M30" s="719">
        <f>SUM(O30:Q30)</f>
        <v>0</v>
      </c>
      <c r="N30" s="725" t="s">
        <v>89</v>
      </c>
      <c r="O30" s="725">
        <f t="shared" ref="O30:Q31" si="15">+O24</f>
        <v>0</v>
      </c>
      <c r="P30" s="725">
        <f t="shared" si="15"/>
        <v>0</v>
      </c>
      <c r="Q30" s="725">
        <f t="shared" si="15"/>
        <v>0</v>
      </c>
      <c r="R30" s="725">
        <v>0</v>
      </c>
      <c r="S30" s="725"/>
      <c r="T30" s="725">
        <v>0</v>
      </c>
      <c r="U30" s="725">
        <v>0</v>
      </c>
      <c r="V30" s="725">
        <v>0</v>
      </c>
      <c r="W30" s="725">
        <v>0</v>
      </c>
      <c r="X30" s="725">
        <v>0</v>
      </c>
      <c r="Y30" s="725">
        <v>0</v>
      </c>
      <c r="Z30" s="725">
        <v>0</v>
      </c>
      <c r="AA30" s="725">
        <v>0</v>
      </c>
      <c r="AB30" s="725">
        <v>0</v>
      </c>
      <c r="AC30" s="725">
        <v>0</v>
      </c>
      <c r="AD30" s="725">
        <v>0</v>
      </c>
      <c r="AE30" s="725">
        <v>0</v>
      </c>
      <c r="AF30" s="725">
        <v>0</v>
      </c>
      <c r="AG30" s="725">
        <v>0</v>
      </c>
      <c r="AH30" s="725">
        <v>0</v>
      </c>
      <c r="AI30" s="725">
        <v>0</v>
      </c>
      <c r="AJ30" s="725">
        <v>0</v>
      </c>
      <c r="AL30" s="725">
        <f t="shared" ref="AL30:AL36" si="16">SUM(O30:AJ30)</f>
        <v>0</v>
      </c>
    </row>
    <row r="31" spans="1:49" ht="20.100000000000001" customHeight="1" x14ac:dyDescent="0.2">
      <c r="A31" s="743"/>
      <c r="B31" s="722"/>
      <c r="G31" s="727"/>
      <c r="K31" s="810" t="s">
        <v>636</v>
      </c>
      <c r="M31" s="719" t="e">
        <f>SUM(O31:R31)</f>
        <v>#REF!</v>
      </c>
      <c r="N31" s="725" t="s">
        <v>90</v>
      </c>
      <c r="O31" s="725" t="e">
        <f t="shared" si="15"/>
        <v>#REF!</v>
      </c>
      <c r="P31" s="725" t="e">
        <f t="shared" si="15"/>
        <v>#REF!</v>
      </c>
      <c r="Q31" s="725" t="e">
        <f t="shared" si="15"/>
        <v>#REF!</v>
      </c>
      <c r="R31" s="725" t="e">
        <f>R25</f>
        <v>#REF!</v>
      </c>
      <c r="S31" s="725">
        <v>0</v>
      </c>
      <c r="T31" s="725">
        <v>0</v>
      </c>
      <c r="U31" s="725">
        <v>0</v>
      </c>
      <c r="V31" s="725">
        <v>0</v>
      </c>
      <c r="W31" s="725">
        <v>0</v>
      </c>
      <c r="X31" s="725">
        <v>0</v>
      </c>
      <c r="Y31" s="725">
        <v>0</v>
      </c>
      <c r="Z31" s="725">
        <v>0</v>
      </c>
      <c r="AA31" s="725">
        <v>0</v>
      </c>
      <c r="AB31" s="725">
        <v>0</v>
      </c>
      <c r="AC31" s="725">
        <v>0</v>
      </c>
      <c r="AD31" s="725">
        <v>0</v>
      </c>
      <c r="AE31" s="725">
        <v>0</v>
      </c>
      <c r="AF31" s="725">
        <v>0</v>
      </c>
      <c r="AG31" s="725">
        <v>0</v>
      </c>
      <c r="AH31" s="725">
        <v>0</v>
      </c>
      <c r="AI31" s="725">
        <v>0</v>
      </c>
      <c r="AJ31" s="725">
        <v>0</v>
      </c>
      <c r="AL31" s="725" t="e">
        <f t="shared" si="16"/>
        <v>#REF!</v>
      </c>
    </row>
    <row r="32" spans="1:49" ht="20.100000000000001" customHeight="1" x14ac:dyDescent="0.2">
      <c r="A32" s="743"/>
      <c r="M32" s="6">
        <v>0.1</v>
      </c>
      <c r="N32" s="817" t="s">
        <v>634</v>
      </c>
      <c r="O32" s="725">
        <f>+AO15</f>
        <v>0</v>
      </c>
      <c r="P32" s="725">
        <v>0</v>
      </c>
      <c r="R32" s="725" t="e">
        <f>($M$25-SUM(Q33:$Q$33))*$M$32*11/12</f>
        <v>#REF!</v>
      </c>
      <c r="S32" s="725" t="e">
        <f>($M$25-SUM($Q33:R$33))*$M$32</f>
        <v>#REF!</v>
      </c>
      <c r="T32" s="725" t="e">
        <f>($M$25-SUM($Q33:S$33))*$M$32</f>
        <v>#REF!</v>
      </c>
      <c r="U32" s="725" t="e">
        <f>($M$25-SUM($Q33:T$33))*$M$32</f>
        <v>#REF!</v>
      </c>
      <c r="V32" s="725" t="e">
        <f>($M$25-SUM($Q33:U$33))*$M$32</f>
        <v>#REF!</v>
      </c>
      <c r="W32" s="725" t="e">
        <f>($M$25-SUM($Q33:V$33))*$M$32</f>
        <v>#REF!</v>
      </c>
      <c r="X32" s="725" t="e">
        <f>($M$25-SUM($Q33:W$33))*$M$32</f>
        <v>#REF!</v>
      </c>
      <c r="Y32" s="725" t="e">
        <f>($M$25-SUM($Q33:X$33))*$M$32</f>
        <v>#REF!</v>
      </c>
      <c r="Z32" s="725" t="e">
        <f>($M$25-SUM($Q33:Y$33))*$M$32</f>
        <v>#REF!</v>
      </c>
      <c r="AA32" s="725" t="e">
        <f>($M$25-SUM($Q33:Z$33))*$M$32</f>
        <v>#REF!</v>
      </c>
      <c r="AB32" s="725" t="e">
        <f>($M$25-SUM($Q33:AA$33))*$M$32</f>
        <v>#REF!</v>
      </c>
      <c r="AC32" s="725"/>
      <c r="AD32" s="725"/>
      <c r="AE32" s="725">
        <v>0</v>
      </c>
      <c r="AF32" s="725">
        <v>0</v>
      </c>
      <c r="AG32" s="725">
        <v>0</v>
      </c>
      <c r="AH32" s="725">
        <v>0</v>
      </c>
      <c r="AI32" s="725">
        <v>0</v>
      </c>
      <c r="AJ32" s="725">
        <v>0</v>
      </c>
      <c r="AL32" s="725" t="e">
        <f t="shared" si="16"/>
        <v>#REF!</v>
      </c>
    </row>
    <row r="33" spans="1:41" ht="20.100000000000001" customHeight="1" x14ac:dyDescent="0.2">
      <c r="A33" s="743"/>
      <c r="B33" s="727"/>
      <c r="C33" s="727"/>
      <c r="D33" s="727"/>
      <c r="E33" s="727"/>
      <c r="G33" s="727"/>
      <c r="M33" s="719" t="e">
        <f>SUM(P33:AB33)</f>
        <v>#REF!</v>
      </c>
      <c r="N33" s="817" t="s">
        <v>635</v>
      </c>
      <c r="O33" s="725">
        <f>+AO18</f>
        <v>0</v>
      </c>
      <c r="P33" s="725">
        <v>0</v>
      </c>
      <c r="Q33" s="725" t="e">
        <f>+$M$31/8*0</f>
        <v>#REF!</v>
      </c>
      <c r="R33" s="725"/>
      <c r="S33" s="725" t="e">
        <f>+$M$31/10</f>
        <v>#REF!</v>
      </c>
      <c r="T33" s="725" t="e">
        <f t="shared" ref="T33:AB33" si="17">+$M$31/10</f>
        <v>#REF!</v>
      </c>
      <c r="U33" s="725" t="e">
        <f t="shared" si="17"/>
        <v>#REF!</v>
      </c>
      <c r="V33" s="725" t="e">
        <f t="shared" si="17"/>
        <v>#REF!</v>
      </c>
      <c r="W33" s="725" t="e">
        <f t="shared" si="17"/>
        <v>#REF!</v>
      </c>
      <c r="X33" s="725" t="e">
        <f t="shared" si="17"/>
        <v>#REF!</v>
      </c>
      <c r="Y33" s="725" t="e">
        <f t="shared" si="17"/>
        <v>#REF!</v>
      </c>
      <c r="Z33" s="725" t="e">
        <f t="shared" si="17"/>
        <v>#REF!</v>
      </c>
      <c r="AA33" s="725" t="e">
        <f t="shared" si="17"/>
        <v>#REF!</v>
      </c>
      <c r="AB33" s="725" t="e">
        <f t="shared" si="17"/>
        <v>#REF!</v>
      </c>
      <c r="AC33" s="725">
        <v>0</v>
      </c>
      <c r="AD33" s="725">
        <v>0</v>
      </c>
      <c r="AE33" s="725">
        <v>0</v>
      </c>
      <c r="AF33" s="725">
        <v>0</v>
      </c>
      <c r="AG33" s="725">
        <v>0</v>
      </c>
      <c r="AH33" s="725">
        <v>0</v>
      </c>
      <c r="AI33" s="725">
        <v>0</v>
      </c>
      <c r="AJ33" s="725">
        <v>0</v>
      </c>
      <c r="AL33" s="725" t="e">
        <f t="shared" si="16"/>
        <v>#REF!</v>
      </c>
    </row>
    <row r="34" spans="1:41" ht="20.100000000000001" customHeight="1" x14ac:dyDescent="0.2">
      <c r="A34" s="743"/>
      <c r="N34" s="748" t="s">
        <v>95</v>
      </c>
      <c r="O34" s="748">
        <f>+O15</f>
        <v>0</v>
      </c>
      <c r="P34" s="748">
        <f t="shared" ref="P34:AK34" si="18">+P15</f>
        <v>0</v>
      </c>
      <c r="Q34" s="748">
        <f t="shared" si="18"/>
        <v>0</v>
      </c>
      <c r="R34" s="748" t="e">
        <f t="shared" si="18"/>
        <v>#REF!</v>
      </c>
      <c r="S34" s="748" t="e">
        <f t="shared" si="18"/>
        <v>#REF!</v>
      </c>
      <c r="T34" s="748" t="e">
        <f t="shared" si="18"/>
        <v>#REF!</v>
      </c>
      <c r="U34" s="748" t="e">
        <f t="shared" si="18"/>
        <v>#REF!</v>
      </c>
      <c r="V34" s="748" t="e">
        <f t="shared" si="18"/>
        <v>#REF!</v>
      </c>
      <c r="W34" s="748" t="e">
        <f t="shared" si="18"/>
        <v>#REF!</v>
      </c>
      <c r="X34" s="748" t="e">
        <f t="shared" si="18"/>
        <v>#REF!</v>
      </c>
      <c r="Y34" s="748" t="e">
        <f t="shared" si="18"/>
        <v>#REF!</v>
      </c>
      <c r="Z34" s="748" t="e">
        <f t="shared" si="18"/>
        <v>#REF!</v>
      </c>
      <c r="AA34" s="748" t="e">
        <f t="shared" si="18"/>
        <v>#REF!</v>
      </c>
      <c r="AB34" s="748" t="e">
        <f t="shared" si="18"/>
        <v>#REF!</v>
      </c>
      <c r="AC34" s="748" t="e">
        <f t="shared" si="18"/>
        <v>#REF!</v>
      </c>
      <c r="AD34" s="748" t="e">
        <f t="shared" si="18"/>
        <v>#REF!</v>
      </c>
      <c r="AE34" s="748" t="e">
        <f t="shared" si="18"/>
        <v>#REF!</v>
      </c>
      <c r="AF34" s="748" t="e">
        <f t="shared" si="18"/>
        <v>#REF!</v>
      </c>
      <c r="AG34" s="748" t="e">
        <f t="shared" si="18"/>
        <v>#REF!</v>
      </c>
      <c r="AH34" s="748" t="e">
        <f>+AH15</f>
        <v>#REF!</v>
      </c>
      <c r="AI34" s="748" t="e">
        <f t="shared" si="18"/>
        <v>#REF!</v>
      </c>
      <c r="AJ34" s="748" t="e">
        <f t="shared" si="18"/>
        <v>#REF!</v>
      </c>
      <c r="AK34" s="748">
        <f t="shared" si="18"/>
        <v>95.285152063234904</v>
      </c>
      <c r="AL34" s="725" t="e">
        <f t="shared" si="16"/>
        <v>#REF!</v>
      </c>
    </row>
    <row r="35" spans="1:41" ht="20.100000000000001" customHeight="1" x14ac:dyDescent="0.25">
      <c r="A35" s="743"/>
      <c r="B35" s="747"/>
      <c r="C35" s="722"/>
      <c r="F35" s="753"/>
      <c r="N35" s="725" t="s">
        <v>4</v>
      </c>
      <c r="O35" s="725" t="e">
        <f t="shared" ref="O35:AJ35" si="19">SUM(O29:O34)</f>
        <v>#REF!</v>
      </c>
      <c r="P35" s="725" t="e">
        <f t="shared" si="19"/>
        <v>#REF!</v>
      </c>
      <c r="Q35" s="725" t="e">
        <f t="shared" si="19"/>
        <v>#REF!</v>
      </c>
      <c r="R35" s="725" t="e">
        <f t="shared" si="19"/>
        <v>#REF!</v>
      </c>
      <c r="S35" s="725" t="e">
        <f t="shared" si="19"/>
        <v>#REF!</v>
      </c>
      <c r="T35" s="725" t="e">
        <f t="shared" si="19"/>
        <v>#REF!</v>
      </c>
      <c r="U35" s="725" t="e">
        <f t="shared" si="19"/>
        <v>#REF!</v>
      </c>
      <c r="V35" s="725" t="e">
        <f t="shared" si="19"/>
        <v>#REF!</v>
      </c>
      <c r="W35" s="725" t="e">
        <f t="shared" si="19"/>
        <v>#REF!</v>
      </c>
      <c r="X35" s="725" t="e">
        <f t="shared" si="19"/>
        <v>#REF!</v>
      </c>
      <c r="Y35" s="725" t="e">
        <f t="shared" si="19"/>
        <v>#REF!</v>
      </c>
      <c r="Z35" s="725" t="e">
        <f t="shared" si="19"/>
        <v>#REF!</v>
      </c>
      <c r="AA35" s="725" t="e">
        <f t="shared" si="19"/>
        <v>#REF!</v>
      </c>
      <c r="AB35" s="725" t="e">
        <f t="shared" si="19"/>
        <v>#REF!</v>
      </c>
      <c r="AC35" s="725" t="e">
        <f t="shared" si="19"/>
        <v>#REF!</v>
      </c>
      <c r="AD35" s="725" t="e">
        <f t="shared" si="19"/>
        <v>#REF!</v>
      </c>
      <c r="AE35" s="725" t="e">
        <f t="shared" si="19"/>
        <v>#REF!</v>
      </c>
      <c r="AF35" s="725" t="e">
        <f t="shared" si="19"/>
        <v>#REF!</v>
      </c>
      <c r="AG35" s="725" t="e">
        <f t="shared" si="19"/>
        <v>#REF!</v>
      </c>
      <c r="AH35" s="725" t="e">
        <f t="shared" si="19"/>
        <v>#REF!</v>
      </c>
      <c r="AI35" s="725" t="e">
        <f t="shared" si="19"/>
        <v>#REF!</v>
      </c>
      <c r="AJ35" s="725" t="e">
        <f t="shared" si="19"/>
        <v>#REF!</v>
      </c>
      <c r="AK35" s="725">
        <f>SUM(AK29:AK34)</f>
        <v>95.285152063234904</v>
      </c>
      <c r="AL35" s="725" t="e">
        <f t="shared" si="16"/>
        <v>#REF!</v>
      </c>
    </row>
    <row r="36" spans="1:41" ht="20.100000000000001" customHeight="1" thickBot="1" x14ac:dyDescent="0.25">
      <c r="N36" s="754" t="s">
        <v>96</v>
      </c>
      <c r="O36" s="755" t="e">
        <f t="shared" ref="O36:AJ36" si="20">+O26-O35</f>
        <v>#REF!</v>
      </c>
      <c r="P36" s="755" t="e">
        <f t="shared" si="20"/>
        <v>#REF!</v>
      </c>
      <c r="Q36" s="755" t="e">
        <f t="shared" si="20"/>
        <v>#REF!</v>
      </c>
      <c r="R36" s="755" t="e">
        <f t="shared" si="20"/>
        <v>#REF!</v>
      </c>
      <c r="S36" s="755" t="e">
        <f t="shared" si="20"/>
        <v>#REF!</v>
      </c>
      <c r="T36" s="755" t="e">
        <f t="shared" si="20"/>
        <v>#REF!</v>
      </c>
      <c r="U36" s="755" t="e">
        <f t="shared" si="20"/>
        <v>#REF!</v>
      </c>
      <c r="V36" s="755" t="e">
        <f t="shared" si="20"/>
        <v>#REF!</v>
      </c>
      <c r="W36" s="755" t="e">
        <f t="shared" si="20"/>
        <v>#REF!</v>
      </c>
      <c r="X36" s="755" t="e">
        <f t="shared" si="20"/>
        <v>#REF!</v>
      </c>
      <c r="Y36" s="755" t="e">
        <f t="shared" si="20"/>
        <v>#REF!</v>
      </c>
      <c r="Z36" s="755" t="e">
        <f t="shared" si="20"/>
        <v>#REF!</v>
      </c>
      <c r="AA36" s="755" t="e">
        <f t="shared" si="20"/>
        <v>#REF!</v>
      </c>
      <c r="AB36" s="755" t="e">
        <f t="shared" si="20"/>
        <v>#REF!</v>
      </c>
      <c r="AC36" s="755" t="e">
        <f t="shared" si="20"/>
        <v>#REF!</v>
      </c>
      <c r="AD36" s="755" t="e">
        <f t="shared" si="20"/>
        <v>#REF!</v>
      </c>
      <c r="AE36" s="755" t="e">
        <f t="shared" si="20"/>
        <v>#REF!</v>
      </c>
      <c r="AF36" s="755" t="e">
        <f t="shared" si="20"/>
        <v>#REF!</v>
      </c>
      <c r="AG36" s="755" t="e">
        <f t="shared" si="20"/>
        <v>#REF!</v>
      </c>
      <c r="AH36" s="755" t="e">
        <f t="shared" si="20"/>
        <v>#REF!</v>
      </c>
      <c r="AI36" s="755" t="e">
        <f t="shared" si="20"/>
        <v>#REF!</v>
      </c>
      <c r="AJ36" s="755" t="e">
        <f t="shared" si="20"/>
        <v>#REF!</v>
      </c>
      <c r="AK36" s="755">
        <f>+AK26-AK35</f>
        <v>283.31128811172891</v>
      </c>
      <c r="AL36" s="725" t="e">
        <f t="shared" si="16"/>
        <v>#REF!</v>
      </c>
    </row>
    <row r="37" spans="1:41" ht="20.100000000000001" customHeight="1" thickBot="1" x14ac:dyDescent="0.25">
      <c r="N37" s="756" t="s">
        <v>97</v>
      </c>
      <c r="O37" s="757" t="e">
        <f>SUM($O$36:O36)</f>
        <v>#REF!</v>
      </c>
      <c r="P37" s="757" t="e">
        <f>SUM($O$36:P36)</f>
        <v>#REF!</v>
      </c>
      <c r="Q37" s="757" t="e">
        <f>SUM($O$36:Q36)</f>
        <v>#REF!</v>
      </c>
      <c r="R37" s="757" t="e">
        <f>SUM($O$36:R36)</f>
        <v>#REF!</v>
      </c>
      <c r="S37" s="757" t="e">
        <f>SUM($O$36:S36)</f>
        <v>#REF!</v>
      </c>
      <c r="T37" s="757" t="e">
        <f>SUM($O$36:T36)</f>
        <v>#REF!</v>
      </c>
      <c r="U37" s="757" t="e">
        <f>SUM($O$36:U36)</f>
        <v>#REF!</v>
      </c>
      <c r="V37" s="757" t="e">
        <f>SUM($O$36:V36)</f>
        <v>#REF!</v>
      </c>
      <c r="W37" s="757" t="e">
        <f>SUM($O$36:W36)</f>
        <v>#REF!</v>
      </c>
      <c r="X37" s="757" t="e">
        <f>SUM($O$36:X36)</f>
        <v>#REF!</v>
      </c>
      <c r="Y37" s="757" t="e">
        <f>SUM($O$36:Y36)</f>
        <v>#REF!</v>
      </c>
      <c r="Z37" s="757" t="e">
        <f>SUM($O$36:Z36)</f>
        <v>#REF!</v>
      </c>
      <c r="AA37" s="757" t="e">
        <f>SUM($O$36:AA36)</f>
        <v>#REF!</v>
      </c>
      <c r="AB37" s="757" t="e">
        <f>SUM($O$36:AB36)</f>
        <v>#REF!</v>
      </c>
      <c r="AC37" s="757" t="e">
        <f>SUM($O$36:AC36)</f>
        <v>#REF!</v>
      </c>
      <c r="AD37" s="757" t="e">
        <f>SUM($O$36:AD36)</f>
        <v>#REF!</v>
      </c>
      <c r="AE37" s="757" t="e">
        <f>SUM($O$36:AE36)</f>
        <v>#REF!</v>
      </c>
      <c r="AF37" s="757" t="e">
        <f>SUM($O$36:AF36)</f>
        <v>#REF!</v>
      </c>
      <c r="AG37" s="757" t="e">
        <f>SUM($O$36:AG36)</f>
        <v>#REF!</v>
      </c>
      <c r="AH37" s="757" t="e">
        <f>SUM($O$36:AH36)</f>
        <v>#REF!</v>
      </c>
      <c r="AI37" s="757" t="e">
        <f>SUM($O$36:AI36)</f>
        <v>#REF!</v>
      </c>
      <c r="AJ37" s="757" t="e">
        <f>SUM($O$36:AJ36)</f>
        <v>#REF!</v>
      </c>
      <c r="AK37" s="757" t="e">
        <f>SUM($O$36:AK36)</f>
        <v>#REF!</v>
      </c>
      <c r="AL37" s="725"/>
    </row>
    <row r="38" spans="1:41" ht="20.100000000000001" customHeight="1" x14ac:dyDescent="0.2">
      <c r="W38" s="719">
        <f>+W19</f>
        <v>0</v>
      </c>
      <c r="AI38" s="719">
        <f>+W38</f>
        <v>0</v>
      </c>
    </row>
    <row r="39" spans="1:41" ht="20.100000000000001" customHeight="1" x14ac:dyDescent="0.25">
      <c r="N39" s="720" t="s">
        <v>99</v>
      </c>
      <c r="AL39" s="725"/>
    </row>
    <row r="40" spans="1:41" ht="20.100000000000001" customHeight="1" x14ac:dyDescent="0.25">
      <c r="B40" s="722"/>
      <c r="N40" s="721"/>
      <c r="V40" s="719">
        <f>+V21</f>
        <v>0</v>
      </c>
      <c r="AI40" s="719">
        <f>+V40</f>
        <v>0</v>
      </c>
      <c r="AL40" s="725"/>
    </row>
    <row r="41" spans="1:41" ht="20.100000000000001" customHeight="1" x14ac:dyDescent="0.2">
      <c r="B41" s="727"/>
      <c r="C41" s="727"/>
      <c r="D41" s="727"/>
      <c r="E41" s="727"/>
      <c r="F41" s="727"/>
      <c r="G41" s="727"/>
      <c r="N41" s="758" t="s">
        <v>3</v>
      </c>
      <c r="O41" s="732" t="str">
        <f t="shared" ref="O41:AI41" si="21">+O9</f>
        <v>Yr 1</v>
      </c>
      <c r="P41" s="732" t="str">
        <f t="shared" si="21"/>
        <v>Yr 2</v>
      </c>
      <c r="Q41" s="732" t="str">
        <f t="shared" si="21"/>
        <v>Yr 3</v>
      </c>
      <c r="R41" s="732" t="str">
        <f t="shared" si="21"/>
        <v>Yr 4</v>
      </c>
      <c r="S41" s="732" t="str">
        <f t="shared" si="21"/>
        <v>Yr 5</v>
      </c>
      <c r="T41" s="732" t="str">
        <f t="shared" si="21"/>
        <v>Yr 6</v>
      </c>
      <c r="U41" s="732" t="str">
        <f t="shared" si="21"/>
        <v>Yr 7</v>
      </c>
      <c r="V41" s="732" t="str">
        <f t="shared" si="21"/>
        <v>Yr 8</v>
      </c>
      <c r="W41" s="732" t="str">
        <f t="shared" si="21"/>
        <v>Yr 9</v>
      </c>
      <c r="X41" s="732" t="str">
        <f t="shared" si="21"/>
        <v>Yr 10</v>
      </c>
      <c r="Y41" s="732" t="str">
        <f t="shared" si="21"/>
        <v>Yr 11</v>
      </c>
      <c r="Z41" s="732" t="str">
        <f t="shared" si="21"/>
        <v>Yr 12</v>
      </c>
      <c r="AA41" s="732" t="str">
        <f t="shared" si="21"/>
        <v>Yr 13</v>
      </c>
      <c r="AB41" s="732" t="str">
        <f t="shared" si="21"/>
        <v>Yr 14</v>
      </c>
      <c r="AC41" s="732" t="str">
        <f t="shared" si="21"/>
        <v>Yr 15</v>
      </c>
      <c r="AD41" s="732" t="str">
        <f t="shared" si="21"/>
        <v>Yr 16</v>
      </c>
      <c r="AE41" s="732" t="str">
        <f t="shared" si="21"/>
        <v>Yr 17</v>
      </c>
      <c r="AF41" s="732" t="str">
        <f t="shared" si="21"/>
        <v>Yr 18</v>
      </c>
      <c r="AG41" s="732" t="str">
        <f t="shared" si="21"/>
        <v>Yr 19</v>
      </c>
      <c r="AH41" s="732" t="str">
        <f>+AH9</f>
        <v>Yr 20</v>
      </c>
      <c r="AI41" s="732" t="str">
        <f t="shared" si="21"/>
        <v>Yr 21</v>
      </c>
      <c r="AJ41" s="732" t="str">
        <f>+AJ9</f>
        <v>Yr 22</v>
      </c>
      <c r="AK41" s="732" t="str">
        <f>+AK9</f>
        <v>Yr 23</v>
      </c>
      <c r="AL41" s="759" t="s">
        <v>34</v>
      </c>
      <c r="AM41" s="722" t="s">
        <v>606</v>
      </c>
      <c r="AN41" s="722" t="s">
        <v>606</v>
      </c>
      <c r="AO41" s="722" t="s">
        <v>31</v>
      </c>
    </row>
    <row r="42" spans="1:41" ht="20.100000000000001" customHeight="1" x14ac:dyDescent="0.25">
      <c r="M42" s="753" t="s">
        <v>26</v>
      </c>
      <c r="N42" s="818" t="s">
        <v>102</v>
      </c>
      <c r="O42" s="760"/>
      <c r="P42" s="760"/>
      <c r="Q42" s="760"/>
      <c r="R42" s="760"/>
      <c r="S42" s="760"/>
      <c r="T42" s="760"/>
      <c r="U42" s="760"/>
      <c r="V42" s="760"/>
      <c r="W42" s="760"/>
      <c r="X42" s="760"/>
      <c r="Y42" s="760"/>
      <c r="Z42" s="760"/>
      <c r="AA42" s="760"/>
      <c r="AB42" s="760"/>
      <c r="AC42" s="760"/>
      <c r="AD42" s="760"/>
      <c r="AE42" s="760"/>
      <c r="AF42" s="760"/>
      <c r="AG42" s="760"/>
      <c r="AH42" s="760"/>
      <c r="AI42" s="760"/>
      <c r="AJ42" s="760"/>
      <c r="AL42" s="759"/>
      <c r="AM42" s="722"/>
      <c r="AN42" s="722"/>
      <c r="AO42" s="722"/>
    </row>
    <row r="43" spans="1:41" ht="20.100000000000001" customHeight="1" x14ac:dyDescent="0.2">
      <c r="B43" s="727"/>
      <c r="C43" s="727"/>
      <c r="D43" s="727"/>
      <c r="E43" s="727"/>
      <c r="F43" s="727"/>
      <c r="G43" s="727"/>
      <c r="K43" s="719" t="e">
        <f>+C15</f>
        <v>#REF!</v>
      </c>
      <c r="L43" s="719" t="e">
        <f>SUM(O43:R43)</f>
        <v>#REF!</v>
      </c>
      <c r="M43" s="743">
        <v>1</v>
      </c>
      <c r="N43" s="810" t="s">
        <v>103</v>
      </c>
      <c r="O43" s="719" t="e">
        <f>+C10</f>
        <v>#REF!</v>
      </c>
      <c r="P43" s="719" t="e">
        <f>+C11</f>
        <v>#REF!</v>
      </c>
      <c r="Q43" s="719" t="e">
        <f>+C12</f>
        <v>#REF!</v>
      </c>
      <c r="R43" s="719" t="e">
        <f>C13+C14</f>
        <v>#REF!</v>
      </c>
      <c r="S43" s="719">
        <f t="shared" ref="S43:AJ43" si="22">+S30+S31</f>
        <v>0</v>
      </c>
      <c r="T43" s="719">
        <f t="shared" si="22"/>
        <v>0</v>
      </c>
      <c r="U43" s="719">
        <f t="shared" si="22"/>
        <v>0</v>
      </c>
      <c r="V43" s="719">
        <f t="shared" si="22"/>
        <v>0</v>
      </c>
      <c r="W43" s="719">
        <f t="shared" si="22"/>
        <v>0</v>
      </c>
      <c r="X43" s="719">
        <f t="shared" si="22"/>
        <v>0</v>
      </c>
      <c r="Y43" s="719">
        <f t="shared" si="22"/>
        <v>0</v>
      </c>
      <c r="Z43" s="719">
        <f t="shared" si="22"/>
        <v>0</v>
      </c>
      <c r="AA43" s="719">
        <f t="shared" si="22"/>
        <v>0</v>
      </c>
      <c r="AB43" s="719">
        <f t="shared" si="22"/>
        <v>0</v>
      </c>
      <c r="AC43" s="719">
        <f t="shared" si="22"/>
        <v>0</v>
      </c>
      <c r="AD43" s="719">
        <f t="shared" si="22"/>
        <v>0</v>
      </c>
      <c r="AE43" s="719">
        <f t="shared" si="22"/>
        <v>0</v>
      </c>
      <c r="AF43" s="719">
        <f t="shared" si="22"/>
        <v>0</v>
      </c>
      <c r="AG43" s="719">
        <f t="shared" si="22"/>
        <v>0</v>
      </c>
      <c r="AH43" s="719">
        <f>+AH30+AH31</f>
        <v>0</v>
      </c>
      <c r="AI43" s="719">
        <f t="shared" si="22"/>
        <v>0</v>
      </c>
      <c r="AJ43" s="719">
        <f t="shared" si="22"/>
        <v>0</v>
      </c>
      <c r="AL43" s="725"/>
    </row>
    <row r="44" spans="1:41" ht="20.100000000000001" customHeight="1" x14ac:dyDescent="0.2">
      <c r="M44" s="743">
        <v>2</v>
      </c>
      <c r="N44" s="719" t="s">
        <v>95</v>
      </c>
      <c r="O44" s="719">
        <f t="shared" ref="O44:AJ44" si="23">+O15</f>
        <v>0</v>
      </c>
      <c r="P44" s="719">
        <f t="shared" si="23"/>
        <v>0</v>
      </c>
      <c r="Q44" s="719">
        <f t="shared" si="23"/>
        <v>0</v>
      </c>
      <c r="R44" s="719" t="e">
        <f t="shared" si="23"/>
        <v>#REF!</v>
      </c>
      <c r="S44" s="719" t="e">
        <f t="shared" si="23"/>
        <v>#REF!</v>
      </c>
      <c r="T44" s="719" t="e">
        <f t="shared" si="23"/>
        <v>#REF!</v>
      </c>
      <c r="U44" s="719" t="e">
        <f t="shared" si="23"/>
        <v>#REF!</v>
      </c>
      <c r="V44" s="719" t="e">
        <f t="shared" si="23"/>
        <v>#REF!</v>
      </c>
      <c r="W44" s="719" t="e">
        <f t="shared" si="23"/>
        <v>#REF!</v>
      </c>
      <c r="X44" s="719" t="e">
        <f t="shared" si="23"/>
        <v>#REF!</v>
      </c>
      <c r="Y44" s="719" t="e">
        <f t="shared" si="23"/>
        <v>#REF!</v>
      </c>
      <c r="Z44" s="719" t="e">
        <f t="shared" si="23"/>
        <v>#REF!</v>
      </c>
      <c r="AA44" s="719" t="e">
        <f t="shared" si="23"/>
        <v>#REF!</v>
      </c>
      <c r="AB44" s="719" t="e">
        <f t="shared" si="23"/>
        <v>#REF!</v>
      </c>
      <c r="AC44" s="719" t="e">
        <f t="shared" si="23"/>
        <v>#REF!</v>
      </c>
      <c r="AD44" s="719" t="e">
        <f t="shared" si="23"/>
        <v>#REF!</v>
      </c>
      <c r="AE44" s="719" t="e">
        <f t="shared" si="23"/>
        <v>#REF!</v>
      </c>
      <c r="AF44" s="719" t="e">
        <f t="shared" si="23"/>
        <v>#REF!</v>
      </c>
      <c r="AG44" s="719" t="e">
        <f t="shared" si="23"/>
        <v>#REF!</v>
      </c>
      <c r="AH44" s="719" t="e">
        <f>+AH15</f>
        <v>#REF!</v>
      </c>
      <c r="AI44" s="719" t="e">
        <f t="shared" si="23"/>
        <v>#REF!</v>
      </c>
      <c r="AJ44" s="719" t="e">
        <f t="shared" si="23"/>
        <v>#REF!</v>
      </c>
      <c r="AK44" s="719">
        <f>+AK15</f>
        <v>95.285152063234904</v>
      </c>
      <c r="AL44" s="725"/>
    </row>
    <row r="45" spans="1:41" ht="20.100000000000001" customHeight="1" x14ac:dyDescent="0.25">
      <c r="B45" s="720"/>
      <c r="M45" s="743"/>
      <c r="N45" s="761" t="s">
        <v>607</v>
      </c>
      <c r="O45" s="719" t="e">
        <f t="shared" ref="O45:AI45" si="24">SUM(O43:O44)</f>
        <v>#REF!</v>
      </c>
      <c r="P45" s="719" t="e">
        <f t="shared" si="24"/>
        <v>#REF!</v>
      </c>
      <c r="Q45" s="719" t="e">
        <f t="shared" si="24"/>
        <v>#REF!</v>
      </c>
      <c r="R45" s="719" t="e">
        <f t="shared" si="24"/>
        <v>#REF!</v>
      </c>
      <c r="S45" s="719" t="e">
        <f t="shared" si="24"/>
        <v>#REF!</v>
      </c>
      <c r="T45" s="719" t="e">
        <f t="shared" si="24"/>
        <v>#REF!</v>
      </c>
      <c r="U45" s="719" t="e">
        <f t="shared" si="24"/>
        <v>#REF!</v>
      </c>
      <c r="V45" s="719" t="e">
        <f t="shared" si="24"/>
        <v>#REF!</v>
      </c>
      <c r="W45" s="719" t="e">
        <f t="shared" si="24"/>
        <v>#REF!</v>
      </c>
      <c r="X45" s="719" t="e">
        <f t="shared" si="24"/>
        <v>#REF!</v>
      </c>
      <c r="Y45" s="719" t="e">
        <f t="shared" si="24"/>
        <v>#REF!</v>
      </c>
      <c r="Z45" s="719" t="e">
        <f t="shared" si="24"/>
        <v>#REF!</v>
      </c>
      <c r="AA45" s="719" t="e">
        <f t="shared" si="24"/>
        <v>#REF!</v>
      </c>
      <c r="AB45" s="719" t="e">
        <f t="shared" si="24"/>
        <v>#REF!</v>
      </c>
      <c r="AC45" s="719" t="e">
        <f t="shared" si="24"/>
        <v>#REF!</v>
      </c>
      <c r="AD45" s="719" t="e">
        <f t="shared" si="24"/>
        <v>#REF!</v>
      </c>
      <c r="AE45" s="719" t="e">
        <f t="shared" si="24"/>
        <v>#REF!</v>
      </c>
      <c r="AF45" s="719" t="e">
        <f t="shared" si="24"/>
        <v>#REF!</v>
      </c>
      <c r="AG45" s="719" t="e">
        <f t="shared" si="24"/>
        <v>#REF!</v>
      </c>
      <c r="AH45" s="719" t="e">
        <f t="shared" si="24"/>
        <v>#REF!</v>
      </c>
      <c r="AI45" s="719" t="e">
        <f t="shared" si="24"/>
        <v>#REF!</v>
      </c>
      <c r="AJ45" s="719" t="e">
        <f>SUM(AJ43:AJ44)</f>
        <v>#REF!</v>
      </c>
      <c r="AK45" s="719">
        <f>SUM(AK43:AK44)</f>
        <v>95.285152063234904</v>
      </c>
      <c r="AL45" s="725"/>
    </row>
    <row r="46" spans="1:41" ht="20.100000000000001" customHeight="1" x14ac:dyDescent="0.25">
      <c r="B46" s="722"/>
      <c r="C46" s="722"/>
      <c r="F46" s="722"/>
      <c r="M46" s="753" t="s">
        <v>27</v>
      </c>
      <c r="N46" s="818" t="s">
        <v>104</v>
      </c>
      <c r="AL46" s="725"/>
    </row>
    <row r="47" spans="1:41" ht="20.100000000000001" customHeight="1" x14ac:dyDescent="0.2">
      <c r="C47" s="722"/>
      <c r="F47" s="724"/>
      <c r="M47" s="743">
        <v>1</v>
      </c>
      <c r="N47" s="719" t="s">
        <v>105</v>
      </c>
      <c r="O47" s="719">
        <f>+O23</f>
        <v>0</v>
      </c>
      <c r="P47" s="719">
        <f t="shared" ref="P47:AJ47" si="25">+P23</f>
        <v>0</v>
      </c>
      <c r="Q47" s="719">
        <f t="shared" si="25"/>
        <v>0</v>
      </c>
      <c r="R47" s="719">
        <f t="shared" si="25"/>
        <v>277.63738946164017</v>
      </c>
      <c r="S47" s="719">
        <f t="shared" si="25"/>
        <v>340.7367961574675</v>
      </c>
      <c r="T47" s="719">
        <f t="shared" si="25"/>
        <v>378.59644017496385</v>
      </c>
      <c r="U47" s="719">
        <f t="shared" si="25"/>
        <v>378.59644017496385</v>
      </c>
      <c r="V47" s="719">
        <f t="shared" si="25"/>
        <v>378.59644017496385</v>
      </c>
      <c r="W47" s="719">
        <f t="shared" si="25"/>
        <v>378.59644017496385</v>
      </c>
      <c r="X47" s="719">
        <f t="shared" si="25"/>
        <v>378.59644017496385</v>
      </c>
      <c r="Y47" s="719">
        <f t="shared" si="25"/>
        <v>378.59644017496385</v>
      </c>
      <c r="Z47" s="719">
        <f t="shared" si="25"/>
        <v>378.59644017496385</v>
      </c>
      <c r="AA47" s="719">
        <f t="shared" si="25"/>
        <v>378.59644017496385</v>
      </c>
      <c r="AB47" s="719">
        <f t="shared" si="25"/>
        <v>378.59644017496385</v>
      </c>
      <c r="AC47" s="719">
        <f t="shared" si="25"/>
        <v>378.59644017496385</v>
      </c>
      <c r="AD47" s="719">
        <f t="shared" si="25"/>
        <v>378.59644017496385</v>
      </c>
      <c r="AE47" s="719">
        <f t="shared" si="25"/>
        <v>378.59644017496385</v>
      </c>
      <c r="AF47" s="719">
        <f t="shared" si="25"/>
        <v>378.59644017496385</v>
      </c>
      <c r="AG47" s="719">
        <f t="shared" si="25"/>
        <v>378.59644017496385</v>
      </c>
      <c r="AH47" s="719">
        <f>+AH23</f>
        <v>378.59644017496385</v>
      </c>
      <c r="AI47" s="719">
        <f t="shared" si="25"/>
        <v>378.59644017496385</v>
      </c>
      <c r="AJ47" s="719">
        <f t="shared" si="25"/>
        <v>378.59644017496385</v>
      </c>
      <c r="AK47" s="719">
        <f>+AK23</f>
        <v>378.59644017496385</v>
      </c>
      <c r="AL47" s="725"/>
    </row>
    <row r="48" spans="1:41" ht="20.100000000000001" customHeight="1" x14ac:dyDescent="0.2">
      <c r="C48" s="722"/>
      <c r="F48" s="724"/>
      <c r="L48" s="719" t="e">
        <f>SUM(O48:V48)</f>
        <v>#REF!</v>
      </c>
      <c r="M48" s="743">
        <v>2</v>
      </c>
      <c r="N48" s="810" t="s">
        <v>613</v>
      </c>
      <c r="R48" s="810" t="e">
        <f>$J$15/2</f>
        <v>#REF!</v>
      </c>
      <c r="S48" s="810" t="e">
        <f>$J$15/2</f>
        <v>#REF!</v>
      </c>
      <c r="AK48" s="719" t="e">
        <f>AN12*0.05</f>
        <v>#REF!</v>
      </c>
      <c r="AL48" s="725"/>
    </row>
    <row r="49" spans="2:40" ht="20.100000000000001" customHeight="1" x14ac:dyDescent="0.2">
      <c r="C49" s="722"/>
      <c r="F49" s="724"/>
      <c r="M49" s="743"/>
      <c r="N49" s="761" t="s">
        <v>608</v>
      </c>
      <c r="O49" s="719">
        <f>SUM(O47:O48)</f>
        <v>0</v>
      </c>
      <c r="P49" s="719">
        <f t="shared" ref="P49:AJ49" si="26">SUM(P47:P48)</f>
        <v>0</v>
      </c>
      <c r="Q49" s="719">
        <f t="shared" si="26"/>
        <v>0</v>
      </c>
      <c r="R49" s="719" t="e">
        <f>SUM(R47:R48)</f>
        <v>#REF!</v>
      </c>
      <c r="S49" s="719" t="e">
        <f t="shared" si="26"/>
        <v>#REF!</v>
      </c>
      <c r="T49" s="719">
        <f t="shared" si="26"/>
        <v>378.59644017496385</v>
      </c>
      <c r="U49" s="719">
        <f t="shared" si="26"/>
        <v>378.59644017496385</v>
      </c>
      <c r="V49" s="719">
        <f t="shared" si="26"/>
        <v>378.59644017496385</v>
      </c>
      <c r="W49" s="719">
        <f t="shared" si="26"/>
        <v>378.59644017496385</v>
      </c>
      <c r="X49" s="719">
        <f t="shared" si="26"/>
        <v>378.59644017496385</v>
      </c>
      <c r="Y49" s="719">
        <f t="shared" si="26"/>
        <v>378.59644017496385</v>
      </c>
      <c r="Z49" s="719">
        <f t="shared" si="26"/>
        <v>378.59644017496385</v>
      </c>
      <c r="AA49" s="719">
        <f t="shared" si="26"/>
        <v>378.59644017496385</v>
      </c>
      <c r="AB49" s="719">
        <f t="shared" si="26"/>
        <v>378.59644017496385</v>
      </c>
      <c r="AC49" s="719">
        <f t="shared" si="26"/>
        <v>378.59644017496385</v>
      </c>
      <c r="AD49" s="719">
        <f t="shared" si="26"/>
        <v>378.59644017496385</v>
      </c>
      <c r="AE49" s="719">
        <f t="shared" si="26"/>
        <v>378.59644017496385</v>
      </c>
      <c r="AF49" s="719">
        <f t="shared" si="26"/>
        <v>378.59644017496385</v>
      </c>
      <c r="AG49" s="719">
        <f t="shared" si="26"/>
        <v>378.59644017496385</v>
      </c>
      <c r="AH49" s="719">
        <f t="shared" si="26"/>
        <v>378.59644017496385</v>
      </c>
      <c r="AI49" s="719">
        <f t="shared" si="26"/>
        <v>378.59644017496385</v>
      </c>
      <c r="AJ49" s="719">
        <f t="shared" si="26"/>
        <v>378.59644017496385</v>
      </c>
      <c r="AK49" s="719" t="e">
        <f>SUM(AK47:AK48)</f>
        <v>#REF!</v>
      </c>
      <c r="AL49" s="725"/>
    </row>
    <row r="50" spans="2:40" ht="20.100000000000001" customHeight="1" x14ac:dyDescent="0.25">
      <c r="D50" s="727"/>
      <c r="E50" s="727"/>
      <c r="F50" s="727"/>
      <c r="G50" s="727"/>
      <c r="M50" s="753" t="s">
        <v>28</v>
      </c>
      <c r="N50" s="721" t="s">
        <v>106</v>
      </c>
      <c r="AL50" s="725"/>
    </row>
    <row r="51" spans="2:40" s="762" customFormat="1" ht="20.100000000000001" customHeight="1" x14ac:dyDescent="0.2">
      <c r="B51" s="763"/>
      <c r="M51" s="691">
        <v>1</v>
      </c>
      <c r="N51" s="762" t="s">
        <v>107</v>
      </c>
      <c r="O51" s="762" t="e">
        <f t="shared" ref="O51:AJ51" si="27">+O49-O45+O44</f>
        <v>#REF!</v>
      </c>
      <c r="P51" s="762" t="e">
        <f t="shared" si="27"/>
        <v>#REF!</v>
      </c>
      <c r="Q51" s="762" t="e">
        <f t="shared" si="27"/>
        <v>#REF!</v>
      </c>
      <c r="R51" s="762" t="e">
        <f t="shared" si="27"/>
        <v>#REF!</v>
      </c>
      <c r="S51" s="762" t="e">
        <f t="shared" si="27"/>
        <v>#REF!</v>
      </c>
      <c r="T51" s="762" t="e">
        <f t="shared" si="27"/>
        <v>#REF!</v>
      </c>
      <c r="U51" s="762" t="e">
        <f t="shared" si="27"/>
        <v>#REF!</v>
      </c>
      <c r="V51" s="762" t="e">
        <f t="shared" si="27"/>
        <v>#REF!</v>
      </c>
      <c r="W51" s="762" t="e">
        <f t="shared" si="27"/>
        <v>#REF!</v>
      </c>
      <c r="X51" s="762" t="e">
        <f t="shared" si="27"/>
        <v>#REF!</v>
      </c>
      <c r="Y51" s="762" t="e">
        <f t="shared" si="27"/>
        <v>#REF!</v>
      </c>
      <c r="Z51" s="762" t="e">
        <f t="shared" si="27"/>
        <v>#REF!</v>
      </c>
      <c r="AA51" s="762" t="e">
        <f t="shared" si="27"/>
        <v>#REF!</v>
      </c>
      <c r="AB51" s="762" t="e">
        <f t="shared" si="27"/>
        <v>#REF!</v>
      </c>
      <c r="AC51" s="762" t="e">
        <f t="shared" si="27"/>
        <v>#REF!</v>
      </c>
      <c r="AD51" s="762" t="e">
        <f t="shared" si="27"/>
        <v>#REF!</v>
      </c>
      <c r="AE51" s="762" t="e">
        <f t="shared" si="27"/>
        <v>#REF!</v>
      </c>
      <c r="AF51" s="762" t="e">
        <f t="shared" si="27"/>
        <v>#REF!</v>
      </c>
      <c r="AG51" s="762" t="e">
        <f t="shared" si="27"/>
        <v>#REF!</v>
      </c>
      <c r="AH51" s="762" t="e">
        <f t="shared" si="27"/>
        <v>#REF!</v>
      </c>
      <c r="AI51" s="762" t="e">
        <f t="shared" si="27"/>
        <v>#REF!</v>
      </c>
      <c r="AJ51" s="762" t="e">
        <f t="shared" si="27"/>
        <v>#REF!</v>
      </c>
      <c r="AK51" s="762" t="e">
        <f>+AK49-AK45+AK44</f>
        <v>#REF!</v>
      </c>
      <c r="AL51" s="764"/>
      <c r="AM51" s="765"/>
      <c r="AN51" s="765"/>
    </row>
    <row r="52" spans="2:40" s="762" customFormat="1" ht="20.100000000000001" customHeight="1" x14ac:dyDescent="0.2">
      <c r="B52" s="763"/>
      <c r="M52" s="691">
        <v>2</v>
      </c>
      <c r="N52" s="762" t="s">
        <v>108</v>
      </c>
      <c r="O52" s="762" t="e">
        <f>+O49-O45</f>
        <v>#REF!</v>
      </c>
      <c r="P52" s="762" t="e">
        <f t="shared" ref="P52:AJ52" si="28">+P49-P45</f>
        <v>#REF!</v>
      </c>
      <c r="Q52" s="762" t="e">
        <f t="shared" si="28"/>
        <v>#REF!</v>
      </c>
      <c r="R52" s="762" t="e">
        <f t="shared" si="28"/>
        <v>#REF!</v>
      </c>
      <c r="S52" s="762" t="e">
        <f t="shared" si="28"/>
        <v>#REF!</v>
      </c>
      <c r="T52" s="762" t="e">
        <f t="shared" si="28"/>
        <v>#REF!</v>
      </c>
      <c r="U52" s="762" t="e">
        <f t="shared" si="28"/>
        <v>#REF!</v>
      </c>
      <c r="V52" s="762" t="e">
        <f t="shared" si="28"/>
        <v>#REF!</v>
      </c>
      <c r="W52" s="762" t="e">
        <f t="shared" si="28"/>
        <v>#REF!</v>
      </c>
      <c r="X52" s="762" t="e">
        <f t="shared" si="28"/>
        <v>#REF!</v>
      </c>
      <c r="Y52" s="762" t="e">
        <f t="shared" si="28"/>
        <v>#REF!</v>
      </c>
      <c r="Z52" s="762" t="e">
        <f t="shared" si="28"/>
        <v>#REF!</v>
      </c>
      <c r="AA52" s="762" t="e">
        <f t="shared" si="28"/>
        <v>#REF!</v>
      </c>
      <c r="AB52" s="762" t="e">
        <f t="shared" si="28"/>
        <v>#REF!</v>
      </c>
      <c r="AC52" s="762" t="e">
        <f t="shared" si="28"/>
        <v>#REF!</v>
      </c>
      <c r="AD52" s="762" t="e">
        <f t="shared" si="28"/>
        <v>#REF!</v>
      </c>
      <c r="AE52" s="762" t="e">
        <f t="shared" si="28"/>
        <v>#REF!</v>
      </c>
      <c r="AF52" s="762" t="e">
        <f t="shared" si="28"/>
        <v>#REF!</v>
      </c>
      <c r="AG52" s="762" t="e">
        <f t="shared" si="28"/>
        <v>#REF!</v>
      </c>
      <c r="AH52" s="762" t="e">
        <f>+AH49-AH45</f>
        <v>#REF!</v>
      </c>
      <c r="AI52" s="762" t="e">
        <f t="shared" si="28"/>
        <v>#REF!</v>
      </c>
      <c r="AJ52" s="762" t="e">
        <f t="shared" si="28"/>
        <v>#REF!</v>
      </c>
      <c r="AK52" s="762" t="e">
        <f>+AK49-AK45</f>
        <v>#REF!</v>
      </c>
      <c r="AL52" s="764"/>
      <c r="AM52" s="765"/>
    </row>
    <row r="53" spans="2:40" ht="20.100000000000001" customHeight="1" x14ac:dyDescent="0.25">
      <c r="B53" s="722"/>
      <c r="M53" s="753" t="s">
        <v>109</v>
      </c>
      <c r="N53" s="721" t="s">
        <v>197</v>
      </c>
      <c r="AK53" s="725"/>
      <c r="AM53" s="65"/>
    </row>
    <row r="54" spans="2:40" s="762" customFormat="1" ht="20.100000000000001" customHeight="1" x14ac:dyDescent="0.2">
      <c r="M54" s="766">
        <v>1</v>
      </c>
      <c r="N54" s="762" t="s">
        <v>107</v>
      </c>
      <c r="O54" s="762" t="e">
        <f>NPV(0.1,O51:AK51)</f>
        <v>#REF!</v>
      </c>
      <c r="AK54" s="764"/>
      <c r="AM54" s="765"/>
    </row>
    <row r="55" spans="2:40" s="762" customFormat="1" ht="20.100000000000001" customHeight="1" x14ac:dyDescent="0.2">
      <c r="D55" s="767"/>
      <c r="E55" s="767"/>
      <c r="F55" s="767"/>
      <c r="G55" s="767"/>
      <c r="M55" s="691">
        <v>2</v>
      </c>
      <c r="N55" s="762" t="s">
        <v>110</v>
      </c>
      <c r="O55" s="762" t="e">
        <f>NPV(0.1,O52:AK52)</f>
        <v>#REF!</v>
      </c>
      <c r="AK55" s="764"/>
      <c r="AM55" s="765"/>
    </row>
    <row r="56" spans="2:40" ht="20.100000000000001" customHeight="1" x14ac:dyDescent="0.25">
      <c r="B56" s="720"/>
      <c r="M56" s="753" t="s">
        <v>111</v>
      </c>
      <c r="N56" s="721" t="s">
        <v>32</v>
      </c>
      <c r="AK56" s="725"/>
      <c r="AM56" s="65"/>
    </row>
    <row r="57" spans="2:40" s="762" customFormat="1" ht="20.100000000000001" customHeight="1" x14ac:dyDescent="0.2">
      <c r="B57" s="763"/>
      <c r="C57" s="763"/>
      <c r="E57" s="767"/>
      <c r="F57" s="767"/>
      <c r="G57" s="767"/>
      <c r="M57" s="691">
        <v>1</v>
      </c>
      <c r="N57" s="762" t="s">
        <v>107</v>
      </c>
      <c r="O57" s="768" t="e">
        <f>IRR(O51:AK51)</f>
        <v>#VALUE!</v>
      </c>
      <c r="AK57" s="764"/>
      <c r="AM57" s="765"/>
    </row>
    <row r="58" spans="2:40" s="762" customFormat="1" ht="20.100000000000001" customHeight="1" x14ac:dyDescent="0.2">
      <c r="C58" s="763"/>
      <c r="M58" s="691">
        <v>2</v>
      </c>
      <c r="N58" s="762" t="s">
        <v>110</v>
      </c>
      <c r="O58" s="768" t="e">
        <f>IRR(O52:AK52)</f>
        <v>#VALUE!</v>
      </c>
      <c r="P58" s="763"/>
      <c r="AK58" s="764"/>
    </row>
    <row r="59" spans="2:40" x14ac:dyDescent="0.2">
      <c r="D59" s="727"/>
      <c r="M59" s="743"/>
      <c r="O59" s="66"/>
      <c r="P59" s="722"/>
    </row>
    <row r="60" spans="2:40" x14ac:dyDescent="0.2">
      <c r="B60" s="722"/>
      <c r="N60" s="733"/>
      <c r="O60" s="769"/>
      <c r="P60" s="769"/>
      <c r="Q60" s="769"/>
      <c r="R60" s="769"/>
      <c r="S60" s="769"/>
      <c r="T60" s="769"/>
      <c r="U60" s="769"/>
      <c r="V60" s="769"/>
      <c r="W60" s="769"/>
      <c r="X60" s="769"/>
      <c r="Y60" s="769"/>
      <c r="Z60" s="769"/>
      <c r="AA60" s="769"/>
      <c r="AB60" s="769"/>
      <c r="AC60" s="769"/>
      <c r="AD60" s="769"/>
      <c r="AE60" s="769"/>
      <c r="AF60" s="769"/>
      <c r="AG60" s="769"/>
      <c r="AH60" s="769"/>
      <c r="AI60" s="769"/>
      <c r="AJ60" s="769"/>
      <c r="AK60" s="769"/>
    </row>
    <row r="61" spans="2:40" x14ac:dyDescent="0.2">
      <c r="B61" s="722"/>
    </row>
    <row r="62" spans="2:40" x14ac:dyDescent="0.2">
      <c r="B62" s="722"/>
      <c r="AK62" s="725"/>
    </row>
    <row r="63" spans="2:40" x14ac:dyDescent="0.2">
      <c r="B63" s="727"/>
      <c r="C63" s="727"/>
      <c r="N63" s="725"/>
      <c r="AK63" s="725"/>
    </row>
    <row r="64" spans="2:40" x14ac:dyDescent="0.2">
      <c r="D64" s="727"/>
      <c r="N64" s="725"/>
      <c r="O64" s="725"/>
      <c r="P64" s="725"/>
      <c r="Q64" s="725"/>
      <c r="R64" s="725"/>
      <c r="S64" s="725"/>
      <c r="T64" s="725"/>
      <c r="U64" s="725"/>
      <c r="V64" s="725"/>
      <c r="W64" s="725"/>
      <c r="X64" s="725"/>
      <c r="Y64" s="725"/>
      <c r="Z64" s="725"/>
      <c r="AA64" s="725"/>
      <c r="AK64" s="725"/>
    </row>
    <row r="65" spans="2:37" x14ac:dyDescent="0.2">
      <c r="N65" s="725"/>
      <c r="Q65" s="725"/>
      <c r="R65" s="725"/>
      <c r="S65" s="725"/>
      <c r="T65" s="725"/>
      <c r="U65" s="725"/>
      <c r="V65" s="725"/>
      <c r="W65" s="725"/>
      <c r="X65" s="725"/>
      <c r="Y65" s="725"/>
      <c r="Z65" s="725"/>
      <c r="AA65" s="725"/>
      <c r="AK65" s="725"/>
    </row>
    <row r="66" spans="2:37" x14ac:dyDescent="0.2">
      <c r="N66" s="725"/>
      <c r="AK66" s="725"/>
    </row>
    <row r="67" spans="2:37" x14ac:dyDescent="0.2">
      <c r="AK67" s="725"/>
    </row>
    <row r="68" spans="2:37" x14ac:dyDescent="0.2">
      <c r="O68" s="722"/>
      <c r="P68" s="722"/>
      <c r="AK68" s="725"/>
    </row>
    <row r="69" spans="2:37" x14ac:dyDescent="0.2">
      <c r="B69" s="727"/>
      <c r="C69" s="727"/>
      <c r="D69" s="727"/>
      <c r="O69" s="722"/>
      <c r="P69" s="722"/>
      <c r="AK69" s="725"/>
    </row>
    <row r="70" spans="2:37" x14ac:dyDescent="0.2">
      <c r="AK70" s="725"/>
    </row>
    <row r="71" spans="2:37" ht="15.75" x14ac:dyDescent="0.25">
      <c r="B71" s="720"/>
      <c r="M71" s="722"/>
      <c r="N71" s="747"/>
      <c r="O71" s="722"/>
      <c r="P71" s="761"/>
      <c r="AK71" s="725"/>
    </row>
    <row r="72" spans="2:37" x14ac:dyDescent="0.2">
      <c r="B72" s="722"/>
      <c r="C72" s="722"/>
      <c r="M72" s="722"/>
      <c r="O72" s="722"/>
      <c r="P72" s="761"/>
      <c r="AK72" s="725"/>
    </row>
    <row r="73" spans="2:37" x14ac:dyDescent="0.2">
      <c r="C73" s="722"/>
      <c r="M73" s="722"/>
      <c r="N73" s="747"/>
      <c r="O73" s="722"/>
      <c r="P73" s="761"/>
      <c r="AK73" s="725"/>
    </row>
    <row r="74" spans="2:37" x14ac:dyDescent="0.2">
      <c r="B74" s="727"/>
      <c r="C74" s="727"/>
      <c r="D74" s="727"/>
      <c r="M74" s="722"/>
      <c r="O74" s="722"/>
      <c r="P74" s="761"/>
      <c r="AK74" s="725"/>
    </row>
    <row r="75" spans="2:37" x14ac:dyDescent="0.2">
      <c r="M75" s="722"/>
      <c r="N75" s="747"/>
      <c r="O75" s="722"/>
      <c r="P75" s="761"/>
      <c r="AK75" s="725"/>
    </row>
    <row r="76" spans="2:37" x14ac:dyDescent="0.2">
      <c r="B76" s="722"/>
      <c r="M76" s="722"/>
      <c r="O76" s="722"/>
      <c r="P76" s="761"/>
      <c r="AK76" s="725"/>
    </row>
    <row r="77" spans="2:37" x14ac:dyDescent="0.2">
      <c r="B77" s="722"/>
      <c r="M77" s="770"/>
      <c r="N77" s="771"/>
      <c r="O77" s="770"/>
      <c r="P77" s="761"/>
      <c r="AK77" s="725"/>
    </row>
    <row r="78" spans="2:37" x14ac:dyDescent="0.2">
      <c r="B78" s="722"/>
      <c r="M78" s="770"/>
      <c r="N78" s="771"/>
      <c r="O78" s="770"/>
      <c r="P78" s="761"/>
      <c r="AK78" s="725"/>
    </row>
    <row r="79" spans="2:37" x14ac:dyDescent="0.2">
      <c r="B79" s="727"/>
      <c r="C79" s="727"/>
      <c r="D79" s="727"/>
      <c r="M79" s="770"/>
      <c r="N79" s="771"/>
      <c r="O79" s="770"/>
      <c r="P79" s="761"/>
      <c r="AK79" s="725"/>
    </row>
    <row r="80" spans="2:37" x14ac:dyDescent="0.2">
      <c r="M80" s="770"/>
      <c r="N80" s="771"/>
      <c r="O80" s="770"/>
      <c r="P80" s="761"/>
      <c r="AK80" s="725"/>
    </row>
    <row r="81" spans="2:37" x14ac:dyDescent="0.2">
      <c r="B81" s="727"/>
      <c r="C81" s="727"/>
      <c r="D81" s="727"/>
      <c r="M81" s="770"/>
      <c r="N81" s="771"/>
      <c r="O81" s="770"/>
      <c r="P81" s="761"/>
      <c r="AK81" s="725"/>
    </row>
    <row r="82" spans="2:37" x14ac:dyDescent="0.2">
      <c r="M82" s="770"/>
      <c r="N82" s="771"/>
      <c r="O82" s="770"/>
      <c r="P82" s="761"/>
      <c r="AK82" s="725"/>
    </row>
    <row r="83" spans="2:37" x14ac:dyDescent="0.2">
      <c r="M83" s="770"/>
      <c r="N83" s="771"/>
      <c r="O83" s="770"/>
      <c r="P83" s="772"/>
      <c r="AK83" s="725"/>
    </row>
    <row r="84" spans="2:37" x14ac:dyDescent="0.2">
      <c r="M84" s="770"/>
      <c r="N84" s="771"/>
      <c r="O84" s="770"/>
      <c r="P84" s="772"/>
      <c r="AK84" s="725"/>
    </row>
    <row r="85" spans="2:37" x14ac:dyDescent="0.2">
      <c r="M85" s="770"/>
      <c r="N85" s="771"/>
      <c r="O85" s="770"/>
      <c r="P85" s="772"/>
      <c r="AK85" s="725"/>
    </row>
    <row r="86" spans="2:37" x14ac:dyDescent="0.2">
      <c r="AK86" s="725"/>
    </row>
    <row r="87" spans="2:37" x14ac:dyDescent="0.2">
      <c r="AK87" s="725"/>
    </row>
    <row r="88" spans="2:37" x14ac:dyDescent="0.2">
      <c r="AK88" s="725"/>
    </row>
    <row r="89" spans="2:37" x14ac:dyDescent="0.2">
      <c r="AK89" s="725"/>
    </row>
    <row r="90" spans="2:37" x14ac:dyDescent="0.2">
      <c r="AK90" s="725"/>
    </row>
    <row r="91" spans="2:37" x14ac:dyDescent="0.2">
      <c r="AK91" s="725"/>
    </row>
    <row r="92" spans="2:37" x14ac:dyDescent="0.2">
      <c r="AK92" s="725"/>
    </row>
    <row r="93" spans="2:37" x14ac:dyDescent="0.2">
      <c r="AK93" s="725"/>
    </row>
    <row r="94" spans="2:37" x14ac:dyDescent="0.2">
      <c r="AK94" s="725"/>
    </row>
    <row r="95" spans="2:37" x14ac:dyDescent="0.2">
      <c r="AK95" s="725"/>
    </row>
    <row r="96" spans="2:37" x14ac:dyDescent="0.2">
      <c r="AK96" s="725"/>
    </row>
    <row r="97" spans="37:37" x14ac:dyDescent="0.2">
      <c r="AK97" s="725"/>
    </row>
    <row r="98" spans="37:37" x14ac:dyDescent="0.2">
      <c r="AK98" s="725"/>
    </row>
    <row r="99" spans="37:37" x14ac:dyDescent="0.2">
      <c r="AK99" s="725"/>
    </row>
    <row r="100" spans="37:37" x14ac:dyDescent="0.2">
      <c r="AK100" s="725"/>
    </row>
    <row r="101" spans="37:37" x14ac:dyDescent="0.2">
      <c r="AK101" s="725"/>
    </row>
    <row r="102" spans="37:37" x14ac:dyDescent="0.2">
      <c r="AK102" s="725"/>
    </row>
    <row r="103" spans="37:37" x14ac:dyDescent="0.2">
      <c r="AK103" s="725"/>
    </row>
    <row r="104" spans="37:37" x14ac:dyDescent="0.2">
      <c r="AK104" s="725"/>
    </row>
    <row r="105" spans="37:37" x14ac:dyDescent="0.2">
      <c r="AK105" s="725"/>
    </row>
    <row r="106" spans="37:37" x14ac:dyDescent="0.2">
      <c r="AK106" s="725"/>
    </row>
    <row r="107" spans="37:37" x14ac:dyDescent="0.2">
      <c r="AK107" s="725"/>
    </row>
    <row r="108" spans="37:37" x14ac:dyDescent="0.2">
      <c r="AK108" s="725"/>
    </row>
    <row r="109" spans="37:37" x14ac:dyDescent="0.2">
      <c r="AK109" s="725"/>
    </row>
    <row r="110" spans="37:37" x14ac:dyDescent="0.2">
      <c r="AK110" s="725"/>
    </row>
    <row r="111" spans="37:37" x14ac:dyDescent="0.2">
      <c r="AK111" s="725"/>
    </row>
    <row r="112" spans="37:37" x14ac:dyDescent="0.2">
      <c r="AK112" s="725"/>
    </row>
    <row r="113" spans="37:37" x14ac:dyDescent="0.2">
      <c r="AK113" s="725"/>
    </row>
    <row r="114" spans="37:37" x14ac:dyDescent="0.2">
      <c r="AK114" s="725"/>
    </row>
    <row r="115" spans="37:37" x14ac:dyDescent="0.2">
      <c r="AK115" s="725"/>
    </row>
    <row r="116" spans="37:37" x14ac:dyDescent="0.2">
      <c r="AK116" s="725"/>
    </row>
    <row r="117" spans="37:37" x14ac:dyDescent="0.2">
      <c r="AK117" s="725"/>
    </row>
    <row r="118" spans="37:37" x14ac:dyDescent="0.2">
      <c r="AK118" s="725"/>
    </row>
    <row r="119" spans="37:37" x14ac:dyDescent="0.2">
      <c r="AK119" s="725"/>
    </row>
    <row r="120" spans="37:37" x14ac:dyDescent="0.2">
      <c r="AK120" s="725"/>
    </row>
    <row r="121" spans="37:37" x14ac:dyDescent="0.2">
      <c r="AK121" s="725"/>
    </row>
    <row r="122" spans="37:37" x14ac:dyDescent="0.2">
      <c r="AK122" s="725"/>
    </row>
    <row r="123" spans="37:37" x14ac:dyDescent="0.2">
      <c r="AK123" s="725"/>
    </row>
    <row r="124" spans="37:37" x14ac:dyDescent="0.2">
      <c r="AK124" s="725"/>
    </row>
    <row r="125" spans="37:37" x14ac:dyDescent="0.2">
      <c r="AK125" s="725"/>
    </row>
    <row r="126" spans="37:37" x14ac:dyDescent="0.2">
      <c r="AK126" s="725"/>
    </row>
    <row r="127" spans="37:37" x14ac:dyDescent="0.2">
      <c r="AK127" s="725"/>
    </row>
    <row r="128" spans="37:37" x14ac:dyDescent="0.2">
      <c r="AK128" s="725"/>
    </row>
    <row r="129" spans="37:37" x14ac:dyDescent="0.2">
      <c r="AK129" s="725"/>
    </row>
    <row r="130" spans="37:37" x14ac:dyDescent="0.2">
      <c r="AK130" s="725"/>
    </row>
    <row r="131" spans="37:37" x14ac:dyDescent="0.2">
      <c r="AK131" s="725"/>
    </row>
    <row r="132" spans="37:37" x14ac:dyDescent="0.2">
      <c r="AK132" s="725"/>
    </row>
    <row r="133" spans="37:37" x14ac:dyDescent="0.2">
      <c r="AK133" s="725"/>
    </row>
    <row r="134" spans="37:37" x14ac:dyDescent="0.2">
      <c r="AK134" s="725"/>
    </row>
    <row r="135" spans="37:37" x14ac:dyDescent="0.2">
      <c r="AK135" s="725"/>
    </row>
    <row r="136" spans="37:37" x14ac:dyDescent="0.2">
      <c r="AK136" s="725"/>
    </row>
    <row r="137" spans="37:37" x14ac:dyDescent="0.2">
      <c r="AK137" s="725"/>
    </row>
    <row r="138" spans="37:37" x14ac:dyDescent="0.2">
      <c r="AK138" s="725"/>
    </row>
    <row r="139" spans="37:37" x14ac:dyDescent="0.2">
      <c r="AK139" s="725"/>
    </row>
    <row r="140" spans="37:37" x14ac:dyDescent="0.2">
      <c r="AK140" s="725"/>
    </row>
    <row r="141" spans="37:37" x14ac:dyDescent="0.2">
      <c r="AK141" s="725"/>
    </row>
    <row r="142" spans="37:37" x14ac:dyDescent="0.2">
      <c r="AK142" s="725"/>
    </row>
    <row r="143" spans="37:37" x14ac:dyDescent="0.2">
      <c r="AK143" s="725"/>
    </row>
    <row r="144" spans="37:37" x14ac:dyDescent="0.2">
      <c r="AK144" s="725"/>
    </row>
    <row r="145" spans="37:37" x14ac:dyDescent="0.2">
      <c r="AK145" s="725"/>
    </row>
    <row r="146" spans="37:37" x14ac:dyDescent="0.2">
      <c r="AK146" s="725"/>
    </row>
    <row r="147" spans="37:37" x14ac:dyDescent="0.2">
      <c r="AK147" s="725"/>
    </row>
    <row r="148" spans="37:37" x14ac:dyDescent="0.2">
      <c r="AK148" s="725"/>
    </row>
    <row r="149" spans="37:37" x14ac:dyDescent="0.2">
      <c r="AK149" s="725"/>
    </row>
    <row r="150" spans="37:37" x14ac:dyDescent="0.2">
      <c r="AK150" s="725"/>
    </row>
    <row r="151" spans="37:37" x14ac:dyDescent="0.2">
      <c r="AK151" s="725"/>
    </row>
    <row r="152" spans="37:37" x14ac:dyDescent="0.2">
      <c r="AK152" s="725"/>
    </row>
    <row r="153" spans="37:37" x14ac:dyDescent="0.2">
      <c r="AK153" s="725"/>
    </row>
    <row r="154" spans="37:37" x14ac:dyDescent="0.2">
      <c r="AK154" s="725"/>
    </row>
    <row r="155" spans="37:37" x14ac:dyDescent="0.2">
      <c r="AK155" s="725"/>
    </row>
    <row r="156" spans="37:37" x14ac:dyDescent="0.2">
      <c r="AK156" s="725"/>
    </row>
    <row r="157" spans="37:37" x14ac:dyDescent="0.2">
      <c r="AK157" s="725"/>
    </row>
    <row r="158" spans="37:37" x14ac:dyDescent="0.2">
      <c r="AK158" s="725"/>
    </row>
    <row r="159" spans="37:37" x14ac:dyDescent="0.2">
      <c r="AK159" s="725"/>
    </row>
    <row r="160" spans="37:37" x14ac:dyDescent="0.2">
      <c r="AK160" s="725"/>
    </row>
    <row r="161" spans="37:37" x14ac:dyDescent="0.2">
      <c r="AK161" s="725"/>
    </row>
    <row r="162" spans="37:37" x14ac:dyDescent="0.2">
      <c r="AK162" s="725"/>
    </row>
    <row r="163" spans="37:37" x14ac:dyDescent="0.2">
      <c r="AK163" s="725"/>
    </row>
    <row r="164" spans="37:37" x14ac:dyDescent="0.2">
      <c r="AK164" s="725"/>
    </row>
    <row r="165" spans="37:37" x14ac:dyDescent="0.2">
      <c r="AK165" s="725"/>
    </row>
    <row r="166" spans="37:37" x14ac:dyDescent="0.2">
      <c r="AK166" s="725"/>
    </row>
    <row r="167" spans="37:37" x14ac:dyDescent="0.2">
      <c r="AK167" s="725"/>
    </row>
    <row r="168" spans="37:37" x14ac:dyDescent="0.2">
      <c r="AK168" s="725"/>
    </row>
    <row r="169" spans="37:37" x14ac:dyDescent="0.2">
      <c r="AK169" s="725"/>
    </row>
    <row r="170" spans="37:37" x14ac:dyDescent="0.2">
      <c r="AK170" s="725"/>
    </row>
    <row r="171" spans="37:37" x14ac:dyDescent="0.2">
      <c r="AK171" s="725"/>
    </row>
    <row r="172" spans="37:37" x14ac:dyDescent="0.2">
      <c r="AK172" s="725"/>
    </row>
    <row r="173" spans="37:37" x14ac:dyDescent="0.2">
      <c r="AK173" s="725"/>
    </row>
    <row r="174" spans="37:37" x14ac:dyDescent="0.2">
      <c r="AK174" s="725"/>
    </row>
    <row r="175" spans="37:37" x14ac:dyDescent="0.2">
      <c r="AK175" s="725"/>
    </row>
    <row r="176" spans="37:37" x14ac:dyDescent="0.2">
      <c r="AK176" s="725"/>
    </row>
    <row r="177" spans="37:37" x14ac:dyDescent="0.2">
      <c r="AK177" s="725"/>
    </row>
    <row r="178" spans="37:37" x14ac:dyDescent="0.2">
      <c r="AK178" s="725"/>
    </row>
    <row r="179" spans="37:37" x14ac:dyDescent="0.2">
      <c r="AK179" s="725"/>
    </row>
    <row r="180" spans="37:37" x14ac:dyDescent="0.2">
      <c r="AK180" s="725"/>
    </row>
    <row r="181" spans="37:37" x14ac:dyDescent="0.2">
      <c r="AK181" s="725"/>
    </row>
    <row r="182" spans="37:37" x14ac:dyDescent="0.2">
      <c r="AK182" s="725"/>
    </row>
    <row r="183" spans="37:37" x14ac:dyDescent="0.2">
      <c r="AK183" s="725"/>
    </row>
    <row r="184" spans="37:37" x14ac:dyDescent="0.2">
      <c r="AK184" s="725"/>
    </row>
    <row r="185" spans="37:37" x14ac:dyDescent="0.2">
      <c r="AK185" s="725"/>
    </row>
    <row r="186" spans="37:37" x14ac:dyDescent="0.2">
      <c r="AK186" s="725"/>
    </row>
    <row r="187" spans="37:37" x14ac:dyDescent="0.2">
      <c r="AK187" s="725"/>
    </row>
    <row r="188" spans="37:37" x14ac:dyDescent="0.2">
      <c r="AK188" s="725"/>
    </row>
    <row r="189" spans="37:37" x14ac:dyDescent="0.2">
      <c r="AK189" s="725"/>
    </row>
    <row r="190" spans="37:37" x14ac:dyDescent="0.2">
      <c r="AK190" s="725"/>
    </row>
    <row r="191" spans="37:37" x14ac:dyDescent="0.2">
      <c r="AK191" s="725"/>
    </row>
    <row r="192" spans="37:37" x14ac:dyDescent="0.2">
      <c r="AK192" s="725"/>
    </row>
    <row r="193" spans="37:37" x14ac:dyDescent="0.2">
      <c r="AK193" s="725"/>
    </row>
    <row r="194" spans="37:37" x14ac:dyDescent="0.2">
      <c r="AK194" s="725"/>
    </row>
    <row r="195" spans="37:37" x14ac:dyDescent="0.2">
      <c r="AK195" s="725"/>
    </row>
    <row r="196" spans="37:37" x14ac:dyDescent="0.2">
      <c r="AK196" s="725"/>
    </row>
    <row r="197" spans="37:37" x14ac:dyDescent="0.2">
      <c r="AK197" s="725"/>
    </row>
    <row r="198" spans="37:37" x14ac:dyDescent="0.2">
      <c r="AK198" s="725"/>
    </row>
    <row r="199" spans="37:37" x14ac:dyDescent="0.2">
      <c r="AK199" s="725"/>
    </row>
    <row r="200" spans="37:37" x14ac:dyDescent="0.2">
      <c r="AK200" s="725"/>
    </row>
    <row r="201" spans="37:37" x14ac:dyDescent="0.2">
      <c r="AK201" s="725"/>
    </row>
    <row r="202" spans="37:37" x14ac:dyDescent="0.2">
      <c r="AK202" s="725"/>
    </row>
    <row r="203" spans="37:37" x14ac:dyDescent="0.2">
      <c r="AK203" s="725"/>
    </row>
    <row r="204" spans="37:37" x14ac:dyDescent="0.2">
      <c r="AK204" s="725"/>
    </row>
    <row r="205" spans="37:37" x14ac:dyDescent="0.2">
      <c r="AK205" s="725"/>
    </row>
    <row r="206" spans="37:37" x14ac:dyDescent="0.2">
      <c r="AK206" s="725"/>
    </row>
    <row r="207" spans="37:37" x14ac:dyDescent="0.2">
      <c r="AK207" s="725"/>
    </row>
    <row r="208" spans="37:37" x14ac:dyDescent="0.2">
      <c r="AK208" s="725"/>
    </row>
    <row r="209" spans="37:37" x14ac:dyDescent="0.2">
      <c r="AK209" s="725"/>
    </row>
    <row r="210" spans="37:37" x14ac:dyDescent="0.2">
      <c r="AK210" s="725"/>
    </row>
    <row r="211" spans="37:37" x14ac:dyDescent="0.2">
      <c r="AK211" s="725"/>
    </row>
    <row r="212" spans="37:37" x14ac:dyDescent="0.2">
      <c r="AK212" s="725"/>
    </row>
    <row r="213" spans="37:37" x14ac:dyDescent="0.2">
      <c r="AK213" s="725"/>
    </row>
    <row r="214" spans="37:37" x14ac:dyDescent="0.2">
      <c r="AK214" s="725"/>
    </row>
    <row r="215" spans="37:37" x14ac:dyDescent="0.2">
      <c r="AK215" s="725"/>
    </row>
    <row r="216" spans="37:37" x14ac:dyDescent="0.2">
      <c r="AK216" s="725"/>
    </row>
    <row r="217" spans="37:37" x14ac:dyDescent="0.2">
      <c r="AK217" s="725"/>
    </row>
    <row r="218" spans="37:37" x14ac:dyDescent="0.2">
      <c r="AK218" s="725"/>
    </row>
    <row r="219" spans="37:37" x14ac:dyDescent="0.2">
      <c r="AK219" s="725"/>
    </row>
    <row r="220" spans="37:37" x14ac:dyDescent="0.2">
      <c r="AK220" s="725"/>
    </row>
    <row r="221" spans="37:37" x14ac:dyDescent="0.2">
      <c r="AK221" s="725"/>
    </row>
    <row r="222" spans="37:37" x14ac:dyDescent="0.2">
      <c r="AK222" s="725"/>
    </row>
    <row r="223" spans="37:37" x14ac:dyDescent="0.2">
      <c r="AK223" s="725"/>
    </row>
    <row r="224" spans="37:37" x14ac:dyDescent="0.2">
      <c r="AK224" s="725"/>
    </row>
    <row r="225" spans="37:37" x14ac:dyDescent="0.2">
      <c r="AK225" s="725"/>
    </row>
    <row r="226" spans="37:37" x14ac:dyDescent="0.2">
      <c r="AK226" s="725"/>
    </row>
    <row r="227" spans="37:37" x14ac:dyDescent="0.2">
      <c r="AK227" s="725"/>
    </row>
    <row r="228" spans="37:37" x14ac:dyDescent="0.2">
      <c r="AK228" s="725"/>
    </row>
    <row r="229" spans="37:37" x14ac:dyDescent="0.2">
      <c r="AK229" s="725"/>
    </row>
    <row r="230" spans="37:37" x14ac:dyDescent="0.2">
      <c r="AK230" s="725"/>
    </row>
    <row r="231" spans="37:37" x14ac:dyDescent="0.2">
      <c r="AK231" s="725"/>
    </row>
    <row r="232" spans="37:37" x14ac:dyDescent="0.2">
      <c r="AK232" s="725"/>
    </row>
    <row r="233" spans="37:37" x14ac:dyDescent="0.2">
      <c r="AK233" s="725"/>
    </row>
    <row r="234" spans="37:37" x14ac:dyDescent="0.2">
      <c r="AK234" s="725"/>
    </row>
    <row r="235" spans="37:37" x14ac:dyDescent="0.2">
      <c r="AK235" s="725"/>
    </row>
    <row r="236" spans="37:37" x14ac:dyDescent="0.2">
      <c r="AK236" s="725"/>
    </row>
    <row r="237" spans="37:37" x14ac:dyDescent="0.2">
      <c r="AK237" s="725"/>
    </row>
    <row r="238" spans="37:37" x14ac:dyDescent="0.2">
      <c r="AK238" s="725"/>
    </row>
    <row r="239" spans="37:37" x14ac:dyDescent="0.2">
      <c r="AK239" s="725"/>
    </row>
    <row r="240" spans="37:37" x14ac:dyDescent="0.2">
      <c r="AK240" s="725"/>
    </row>
    <row r="241" spans="37:37" x14ac:dyDescent="0.2">
      <c r="AK241" s="725"/>
    </row>
    <row r="242" spans="37:37" x14ac:dyDescent="0.2">
      <c r="AK242" s="725"/>
    </row>
    <row r="243" spans="37:37" x14ac:dyDescent="0.2">
      <c r="AK243" s="725"/>
    </row>
    <row r="244" spans="37:37" x14ac:dyDescent="0.2">
      <c r="AK244" s="725"/>
    </row>
    <row r="245" spans="37:37" x14ac:dyDescent="0.2">
      <c r="AK245" s="725"/>
    </row>
    <row r="246" spans="37:37" x14ac:dyDescent="0.2">
      <c r="AK246" s="725"/>
    </row>
    <row r="247" spans="37:37" x14ac:dyDescent="0.2">
      <c r="AK247" s="725"/>
    </row>
    <row r="248" spans="37:37" x14ac:dyDescent="0.2">
      <c r="AK248" s="725"/>
    </row>
    <row r="249" spans="37:37" x14ac:dyDescent="0.2">
      <c r="AK249" s="725"/>
    </row>
    <row r="250" spans="37:37" x14ac:dyDescent="0.2">
      <c r="AK250" s="725"/>
    </row>
    <row r="251" spans="37:37" x14ac:dyDescent="0.2">
      <c r="AK251" s="725"/>
    </row>
    <row r="252" spans="37:37" x14ac:dyDescent="0.2">
      <c r="AK252" s="725"/>
    </row>
    <row r="253" spans="37:37" x14ac:dyDescent="0.2">
      <c r="AK253" s="725"/>
    </row>
    <row r="254" spans="37:37" x14ac:dyDescent="0.2">
      <c r="AK254" s="725"/>
    </row>
    <row r="255" spans="37:37" x14ac:dyDescent="0.2">
      <c r="AK255" s="725"/>
    </row>
    <row r="256" spans="37:37" x14ac:dyDescent="0.2">
      <c r="AK256" s="725"/>
    </row>
    <row r="257" spans="37:37" x14ac:dyDescent="0.2">
      <c r="AK257" s="725"/>
    </row>
    <row r="258" spans="37:37" x14ac:dyDescent="0.2">
      <c r="AK258" s="725"/>
    </row>
    <row r="259" spans="37:37" x14ac:dyDescent="0.2">
      <c r="AK259" s="725"/>
    </row>
    <row r="260" spans="37:37" x14ac:dyDescent="0.2">
      <c r="AK260" s="725"/>
    </row>
    <row r="261" spans="37:37" x14ac:dyDescent="0.2">
      <c r="AK261" s="725"/>
    </row>
    <row r="262" spans="37:37" x14ac:dyDescent="0.2">
      <c r="AK262" s="725"/>
    </row>
    <row r="263" spans="37:37" x14ac:dyDescent="0.2">
      <c r="AK263" s="725"/>
    </row>
    <row r="264" spans="37:37" x14ac:dyDescent="0.2">
      <c r="AK264" s="725"/>
    </row>
    <row r="265" spans="37:37" x14ac:dyDescent="0.2">
      <c r="AK265" s="725"/>
    </row>
    <row r="266" spans="37:37" x14ac:dyDescent="0.2">
      <c r="AK266" s="725"/>
    </row>
    <row r="267" spans="37:37" x14ac:dyDescent="0.2">
      <c r="AK267" s="725"/>
    </row>
    <row r="268" spans="37:37" x14ac:dyDescent="0.2">
      <c r="AK268" s="725"/>
    </row>
    <row r="269" spans="37:37" x14ac:dyDescent="0.2">
      <c r="AK269" s="725"/>
    </row>
    <row r="270" spans="37:37" x14ac:dyDescent="0.2">
      <c r="AK270" s="725"/>
    </row>
    <row r="271" spans="37:37" x14ac:dyDescent="0.2">
      <c r="AK271" s="725"/>
    </row>
    <row r="272" spans="37:37" x14ac:dyDescent="0.2">
      <c r="AK272" s="725"/>
    </row>
    <row r="273" spans="37:37" x14ac:dyDescent="0.2">
      <c r="AK273" s="725"/>
    </row>
    <row r="274" spans="37:37" x14ac:dyDescent="0.2">
      <c r="AK274" s="725"/>
    </row>
    <row r="275" spans="37:37" x14ac:dyDescent="0.2">
      <c r="AK275" s="725"/>
    </row>
    <row r="276" spans="37:37" x14ac:dyDescent="0.2">
      <c r="AK276" s="725"/>
    </row>
    <row r="277" spans="37:37" x14ac:dyDescent="0.2">
      <c r="AK277" s="725"/>
    </row>
    <row r="278" spans="37:37" x14ac:dyDescent="0.2">
      <c r="AK278" s="725"/>
    </row>
    <row r="279" spans="37:37" x14ac:dyDescent="0.2">
      <c r="AK279" s="725"/>
    </row>
    <row r="280" spans="37:37" x14ac:dyDescent="0.2">
      <c r="AK280" s="725"/>
    </row>
    <row r="281" spans="37:37" x14ac:dyDescent="0.2">
      <c r="AK281" s="725"/>
    </row>
    <row r="282" spans="37:37" x14ac:dyDescent="0.2">
      <c r="AK282" s="725"/>
    </row>
    <row r="283" spans="37:37" x14ac:dyDescent="0.2">
      <c r="AK283" s="725"/>
    </row>
    <row r="284" spans="37:37" x14ac:dyDescent="0.2">
      <c r="AK284" s="725"/>
    </row>
    <row r="285" spans="37:37" x14ac:dyDescent="0.2">
      <c r="AK285" s="725"/>
    </row>
    <row r="286" spans="37:37" x14ac:dyDescent="0.2">
      <c r="AK286" s="725"/>
    </row>
    <row r="287" spans="37:37" x14ac:dyDescent="0.2">
      <c r="AK287" s="725"/>
    </row>
    <row r="288" spans="37:37" x14ac:dyDescent="0.2">
      <c r="AK288" s="725"/>
    </row>
    <row r="289" spans="37:37" x14ac:dyDescent="0.2">
      <c r="AK289" s="725"/>
    </row>
    <row r="290" spans="37:37" x14ac:dyDescent="0.2">
      <c r="AK290" s="725"/>
    </row>
    <row r="291" spans="37:37" x14ac:dyDescent="0.2">
      <c r="AK291" s="725"/>
    </row>
    <row r="292" spans="37:37" x14ac:dyDescent="0.2">
      <c r="AK292" s="725"/>
    </row>
    <row r="293" spans="37:37" x14ac:dyDescent="0.2">
      <c r="AK293" s="725"/>
    </row>
    <row r="294" spans="37:37" x14ac:dyDescent="0.2">
      <c r="AK294" s="725"/>
    </row>
    <row r="295" spans="37:37" x14ac:dyDescent="0.2">
      <c r="AK295" s="725"/>
    </row>
    <row r="296" spans="37:37" x14ac:dyDescent="0.2">
      <c r="AK296" s="725"/>
    </row>
    <row r="297" spans="37:37" x14ac:dyDescent="0.2">
      <c r="AK297" s="725"/>
    </row>
    <row r="298" spans="37:37" x14ac:dyDescent="0.2">
      <c r="AK298" s="725"/>
    </row>
    <row r="299" spans="37:37" x14ac:dyDescent="0.2">
      <c r="AK299" s="725"/>
    </row>
    <row r="300" spans="37:37" x14ac:dyDescent="0.2">
      <c r="AK300" s="725"/>
    </row>
    <row r="301" spans="37:37" x14ac:dyDescent="0.2">
      <c r="AK301" s="725"/>
    </row>
    <row r="302" spans="37:37" x14ac:dyDescent="0.2">
      <c r="AK302" s="725"/>
    </row>
    <row r="303" spans="37:37" x14ac:dyDescent="0.2">
      <c r="AK303" s="725"/>
    </row>
    <row r="304" spans="37:37" x14ac:dyDescent="0.2">
      <c r="AK304" s="725"/>
    </row>
    <row r="305" spans="37:37" x14ac:dyDescent="0.2">
      <c r="AK305" s="725"/>
    </row>
    <row r="306" spans="37:37" x14ac:dyDescent="0.2">
      <c r="AK306" s="725"/>
    </row>
    <row r="307" spans="37:37" x14ac:dyDescent="0.2">
      <c r="AK307" s="725"/>
    </row>
    <row r="308" spans="37:37" x14ac:dyDescent="0.2">
      <c r="AK308" s="725"/>
    </row>
    <row r="309" spans="37:37" x14ac:dyDescent="0.2">
      <c r="AK309" s="725"/>
    </row>
    <row r="310" spans="37:37" x14ac:dyDescent="0.2">
      <c r="AK310" s="725"/>
    </row>
    <row r="311" spans="37:37" x14ac:dyDescent="0.2">
      <c r="AK311" s="725"/>
    </row>
    <row r="312" spans="37:37" x14ac:dyDescent="0.2">
      <c r="AK312" s="725"/>
    </row>
    <row r="313" spans="37:37" x14ac:dyDescent="0.2">
      <c r="AK313" s="725"/>
    </row>
    <row r="314" spans="37:37" x14ac:dyDescent="0.2">
      <c r="AK314" s="725"/>
    </row>
    <row r="315" spans="37:37" x14ac:dyDescent="0.2">
      <c r="AK315" s="725"/>
    </row>
    <row r="316" spans="37:37" x14ac:dyDescent="0.2">
      <c r="AK316" s="725"/>
    </row>
    <row r="317" spans="37:37" x14ac:dyDescent="0.2">
      <c r="AK317" s="725"/>
    </row>
    <row r="318" spans="37:37" x14ac:dyDescent="0.2">
      <c r="AK318" s="725"/>
    </row>
    <row r="319" spans="37:37" x14ac:dyDescent="0.2">
      <c r="AK319" s="725"/>
    </row>
    <row r="320" spans="37:37" x14ac:dyDescent="0.2">
      <c r="AK320" s="725"/>
    </row>
    <row r="321" spans="37:37" x14ac:dyDescent="0.2">
      <c r="AK321" s="725"/>
    </row>
    <row r="322" spans="37:37" x14ac:dyDescent="0.2">
      <c r="AK322" s="725"/>
    </row>
    <row r="323" spans="37:37" x14ac:dyDescent="0.2">
      <c r="AK323" s="725"/>
    </row>
    <row r="324" spans="37:37" x14ac:dyDescent="0.2">
      <c r="AK324" s="725"/>
    </row>
    <row r="325" spans="37:37" x14ac:dyDescent="0.2">
      <c r="AK325" s="725"/>
    </row>
    <row r="326" spans="37:37" x14ac:dyDescent="0.2">
      <c r="AK326" s="725"/>
    </row>
    <row r="327" spans="37:37" x14ac:dyDescent="0.2">
      <c r="AK327" s="725"/>
    </row>
    <row r="328" spans="37:37" x14ac:dyDescent="0.2">
      <c r="AK328" s="725"/>
    </row>
    <row r="329" spans="37:37" x14ac:dyDescent="0.2">
      <c r="AK329" s="725"/>
    </row>
    <row r="330" spans="37:37" x14ac:dyDescent="0.2">
      <c r="AK330" s="725"/>
    </row>
    <row r="331" spans="37:37" x14ac:dyDescent="0.2">
      <c r="AK331" s="725"/>
    </row>
    <row r="332" spans="37:37" x14ac:dyDescent="0.2">
      <c r="AK332" s="725"/>
    </row>
    <row r="333" spans="37:37" x14ac:dyDescent="0.2">
      <c r="AK333" s="725"/>
    </row>
    <row r="334" spans="37:37" x14ac:dyDescent="0.2">
      <c r="AK334" s="725"/>
    </row>
    <row r="335" spans="37:37" x14ac:dyDescent="0.2">
      <c r="AK335" s="725"/>
    </row>
    <row r="336" spans="37:37" x14ac:dyDescent="0.2">
      <c r="AK336" s="725"/>
    </row>
    <row r="337" spans="37:37" x14ac:dyDescent="0.2">
      <c r="AK337" s="725"/>
    </row>
    <row r="338" spans="37:37" x14ac:dyDescent="0.2">
      <c r="AK338" s="725"/>
    </row>
    <row r="339" spans="37:37" x14ac:dyDescent="0.2">
      <c r="AK339" s="725"/>
    </row>
    <row r="340" spans="37:37" x14ac:dyDescent="0.2">
      <c r="AK340" s="725"/>
    </row>
    <row r="341" spans="37:37" x14ac:dyDescent="0.2">
      <c r="AK341" s="725"/>
    </row>
    <row r="342" spans="37:37" x14ac:dyDescent="0.2">
      <c r="AK342" s="725"/>
    </row>
    <row r="343" spans="37:37" x14ac:dyDescent="0.2">
      <c r="AK343" s="725"/>
    </row>
    <row r="344" spans="37:37" x14ac:dyDescent="0.2">
      <c r="AK344" s="725"/>
    </row>
    <row r="345" spans="37:37" x14ac:dyDescent="0.2">
      <c r="AK345" s="725"/>
    </row>
    <row r="346" spans="37:37" x14ac:dyDescent="0.2">
      <c r="AK346" s="725"/>
    </row>
    <row r="347" spans="37:37" x14ac:dyDescent="0.2">
      <c r="AK347" s="725"/>
    </row>
    <row r="348" spans="37:37" x14ac:dyDescent="0.2">
      <c r="AK348" s="725"/>
    </row>
    <row r="349" spans="37:37" x14ac:dyDescent="0.2">
      <c r="AK349" s="725"/>
    </row>
    <row r="350" spans="37:37" x14ac:dyDescent="0.2">
      <c r="AK350" s="725"/>
    </row>
    <row r="351" spans="37:37" x14ac:dyDescent="0.2">
      <c r="AK351" s="725"/>
    </row>
    <row r="352" spans="37:37" x14ac:dyDescent="0.2">
      <c r="AK352" s="725"/>
    </row>
    <row r="353" spans="37:37" x14ac:dyDescent="0.2">
      <c r="AK353" s="725"/>
    </row>
    <row r="354" spans="37:37" x14ac:dyDescent="0.2">
      <c r="AK354" s="725"/>
    </row>
    <row r="355" spans="37:37" x14ac:dyDescent="0.2">
      <c r="AK355" s="725"/>
    </row>
    <row r="356" spans="37:37" x14ac:dyDescent="0.2">
      <c r="AK356" s="725"/>
    </row>
    <row r="357" spans="37:37" x14ac:dyDescent="0.2">
      <c r="AK357" s="725"/>
    </row>
    <row r="358" spans="37:37" x14ac:dyDescent="0.2">
      <c r="AK358" s="725"/>
    </row>
    <row r="359" spans="37:37" x14ac:dyDescent="0.2">
      <c r="AK359" s="725"/>
    </row>
    <row r="360" spans="37:37" x14ac:dyDescent="0.2">
      <c r="AK360" s="725"/>
    </row>
    <row r="361" spans="37:37" x14ac:dyDescent="0.2">
      <c r="AK361" s="725"/>
    </row>
    <row r="362" spans="37:37" x14ac:dyDescent="0.2">
      <c r="AK362" s="725"/>
    </row>
    <row r="363" spans="37:37" x14ac:dyDescent="0.2">
      <c r="AK363" s="725"/>
    </row>
    <row r="364" spans="37:37" x14ac:dyDescent="0.2">
      <c r="AK364" s="725"/>
    </row>
    <row r="365" spans="37:37" x14ac:dyDescent="0.2">
      <c r="AK365" s="725"/>
    </row>
    <row r="366" spans="37:37" x14ac:dyDescent="0.2">
      <c r="AK366" s="725"/>
    </row>
    <row r="367" spans="37:37" x14ac:dyDescent="0.2">
      <c r="AK367" s="725"/>
    </row>
    <row r="368" spans="37:37" x14ac:dyDescent="0.2">
      <c r="AK368" s="725"/>
    </row>
    <row r="369" spans="37:37" x14ac:dyDescent="0.2">
      <c r="AK369" s="725"/>
    </row>
    <row r="370" spans="37:37" x14ac:dyDescent="0.2">
      <c r="AK370" s="725"/>
    </row>
    <row r="371" spans="37:37" x14ac:dyDescent="0.2">
      <c r="AK371" s="725"/>
    </row>
    <row r="372" spans="37:37" x14ac:dyDescent="0.2">
      <c r="AK372" s="725"/>
    </row>
    <row r="373" spans="37:37" x14ac:dyDescent="0.2">
      <c r="AK373" s="725"/>
    </row>
    <row r="374" spans="37:37" x14ac:dyDescent="0.2">
      <c r="AK374" s="725"/>
    </row>
    <row r="375" spans="37:37" x14ac:dyDescent="0.2">
      <c r="AK375" s="725"/>
    </row>
    <row r="376" spans="37:37" x14ac:dyDescent="0.2">
      <c r="AK376" s="725"/>
    </row>
    <row r="377" spans="37:37" x14ac:dyDescent="0.2">
      <c r="AK377" s="725"/>
    </row>
    <row r="378" spans="37:37" x14ac:dyDescent="0.2">
      <c r="AK378" s="725"/>
    </row>
    <row r="379" spans="37:37" x14ac:dyDescent="0.2">
      <c r="AK379" s="725"/>
    </row>
    <row r="380" spans="37:37" x14ac:dyDescent="0.2">
      <c r="AK380" s="725"/>
    </row>
    <row r="381" spans="37:37" x14ac:dyDescent="0.2">
      <c r="AK381" s="725"/>
    </row>
    <row r="382" spans="37:37" x14ac:dyDescent="0.2">
      <c r="AK382" s="725"/>
    </row>
    <row r="383" spans="37:37" x14ac:dyDescent="0.2">
      <c r="AK383" s="725"/>
    </row>
    <row r="384" spans="37:37" x14ac:dyDescent="0.2">
      <c r="AK384" s="725"/>
    </row>
    <row r="385" spans="37:37" x14ac:dyDescent="0.2">
      <c r="AK385" s="725"/>
    </row>
    <row r="386" spans="37:37" x14ac:dyDescent="0.2">
      <c r="AK386" s="725"/>
    </row>
    <row r="387" spans="37:37" x14ac:dyDescent="0.2">
      <c r="AK387" s="725"/>
    </row>
    <row r="388" spans="37:37" x14ac:dyDescent="0.2">
      <c r="AK388" s="725"/>
    </row>
    <row r="389" spans="37:37" x14ac:dyDescent="0.2">
      <c r="AK389" s="725"/>
    </row>
    <row r="390" spans="37:37" x14ac:dyDescent="0.2">
      <c r="AK390" s="725"/>
    </row>
    <row r="391" spans="37:37" x14ac:dyDescent="0.2">
      <c r="AK391" s="725"/>
    </row>
    <row r="392" spans="37:37" x14ac:dyDescent="0.2">
      <c r="AK392" s="725"/>
    </row>
    <row r="393" spans="37:37" x14ac:dyDescent="0.2">
      <c r="AK393" s="725"/>
    </row>
    <row r="394" spans="37:37" x14ac:dyDescent="0.2">
      <c r="AK394" s="725"/>
    </row>
    <row r="395" spans="37:37" x14ac:dyDescent="0.2">
      <c r="AK395" s="725"/>
    </row>
    <row r="396" spans="37:37" x14ac:dyDescent="0.2">
      <c r="AK396" s="725"/>
    </row>
    <row r="397" spans="37:37" x14ac:dyDescent="0.2">
      <c r="AK397" s="725"/>
    </row>
    <row r="398" spans="37:37" x14ac:dyDescent="0.2">
      <c r="AK398" s="725"/>
    </row>
    <row r="399" spans="37:37" x14ac:dyDescent="0.2">
      <c r="AK399" s="725"/>
    </row>
    <row r="400" spans="37:37" x14ac:dyDescent="0.2">
      <c r="AK400" s="725"/>
    </row>
    <row r="401" spans="37:37" x14ac:dyDescent="0.2">
      <c r="AK401" s="725"/>
    </row>
    <row r="402" spans="37:37" x14ac:dyDescent="0.2">
      <c r="AK402" s="725"/>
    </row>
    <row r="403" spans="37:37" x14ac:dyDescent="0.2">
      <c r="AK403" s="725"/>
    </row>
    <row r="404" spans="37:37" x14ac:dyDescent="0.2">
      <c r="AK404" s="725"/>
    </row>
    <row r="405" spans="37:37" x14ac:dyDescent="0.2">
      <c r="AK405" s="725"/>
    </row>
    <row r="406" spans="37:37" x14ac:dyDescent="0.2">
      <c r="AK406" s="725"/>
    </row>
    <row r="407" spans="37:37" x14ac:dyDescent="0.2">
      <c r="AK407" s="725"/>
    </row>
    <row r="408" spans="37:37" x14ac:dyDescent="0.2">
      <c r="AK408" s="725"/>
    </row>
    <row r="409" spans="37:37" x14ac:dyDescent="0.2">
      <c r="AK409" s="725"/>
    </row>
    <row r="410" spans="37:37" x14ac:dyDescent="0.2">
      <c r="AK410" s="725"/>
    </row>
    <row r="411" spans="37:37" x14ac:dyDescent="0.2">
      <c r="AK411" s="725"/>
    </row>
    <row r="412" spans="37:37" x14ac:dyDescent="0.2">
      <c r="AK412" s="725"/>
    </row>
    <row r="413" spans="37:37" x14ac:dyDescent="0.2">
      <c r="AK413" s="725"/>
    </row>
    <row r="414" spans="37:37" x14ac:dyDescent="0.2">
      <c r="AK414" s="725"/>
    </row>
    <row r="415" spans="37:37" x14ac:dyDescent="0.2">
      <c r="AK415" s="725"/>
    </row>
    <row r="416" spans="37:37" x14ac:dyDescent="0.2">
      <c r="AK416" s="725"/>
    </row>
    <row r="417" spans="37:37" x14ac:dyDescent="0.2">
      <c r="AK417" s="725"/>
    </row>
    <row r="418" spans="37:37" x14ac:dyDescent="0.2">
      <c r="AK418" s="725"/>
    </row>
    <row r="419" spans="37:37" x14ac:dyDescent="0.2">
      <c r="AK419" s="725"/>
    </row>
    <row r="420" spans="37:37" x14ac:dyDescent="0.2">
      <c r="AK420" s="725"/>
    </row>
    <row r="421" spans="37:37" x14ac:dyDescent="0.2">
      <c r="AK421" s="725"/>
    </row>
    <row r="422" spans="37:37" x14ac:dyDescent="0.2">
      <c r="AK422" s="725"/>
    </row>
    <row r="423" spans="37:37" x14ac:dyDescent="0.2">
      <c r="AK423" s="725"/>
    </row>
    <row r="424" spans="37:37" x14ac:dyDescent="0.2">
      <c r="AK424" s="725"/>
    </row>
    <row r="425" spans="37:37" x14ac:dyDescent="0.2">
      <c r="AK425" s="725"/>
    </row>
    <row r="426" spans="37:37" x14ac:dyDescent="0.2">
      <c r="AK426" s="725"/>
    </row>
    <row r="427" spans="37:37" x14ac:dyDescent="0.2">
      <c r="AK427" s="725"/>
    </row>
    <row r="428" spans="37:37" x14ac:dyDescent="0.2">
      <c r="AK428" s="725"/>
    </row>
    <row r="429" spans="37:37" x14ac:dyDescent="0.2">
      <c r="AK429" s="725"/>
    </row>
    <row r="430" spans="37:37" x14ac:dyDescent="0.2">
      <c r="AK430" s="725"/>
    </row>
    <row r="431" spans="37:37" x14ac:dyDescent="0.2">
      <c r="AK431" s="725"/>
    </row>
    <row r="432" spans="37:37" x14ac:dyDescent="0.2">
      <c r="AK432" s="725"/>
    </row>
    <row r="433" spans="37:37" x14ac:dyDescent="0.2">
      <c r="AK433" s="725"/>
    </row>
    <row r="434" spans="37:37" x14ac:dyDescent="0.2">
      <c r="AK434" s="725"/>
    </row>
    <row r="435" spans="37:37" x14ac:dyDescent="0.2">
      <c r="AK435" s="725"/>
    </row>
    <row r="436" spans="37:37" x14ac:dyDescent="0.2">
      <c r="AK436" s="725"/>
    </row>
    <row r="437" spans="37:37" x14ac:dyDescent="0.2">
      <c r="AK437" s="725"/>
    </row>
    <row r="438" spans="37:37" x14ac:dyDescent="0.2">
      <c r="AK438" s="725"/>
    </row>
    <row r="439" spans="37:37" x14ac:dyDescent="0.2">
      <c r="AK439" s="725"/>
    </row>
    <row r="440" spans="37:37" x14ac:dyDescent="0.2">
      <c r="AK440" s="725"/>
    </row>
    <row r="441" spans="37:37" x14ac:dyDescent="0.2">
      <c r="AK441" s="725"/>
    </row>
    <row r="442" spans="37:37" x14ac:dyDescent="0.2">
      <c r="AK442" s="725"/>
    </row>
    <row r="443" spans="37:37" x14ac:dyDescent="0.2">
      <c r="AK443" s="725"/>
    </row>
    <row r="444" spans="37:37" x14ac:dyDescent="0.2">
      <c r="AK444" s="725"/>
    </row>
    <row r="445" spans="37:37" x14ac:dyDescent="0.2">
      <c r="AK445" s="725"/>
    </row>
    <row r="446" spans="37:37" x14ac:dyDescent="0.2">
      <c r="AK446" s="725"/>
    </row>
    <row r="447" spans="37:37" x14ac:dyDescent="0.2">
      <c r="AK447" s="725"/>
    </row>
    <row r="448" spans="37:37" x14ac:dyDescent="0.2">
      <c r="AK448" s="725"/>
    </row>
    <row r="449" spans="37:37" x14ac:dyDescent="0.2">
      <c r="AK449" s="725"/>
    </row>
    <row r="450" spans="37:37" x14ac:dyDescent="0.2">
      <c r="AK450" s="725"/>
    </row>
    <row r="451" spans="37:37" x14ac:dyDescent="0.2">
      <c r="AK451" s="725"/>
    </row>
    <row r="452" spans="37:37" x14ac:dyDescent="0.2">
      <c r="AK452" s="725"/>
    </row>
    <row r="453" spans="37:37" x14ac:dyDescent="0.2">
      <c r="AK453" s="725"/>
    </row>
    <row r="454" spans="37:37" x14ac:dyDescent="0.2">
      <c r="AK454" s="725"/>
    </row>
    <row r="455" spans="37:37" x14ac:dyDescent="0.2">
      <c r="AK455" s="725"/>
    </row>
    <row r="456" spans="37:37" x14ac:dyDescent="0.2">
      <c r="AK456" s="725"/>
    </row>
    <row r="457" spans="37:37" x14ac:dyDescent="0.2">
      <c r="AK457" s="725"/>
    </row>
    <row r="458" spans="37:37" x14ac:dyDescent="0.2">
      <c r="AK458" s="725"/>
    </row>
    <row r="459" spans="37:37" x14ac:dyDescent="0.2">
      <c r="AK459" s="725"/>
    </row>
    <row r="460" spans="37:37" x14ac:dyDescent="0.2">
      <c r="AK460" s="725"/>
    </row>
    <row r="461" spans="37:37" x14ac:dyDescent="0.2">
      <c r="AK461" s="725"/>
    </row>
    <row r="462" spans="37:37" x14ac:dyDescent="0.2">
      <c r="AK462" s="725"/>
    </row>
    <row r="463" spans="37:37" x14ac:dyDescent="0.2">
      <c r="AK463" s="725"/>
    </row>
    <row r="464" spans="37:37" x14ac:dyDescent="0.2">
      <c r="AK464" s="725"/>
    </row>
    <row r="465" spans="37:37" x14ac:dyDescent="0.2">
      <c r="AK465" s="725"/>
    </row>
    <row r="466" spans="37:37" x14ac:dyDescent="0.2">
      <c r="AK466" s="725"/>
    </row>
    <row r="467" spans="37:37" x14ac:dyDescent="0.2">
      <c r="AK467" s="725"/>
    </row>
    <row r="468" spans="37:37" x14ac:dyDescent="0.2">
      <c r="AK468" s="725"/>
    </row>
    <row r="469" spans="37:37" x14ac:dyDescent="0.2">
      <c r="AK469" s="725"/>
    </row>
    <row r="470" spans="37:37" x14ac:dyDescent="0.2">
      <c r="AK470" s="725"/>
    </row>
    <row r="471" spans="37:37" x14ac:dyDescent="0.2">
      <c r="AK471" s="725"/>
    </row>
    <row r="472" spans="37:37" x14ac:dyDescent="0.2">
      <c r="AK472" s="725"/>
    </row>
    <row r="473" spans="37:37" x14ac:dyDescent="0.2">
      <c r="AK473" s="725"/>
    </row>
    <row r="474" spans="37:37" x14ac:dyDescent="0.2">
      <c r="AK474" s="725"/>
    </row>
    <row r="475" spans="37:37" x14ac:dyDescent="0.2">
      <c r="AK475" s="725"/>
    </row>
    <row r="476" spans="37:37" x14ac:dyDescent="0.2">
      <c r="AK476" s="725"/>
    </row>
    <row r="477" spans="37:37" x14ac:dyDescent="0.2">
      <c r="AK477" s="725"/>
    </row>
    <row r="478" spans="37:37" x14ac:dyDescent="0.2">
      <c r="AK478" s="725"/>
    </row>
    <row r="479" spans="37:37" x14ac:dyDescent="0.2">
      <c r="AK479" s="725"/>
    </row>
    <row r="480" spans="37:37" x14ac:dyDescent="0.2">
      <c r="AK480" s="725"/>
    </row>
    <row r="481" spans="37:37" x14ac:dyDescent="0.2">
      <c r="AK481" s="725"/>
    </row>
    <row r="482" spans="37:37" x14ac:dyDescent="0.2">
      <c r="AK482" s="725"/>
    </row>
    <row r="483" spans="37:37" x14ac:dyDescent="0.2">
      <c r="AK483" s="725"/>
    </row>
    <row r="484" spans="37:37" x14ac:dyDescent="0.2">
      <c r="AK484" s="725"/>
    </row>
    <row r="485" spans="37:37" x14ac:dyDescent="0.2">
      <c r="AK485" s="725"/>
    </row>
    <row r="486" spans="37:37" x14ac:dyDescent="0.2">
      <c r="AK486" s="725"/>
    </row>
    <row r="487" spans="37:37" x14ac:dyDescent="0.2">
      <c r="AK487" s="725"/>
    </row>
    <row r="488" spans="37:37" x14ac:dyDescent="0.2">
      <c r="AK488" s="725"/>
    </row>
    <row r="489" spans="37:37" x14ac:dyDescent="0.2">
      <c r="AK489" s="725"/>
    </row>
    <row r="490" spans="37:37" x14ac:dyDescent="0.2">
      <c r="AK490" s="725"/>
    </row>
    <row r="491" spans="37:37" x14ac:dyDescent="0.2">
      <c r="AK491" s="725"/>
    </row>
    <row r="492" spans="37:37" x14ac:dyDescent="0.2">
      <c r="AK492" s="725"/>
    </row>
    <row r="493" spans="37:37" x14ac:dyDescent="0.2">
      <c r="AK493" s="725"/>
    </row>
    <row r="494" spans="37:37" x14ac:dyDescent="0.2">
      <c r="AK494" s="725"/>
    </row>
    <row r="495" spans="37:37" x14ac:dyDescent="0.2">
      <c r="AK495" s="725"/>
    </row>
    <row r="496" spans="37:37" x14ac:dyDescent="0.2">
      <c r="AK496" s="725"/>
    </row>
    <row r="497" spans="37:37" x14ac:dyDescent="0.2">
      <c r="AK497" s="725"/>
    </row>
    <row r="498" spans="37:37" x14ac:dyDescent="0.2">
      <c r="AK498" s="725"/>
    </row>
    <row r="499" spans="37:37" x14ac:dyDescent="0.2">
      <c r="AK499" s="725"/>
    </row>
    <row r="500" spans="37:37" x14ac:dyDescent="0.2">
      <c r="AK500" s="725"/>
    </row>
    <row r="501" spans="37:37" x14ac:dyDescent="0.2">
      <c r="AK501" s="725"/>
    </row>
    <row r="502" spans="37:37" x14ac:dyDescent="0.2">
      <c r="AK502" s="725"/>
    </row>
    <row r="503" spans="37:37" x14ac:dyDescent="0.2">
      <c r="AK503" s="725"/>
    </row>
    <row r="504" spans="37:37" x14ac:dyDescent="0.2">
      <c r="AK504" s="725"/>
    </row>
    <row r="505" spans="37:37" x14ac:dyDescent="0.2">
      <c r="AK505" s="725"/>
    </row>
    <row r="506" spans="37:37" x14ac:dyDescent="0.2">
      <c r="AK506" s="725"/>
    </row>
    <row r="507" spans="37:37" x14ac:dyDescent="0.2">
      <c r="AK507" s="725"/>
    </row>
    <row r="508" spans="37:37" x14ac:dyDescent="0.2">
      <c r="AK508" s="725"/>
    </row>
    <row r="509" spans="37:37" x14ac:dyDescent="0.2">
      <c r="AK509" s="725"/>
    </row>
    <row r="510" spans="37:37" x14ac:dyDescent="0.2">
      <c r="AK510" s="725"/>
    </row>
    <row r="511" spans="37:37" x14ac:dyDescent="0.2">
      <c r="AK511" s="725"/>
    </row>
    <row r="512" spans="37:37" x14ac:dyDescent="0.2">
      <c r="AK512" s="725"/>
    </row>
    <row r="513" spans="37:37" x14ac:dyDescent="0.2">
      <c r="AK513" s="725"/>
    </row>
    <row r="514" spans="37:37" x14ac:dyDescent="0.2">
      <c r="AK514" s="725"/>
    </row>
    <row r="515" spans="37:37" x14ac:dyDescent="0.2">
      <c r="AK515" s="725"/>
    </row>
    <row r="516" spans="37:37" x14ac:dyDescent="0.2">
      <c r="AK516" s="725"/>
    </row>
    <row r="517" spans="37:37" x14ac:dyDescent="0.2">
      <c r="AK517" s="725"/>
    </row>
    <row r="518" spans="37:37" x14ac:dyDescent="0.2">
      <c r="AK518" s="725"/>
    </row>
    <row r="519" spans="37:37" x14ac:dyDescent="0.2">
      <c r="AK519" s="725"/>
    </row>
    <row r="520" spans="37:37" x14ac:dyDescent="0.2">
      <c r="AK520" s="725"/>
    </row>
    <row r="521" spans="37:37" x14ac:dyDescent="0.2">
      <c r="AK521" s="725"/>
    </row>
    <row r="522" spans="37:37" x14ac:dyDescent="0.2">
      <c r="AK522" s="725"/>
    </row>
    <row r="523" spans="37:37" x14ac:dyDescent="0.2">
      <c r="AK523" s="725"/>
    </row>
    <row r="524" spans="37:37" x14ac:dyDescent="0.2">
      <c r="AK524" s="725"/>
    </row>
    <row r="525" spans="37:37" x14ac:dyDescent="0.2">
      <c r="AK525" s="725"/>
    </row>
    <row r="526" spans="37:37" x14ac:dyDescent="0.2">
      <c r="AK526" s="725"/>
    </row>
    <row r="527" spans="37:37" x14ac:dyDescent="0.2">
      <c r="AK527" s="725"/>
    </row>
    <row r="528" spans="37:37" x14ac:dyDescent="0.2">
      <c r="AK528" s="725"/>
    </row>
    <row r="529" spans="37:37" x14ac:dyDescent="0.2">
      <c r="AK529" s="725"/>
    </row>
    <row r="530" spans="37:37" x14ac:dyDescent="0.2">
      <c r="AK530" s="725"/>
    </row>
    <row r="531" spans="37:37" x14ac:dyDescent="0.2">
      <c r="AK531" s="725"/>
    </row>
    <row r="532" spans="37:37" x14ac:dyDescent="0.2">
      <c r="AK532" s="725"/>
    </row>
    <row r="533" spans="37:37" x14ac:dyDescent="0.2">
      <c r="AK533" s="725"/>
    </row>
    <row r="534" spans="37:37" x14ac:dyDescent="0.2">
      <c r="AK534" s="725"/>
    </row>
    <row r="535" spans="37:37" x14ac:dyDescent="0.2">
      <c r="AK535" s="725"/>
    </row>
    <row r="536" spans="37:37" x14ac:dyDescent="0.2">
      <c r="AK536" s="725"/>
    </row>
    <row r="537" spans="37:37" x14ac:dyDescent="0.2">
      <c r="AK537" s="725"/>
    </row>
    <row r="538" spans="37:37" x14ac:dyDescent="0.2">
      <c r="AK538" s="725"/>
    </row>
    <row r="539" spans="37:37" x14ac:dyDescent="0.2">
      <c r="AK539" s="725"/>
    </row>
    <row r="540" spans="37:37" x14ac:dyDescent="0.2">
      <c r="AK540" s="725"/>
    </row>
    <row r="541" spans="37:37" x14ac:dyDescent="0.2">
      <c r="AK541" s="725"/>
    </row>
    <row r="542" spans="37:37" x14ac:dyDescent="0.2">
      <c r="AK542" s="725"/>
    </row>
    <row r="543" spans="37:37" x14ac:dyDescent="0.2">
      <c r="AK543" s="725"/>
    </row>
    <row r="544" spans="37:37" x14ac:dyDescent="0.2">
      <c r="AK544" s="725"/>
    </row>
    <row r="545" spans="37:37" x14ac:dyDescent="0.2">
      <c r="AK545" s="725"/>
    </row>
    <row r="546" spans="37:37" x14ac:dyDescent="0.2">
      <c r="AK546" s="725"/>
    </row>
    <row r="547" spans="37:37" x14ac:dyDescent="0.2">
      <c r="AK547" s="725"/>
    </row>
    <row r="548" spans="37:37" x14ac:dyDescent="0.2">
      <c r="AK548" s="725"/>
    </row>
    <row r="549" spans="37:37" x14ac:dyDescent="0.2">
      <c r="AK549" s="725"/>
    </row>
    <row r="550" spans="37:37" x14ac:dyDescent="0.2">
      <c r="AK550" s="725"/>
    </row>
    <row r="551" spans="37:37" x14ac:dyDescent="0.2">
      <c r="AK551" s="725"/>
    </row>
    <row r="552" spans="37:37" x14ac:dyDescent="0.2">
      <c r="AK552" s="725"/>
    </row>
    <row r="553" spans="37:37" x14ac:dyDescent="0.2">
      <c r="AK553" s="725"/>
    </row>
    <row r="554" spans="37:37" x14ac:dyDescent="0.2">
      <c r="AK554" s="725"/>
    </row>
    <row r="555" spans="37:37" x14ac:dyDescent="0.2">
      <c r="AK555" s="725"/>
    </row>
    <row r="556" spans="37:37" x14ac:dyDescent="0.2">
      <c r="AK556" s="725"/>
    </row>
    <row r="557" spans="37:37" x14ac:dyDescent="0.2">
      <c r="AK557" s="725"/>
    </row>
    <row r="558" spans="37:37" x14ac:dyDescent="0.2">
      <c r="AK558" s="725"/>
    </row>
    <row r="559" spans="37:37" x14ac:dyDescent="0.2">
      <c r="AK559" s="725"/>
    </row>
    <row r="560" spans="37:37" x14ac:dyDescent="0.2">
      <c r="AK560" s="725"/>
    </row>
    <row r="561" spans="37:37" x14ac:dyDescent="0.2">
      <c r="AK561" s="725"/>
    </row>
    <row r="562" spans="37:37" x14ac:dyDescent="0.2">
      <c r="AK562" s="725"/>
    </row>
    <row r="563" spans="37:37" x14ac:dyDescent="0.2">
      <c r="AK563" s="725"/>
    </row>
    <row r="564" spans="37:37" x14ac:dyDescent="0.2">
      <c r="AK564" s="725"/>
    </row>
    <row r="565" spans="37:37" x14ac:dyDescent="0.2">
      <c r="AK565" s="725"/>
    </row>
    <row r="566" spans="37:37" x14ac:dyDescent="0.2">
      <c r="AK566" s="725"/>
    </row>
    <row r="567" spans="37:37" x14ac:dyDescent="0.2">
      <c r="AK567" s="725"/>
    </row>
    <row r="568" spans="37:37" x14ac:dyDescent="0.2">
      <c r="AK568" s="725"/>
    </row>
    <row r="569" spans="37:37" x14ac:dyDescent="0.2">
      <c r="AK569" s="725"/>
    </row>
    <row r="570" spans="37:37" x14ac:dyDescent="0.2">
      <c r="AK570" s="725"/>
    </row>
    <row r="571" spans="37:37" x14ac:dyDescent="0.2">
      <c r="AK571" s="725"/>
    </row>
    <row r="572" spans="37:37" x14ac:dyDescent="0.2">
      <c r="AK572" s="725"/>
    </row>
    <row r="573" spans="37:37" x14ac:dyDescent="0.2">
      <c r="AK573" s="725"/>
    </row>
    <row r="574" spans="37:37" x14ac:dyDescent="0.2">
      <c r="AK574" s="725"/>
    </row>
    <row r="575" spans="37:37" x14ac:dyDescent="0.2">
      <c r="AK575" s="725"/>
    </row>
    <row r="576" spans="37:37" x14ac:dyDescent="0.2">
      <c r="AK576" s="725"/>
    </row>
    <row r="577" spans="37:37" x14ac:dyDescent="0.2">
      <c r="AK577" s="725"/>
    </row>
    <row r="578" spans="37:37" x14ac:dyDescent="0.2">
      <c r="AK578" s="725"/>
    </row>
    <row r="579" spans="37:37" x14ac:dyDescent="0.2">
      <c r="AK579" s="725"/>
    </row>
    <row r="580" spans="37:37" x14ac:dyDescent="0.2">
      <c r="AK580" s="725"/>
    </row>
    <row r="581" spans="37:37" x14ac:dyDescent="0.2">
      <c r="AK581" s="725"/>
    </row>
    <row r="582" spans="37:37" x14ac:dyDescent="0.2">
      <c r="AK582" s="725"/>
    </row>
    <row r="583" spans="37:37" x14ac:dyDescent="0.2">
      <c r="AK583" s="725"/>
    </row>
    <row r="584" spans="37:37" x14ac:dyDescent="0.2">
      <c r="AK584" s="725"/>
    </row>
    <row r="585" spans="37:37" x14ac:dyDescent="0.2">
      <c r="AK585" s="725"/>
    </row>
    <row r="586" spans="37:37" x14ac:dyDescent="0.2">
      <c r="AK586" s="725"/>
    </row>
    <row r="587" spans="37:37" x14ac:dyDescent="0.2">
      <c r="AK587" s="725"/>
    </row>
    <row r="588" spans="37:37" x14ac:dyDescent="0.2">
      <c r="AK588" s="725"/>
    </row>
    <row r="589" spans="37:37" x14ac:dyDescent="0.2">
      <c r="AK589" s="725"/>
    </row>
    <row r="590" spans="37:37" x14ac:dyDescent="0.2">
      <c r="AK590" s="725"/>
    </row>
    <row r="591" spans="37:37" x14ac:dyDescent="0.2">
      <c r="AK591" s="725"/>
    </row>
    <row r="592" spans="37:37" x14ac:dyDescent="0.2">
      <c r="AK592" s="725"/>
    </row>
    <row r="593" spans="37:37" x14ac:dyDescent="0.2">
      <c r="AK593" s="725"/>
    </row>
    <row r="594" spans="37:37" x14ac:dyDescent="0.2">
      <c r="AK594" s="725"/>
    </row>
    <row r="595" spans="37:37" x14ac:dyDescent="0.2">
      <c r="AK595" s="725"/>
    </row>
    <row r="596" spans="37:37" x14ac:dyDescent="0.2">
      <c r="AK596" s="725"/>
    </row>
    <row r="597" spans="37:37" x14ac:dyDescent="0.2">
      <c r="AK597" s="725"/>
    </row>
    <row r="598" spans="37:37" x14ac:dyDescent="0.2">
      <c r="AK598" s="725"/>
    </row>
    <row r="599" spans="37:37" x14ac:dyDescent="0.2">
      <c r="AK599" s="725"/>
    </row>
    <row r="600" spans="37:37" x14ac:dyDescent="0.2">
      <c r="AK600" s="725"/>
    </row>
    <row r="601" spans="37:37" x14ac:dyDescent="0.2">
      <c r="AK601" s="725"/>
    </row>
    <row r="602" spans="37:37" x14ac:dyDescent="0.2">
      <c r="AK602" s="725"/>
    </row>
    <row r="603" spans="37:37" x14ac:dyDescent="0.2">
      <c r="AK603" s="725"/>
    </row>
    <row r="604" spans="37:37" x14ac:dyDescent="0.2">
      <c r="AK604" s="725"/>
    </row>
    <row r="605" spans="37:37" x14ac:dyDescent="0.2">
      <c r="AK605" s="725"/>
    </row>
    <row r="606" spans="37:37" x14ac:dyDescent="0.2">
      <c r="AK606" s="725"/>
    </row>
    <row r="607" spans="37:37" x14ac:dyDescent="0.2">
      <c r="AK607" s="725"/>
    </row>
    <row r="608" spans="37:37" x14ac:dyDescent="0.2">
      <c r="AK608" s="725"/>
    </row>
    <row r="609" spans="37:37" x14ac:dyDescent="0.2">
      <c r="AK609" s="725"/>
    </row>
    <row r="610" spans="37:37" x14ac:dyDescent="0.2">
      <c r="AK610" s="725"/>
    </row>
    <row r="611" spans="37:37" x14ac:dyDescent="0.2">
      <c r="AK611" s="725"/>
    </row>
    <row r="612" spans="37:37" x14ac:dyDescent="0.2">
      <c r="AK612" s="725"/>
    </row>
    <row r="613" spans="37:37" x14ac:dyDescent="0.2">
      <c r="AK613" s="725"/>
    </row>
    <row r="614" spans="37:37" x14ac:dyDescent="0.2">
      <c r="AK614" s="725"/>
    </row>
    <row r="615" spans="37:37" x14ac:dyDescent="0.2">
      <c r="AK615" s="725"/>
    </row>
    <row r="616" spans="37:37" x14ac:dyDescent="0.2">
      <c r="AK616" s="725"/>
    </row>
    <row r="617" spans="37:37" x14ac:dyDescent="0.2">
      <c r="AK617" s="725"/>
    </row>
    <row r="618" spans="37:37" x14ac:dyDescent="0.2">
      <c r="AK618" s="725"/>
    </row>
    <row r="619" spans="37:37" x14ac:dyDescent="0.2">
      <c r="AK619" s="725"/>
    </row>
    <row r="620" spans="37:37" x14ac:dyDescent="0.2">
      <c r="AK620" s="725"/>
    </row>
    <row r="621" spans="37:37" x14ac:dyDescent="0.2">
      <c r="AK621" s="725"/>
    </row>
    <row r="622" spans="37:37" x14ac:dyDescent="0.2">
      <c r="AK622" s="725"/>
    </row>
    <row r="623" spans="37:37" x14ac:dyDescent="0.2">
      <c r="AK623" s="725"/>
    </row>
    <row r="624" spans="37:37" x14ac:dyDescent="0.2">
      <c r="AK624" s="725"/>
    </row>
    <row r="625" spans="37:37" x14ac:dyDescent="0.2">
      <c r="AK625" s="725"/>
    </row>
    <row r="626" spans="37:37" x14ac:dyDescent="0.2">
      <c r="AK626" s="725"/>
    </row>
    <row r="627" spans="37:37" x14ac:dyDescent="0.2">
      <c r="AK627" s="725"/>
    </row>
    <row r="628" spans="37:37" x14ac:dyDescent="0.2">
      <c r="AK628" s="725"/>
    </row>
    <row r="629" spans="37:37" x14ac:dyDescent="0.2">
      <c r="AK629" s="725"/>
    </row>
    <row r="630" spans="37:37" x14ac:dyDescent="0.2">
      <c r="AK630" s="725"/>
    </row>
    <row r="631" spans="37:37" x14ac:dyDescent="0.2">
      <c r="AK631" s="725"/>
    </row>
    <row r="632" spans="37:37" x14ac:dyDescent="0.2">
      <c r="AK632" s="725"/>
    </row>
    <row r="633" spans="37:37" x14ac:dyDescent="0.2">
      <c r="AK633" s="725"/>
    </row>
    <row r="634" spans="37:37" x14ac:dyDescent="0.2">
      <c r="AK634" s="725"/>
    </row>
    <row r="635" spans="37:37" x14ac:dyDescent="0.2">
      <c r="AK635" s="725"/>
    </row>
    <row r="636" spans="37:37" x14ac:dyDescent="0.2">
      <c r="AK636" s="725"/>
    </row>
    <row r="637" spans="37:37" x14ac:dyDescent="0.2">
      <c r="AK637" s="725"/>
    </row>
    <row r="638" spans="37:37" x14ac:dyDescent="0.2">
      <c r="AK638" s="725"/>
    </row>
    <row r="639" spans="37:37" x14ac:dyDescent="0.2">
      <c r="AK639" s="725"/>
    </row>
    <row r="640" spans="37:37" x14ac:dyDescent="0.2">
      <c r="AK640" s="725"/>
    </row>
    <row r="641" spans="37:37" x14ac:dyDescent="0.2">
      <c r="AK641" s="725"/>
    </row>
    <row r="642" spans="37:37" x14ac:dyDescent="0.2">
      <c r="AK642" s="725"/>
    </row>
    <row r="643" spans="37:37" x14ac:dyDescent="0.2">
      <c r="AK643" s="725"/>
    </row>
    <row r="644" spans="37:37" x14ac:dyDescent="0.2">
      <c r="AK644" s="725"/>
    </row>
    <row r="645" spans="37:37" x14ac:dyDescent="0.2">
      <c r="AK645" s="725"/>
    </row>
    <row r="646" spans="37:37" x14ac:dyDescent="0.2">
      <c r="AK646" s="725"/>
    </row>
    <row r="647" spans="37:37" x14ac:dyDescent="0.2">
      <c r="AK647" s="725"/>
    </row>
    <row r="648" spans="37:37" x14ac:dyDescent="0.2">
      <c r="AK648" s="725"/>
    </row>
    <row r="649" spans="37:37" x14ac:dyDescent="0.2">
      <c r="AK649" s="725"/>
    </row>
    <row r="650" spans="37:37" x14ac:dyDescent="0.2">
      <c r="AK650" s="725"/>
    </row>
    <row r="651" spans="37:37" x14ac:dyDescent="0.2">
      <c r="AK651" s="725"/>
    </row>
    <row r="652" spans="37:37" x14ac:dyDescent="0.2">
      <c r="AK652" s="725"/>
    </row>
    <row r="653" spans="37:37" x14ac:dyDescent="0.2">
      <c r="AK653" s="725"/>
    </row>
    <row r="654" spans="37:37" x14ac:dyDescent="0.2">
      <c r="AK654" s="725"/>
    </row>
    <row r="655" spans="37:37" x14ac:dyDescent="0.2">
      <c r="AK655" s="725"/>
    </row>
    <row r="656" spans="37:37" x14ac:dyDescent="0.2">
      <c r="AK656" s="725"/>
    </row>
    <row r="657" spans="37:37" x14ac:dyDescent="0.2">
      <c r="AK657" s="725"/>
    </row>
    <row r="658" spans="37:37" x14ac:dyDescent="0.2">
      <c r="AK658" s="725"/>
    </row>
    <row r="659" spans="37:37" x14ac:dyDescent="0.2">
      <c r="AK659" s="725"/>
    </row>
    <row r="660" spans="37:37" x14ac:dyDescent="0.2">
      <c r="AK660" s="725"/>
    </row>
    <row r="661" spans="37:37" x14ac:dyDescent="0.2">
      <c r="AK661" s="725"/>
    </row>
    <row r="662" spans="37:37" x14ac:dyDescent="0.2">
      <c r="AK662" s="725"/>
    </row>
    <row r="663" spans="37:37" x14ac:dyDescent="0.2">
      <c r="AK663" s="725"/>
    </row>
    <row r="664" spans="37:37" x14ac:dyDescent="0.2">
      <c r="AK664" s="725"/>
    </row>
    <row r="665" spans="37:37" x14ac:dyDescent="0.2">
      <c r="AK665" s="725"/>
    </row>
    <row r="666" spans="37:37" x14ac:dyDescent="0.2">
      <c r="AK666" s="725"/>
    </row>
    <row r="667" spans="37:37" x14ac:dyDescent="0.2">
      <c r="AK667" s="725"/>
    </row>
    <row r="668" spans="37:37" x14ac:dyDescent="0.2">
      <c r="AK668" s="725"/>
    </row>
    <row r="669" spans="37:37" x14ac:dyDescent="0.2">
      <c r="AK669" s="725"/>
    </row>
    <row r="670" spans="37:37" x14ac:dyDescent="0.2">
      <c r="AK670" s="725"/>
    </row>
    <row r="671" spans="37:37" x14ac:dyDescent="0.2">
      <c r="AK671" s="725"/>
    </row>
    <row r="672" spans="37:37" x14ac:dyDescent="0.2">
      <c r="AK672" s="725"/>
    </row>
    <row r="673" spans="37:37" x14ac:dyDescent="0.2">
      <c r="AK673" s="725"/>
    </row>
    <row r="674" spans="37:37" x14ac:dyDescent="0.2">
      <c r="AK674" s="725"/>
    </row>
    <row r="675" spans="37:37" x14ac:dyDescent="0.2">
      <c r="AK675" s="725"/>
    </row>
    <row r="676" spans="37:37" x14ac:dyDescent="0.2">
      <c r="AK676" s="725"/>
    </row>
    <row r="677" spans="37:37" x14ac:dyDescent="0.2">
      <c r="AK677" s="725"/>
    </row>
    <row r="678" spans="37:37" x14ac:dyDescent="0.2">
      <c r="AK678" s="725"/>
    </row>
    <row r="679" spans="37:37" x14ac:dyDescent="0.2">
      <c r="AK679" s="725"/>
    </row>
    <row r="680" spans="37:37" x14ac:dyDescent="0.2">
      <c r="AK680" s="725"/>
    </row>
    <row r="681" spans="37:37" x14ac:dyDescent="0.2">
      <c r="AK681" s="725"/>
    </row>
    <row r="682" spans="37:37" x14ac:dyDescent="0.2">
      <c r="AK682" s="725"/>
    </row>
    <row r="683" spans="37:37" x14ac:dyDescent="0.2">
      <c r="AK683" s="725"/>
    </row>
    <row r="684" spans="37:37" x14ac:dyDescent="0.2">
      <c r="AK684" s="725"/>
    </row>
    <row r="685" spans="37:37" x14ac:dyDescent="0.2">
      <c r="AK685" s="725"/>
    </row>
    <row r="686" spans="37:37" x14ac:dyDescent="0.2">
      <c r="AK686" s="725"/>
    </row>
    <row r="687" spans="37:37" x14ac:dyDescent="0.2">
      <c r="AK687" s="725"/>
    </row>
    <row r="688" spans="37:37" x14ac:dyDescent="0.2">
      <c r="AK688" s="725"/>
    </row>
    <row r="689" spans="37:37" x14ac:dyDescent="0.2">
      <c r="AK689" s="725"/>
    </row>
    <row r="690" spans="37:37" x14ac:dyDescent="0.2">
      <c r="AK690" s="725"/>
    </row>
    <row r="691" spans="37:37" x14ac:dyDescent="0.2">
      <c r="AK691" s="725"/>
    </row>
    <row r="692" spans="37:37" x14ac:dyDescent="0.2">
      <c r="AK692" s="725"/>
    </row>
    <row r="693" spans="37:37" x14ac:dyDescent="0.2">
      <c r="AK693" s="725"/>
    </row>
    <row r="694" spans="37:37" x14ac:dyDescent="0.2">
      <c r="AK694" s="725"/>
    </row>
    <row r="695" spans="37:37" x14ac:dyDescent="0.2">
      <c r="AK695" s="725"/>
    </row>
    <row r="696" spans="37:37" x14ac:dyDescent="0.2">
      <c r="AK696" s="725"/>
    </row>
    <row r="697" spans="37:37" x14ac:dyDescent="0.2">
      <c r="AK697" s="725"/>
    </row>
    <row r="698" spans="37:37" x14ac:dyDescent="0.2">
      <c r="AK698" s="725"/>
    </row>
    <row r="699" spans="37:37" x14ac:dyDescent="0.2">
      <c r="AK699" s="725"/>
    </row>
    <row r="700" spans="37:37" x14ac:dyDescent="0.2">
      <c r="AK700" s="725"/>
    </row>
    <row r="701" spans="37:37" x14ac:dyDescent="0.2">
      <c r="AK701" s="725"/>
    </row>
    <row r="702" spans="37:37" x14ac:dyDescent="0.2">
      <c r="AK702" s="725"/>
    </row>
    <row r="703" spans="37:37" x14ac:dyDescent="0.2">
      <c r="AK703" s="725"/>
    </row>
    <row r="704" spans="37:37" x14ac:dyDescent="0.2">
      <c r="AK704" s="725"/>
    </row>
    <row r="705" spans="37:37" x14ac:dyDescent="0.2">
      <c r="AK705" s="725"/>
    </row>
    <row r="706" spans="37:37" x14ac:dyDescent="0.2">
      <c r="AK706" s="725"/>
    </row>
    <row r="707" spans="37:37" x14ac:dyDescent="0.2">
      <c r="AK707" s="725"/>
    </row>
    <row r="708" spans="37:37" x14ac:dyDescent="0.2">
      <c r="AK708" s="725"/>
    </row>
    <row r="709" spans="37:37" x14ac:dyDescent="0.2">
      <c r="AK709" s="725"/>
    </row>
    <row r="710" spans="37:37" x14ac:dyDescent="0.2">
      <c r="AK710" s="725"/>
    </row>
    <row r="711" spans="37:37" x14ac:dyDescent="0.2">
      <c r="AK711" s="725"/>
    </row>
    <row r="712" spans="37:37" x14ac:dyDescent="0.2">
      <c r="AK712" s="725"/>
    </row>
    <row r="713" spans="37:37" x14ac:dyDescent="0.2">
      <c r="AK713" s="725"/>
    </row>
    <row r="714" spans="37:37" x14ac:dyDescent="0.2">
      <c r="AK714" s="725"/>
    </row>
    <row r="715" spans="37:37" x14ac:dyDescent="0.2">
      <c r="AK715" s="725"/>
    </row>
    <row r="716" spans="37:37" x14ac:dyDescent="0.2">
      <c r="AK716" s="725"/>
    </row>
    <row r="717" spans="37:37" x14ac:dyDescent="0.2">
      <c r="AK717" s="725"/>
    </row>
    <row r="718" spans="37:37" x14ac:dyDescent="0.2">
      <c r="AK718" s="725"/>
    </row>
    <row r="719" spans="37:37" x14ac:dyDescent="0.2">
      <c r="AK719" s="725"/>
    </row>
    <row r="720" spans="37:37" x14ac:dyDescent="0.2">
      <c r="AK720" s="725"/>
    </row>
    <row r="721" spans="37:37" x14ac:dyDescent="0.2">
      <c r="AK721" s="725"/>
    </row>
    <row r="722" spans="37:37" x14ac:dyDescent="0.2">
      <c r="AK722" s="725"/>
    </row>
    <row r="723" spans="37:37" x14ac:dyDescent="0.2">
      <c r="AK723" s="725"/>
    </row>
    <row r="724" spans="37:37" x14ac:dyDescent="0.2">
      <c r="AK724" s="725"/>
    </row>
    <row r="725" spans="37:37" x14ac:dyDescent="0.2">
      <c r="AK725" s="725"/>
    </row>
    <row r="726" spans="37:37" x14ac:dyDescent="0.2">
      <c r="AK726" s="725"/>
    </row>
    <row r="727" spans="37:37" x14ac:dyDescent="0.2">
      <c r="AK727" s="725"/>
    </row>
    <row r="728" spans="37:37" x14ac:dyDescent="0.2">
      <c r="AK728" s="725"/>
    </row>
    <row r="729" spans="37:37" x14ac:dyDescent="0.2">
      <c r="AK729" s="725"/>
    </row>
    <row r="730" spans="37:37" x14ac:dyDescent="0.2">
      <c r="AK730" s="725"/>
    </row>
    <row r="731" spans="37:37" x14ac:dyDescent="0.2">
      <c r="AK731" s="725"/>
    </row>
    <row r="732" spans="37:37" x14ac:dyDescent="0.2">
      <c r="AK732" s="725"/>
    </row>
    <row r="733" spans="37:37" x14ac:dyDescent="0.2">
      <c r="AK733" s="725"/>
    </row>
    <row r="734" spans="37:37" x14ac:dyDescent="0.2">
      <c r="AK734" s="725"/>
    </row>
    <row r="735" spans="37:37" x14ac:dyDescent="0.2">
      <c r="AK735" s="725"/>
    </row>
    <row r="736" spans="37:37" x14ac:dyDescent="0.2">
      <c r="AK736" s="725"/>
    </row>
    <row r="737" spans="37:37" x14ac:dyDescent="0.2">
      <c r="AK737" s="725"/>
    </row>
    <row r="738" spans="37:37" x14ac:dyDescent="0.2">
      <c r="AK738" s="725"/>
    </row>
    <row r="739" spans="37:37" x14ac:dyDescent="0.2">
      <c r="AK739" s="725"/>
    </row>
    <row r="740" spans="37:37" x14ac:dyDescent="0.2">
      <c r="AK740" s="725"/>
    </row>
    <row r="741" spans="37:37" x14ac:dyDescent="0.2">
      <c r="AK741" s="725"/>
    </row>
    <row r="742" spans="37:37" x14ac:dyDescent="0.2">
      <c r="AK742" s="725"/>
    </row>
    <row r="743" spans="37:37" x14ac:dyDescent="0.2">
      <c r="AK743" s="725"/>
    </row>
    <row r="744" spans="37:37" x14ac:dyDescent="0.2">
      <c r="AK744" s="725"/>
    </row>
    <row r="745" spans="37:37" x14ac:dyDescent="0.2">
      <c r="AK745" s="725"/>
    </row>
    <row r="746" spans="37:37" x14ac:dyDescent="0.2">
      <c r="AK746" s="725"/>
    </row>
    <row r="747" spans="37:37" x14ac:dyDescent="0.2">
      <c r="AK747" s="725"/>
    </row>
    <row r="748" spans="37:37" x14ac:dyDescent="0.2">
      <c r="AK748" s="725"/>
    </row>
    <row r="749" spans="37:37" x14ac:dyDescent="0.2">
      <c r="AK749" s="725"/>
    </row>
    <row r="750" spans="37:37" x14ac:dyDescent="0.2">
      <c r="AK750" s="725"/>
    </row>
    <row r="751" spans="37:37" x14ac:dyDescent="0.2">
      <c r="AK751" s="725"/>
    </row>
    <row r="752" spans="37:37" x14ac:dyDescent="0.2">
      <c r="AK752" s="725"/>
    </row>
    <row r="753" spans="37:37" x14ac:dyDescent="0.2">
      <c r="AK753" s="725"/>
    </row>
    <row r="754" spans="37:37" x14ac:dyDescent="0.2">
      <c r="AK754" s="725"/>
    </row>
    <row r="755" spans="37:37" x14ac:dyDescent="0.2">
      <c r="AK755" s="725"/>
    </row>
    <row r="756" spans="37:37" x14ac:dyDescent="0.2">
      <c r="AK756" s="725"/>
    </row>
    <row r="757" spans="37:37" x14ac:dyDescent="0.2">
      <c r="AK757" s="725"/>
    </row>
    <row r="758" spans="37:37" x14ac:dyDescent="0.2">
      <c r="AK758" s="725"/>
    </row>
    <row r="759" spans="37:37" x14ac:dyDescent="0.2">
      <c r="AK759" s="725"/>
    </row>
    <row r="760" spans="37:37" x14ac:dyDescent="0.2">
      <c r="AK760" s="725"/>
    </row>
    <row r="761" spans="37:37" x14ac:dyDescent="0.2">
      <c r="AK761" s="725"/>
    </row>
    <row r="762" spans="37:37" x14ac:dyDescent="0.2">
      <c r="AK762" s="725"/>
    </row>
    <row r="763" spans="37:37" x14ac:dyDescent="0.2">
      <c r="AK763" s="725"/>
    </row>
    <row r="764" spans="37:37" x14ac:dyDescent="0.2">
      <c r="AK764" s="725"/>
    </row>
    <row r="765" spans="37:37" x14ac:dyDescent="0.2">
      <c r="AK765" s="725"/>
    </row>
    <row r="766" spans="37:37" x14ac:dyDescent="0.2">
      <c r="AK766" s="725"/>
    </row>
    <row r="767" spans="37:37" x14ac:dyDescent="0.2">
      <c r="AK767" s="725"/>
    </row>
    <row r="768" spans="37:37" x14ac:dyDescent="0.2">
      <c r="AK768" s="725"/>
    </row>
    <row r="769" spans="37:37" x14ac:dyDescent="0.2">
      <c r="AK769" s="725"/>
    </row>
    <row r="770" spans="37:37" x14ac:dyDescent="0.2">
      <c r="AK770" s="725"/>
    </row>
    <row r="771" spans="37:37" x14ac:dyDescent="0.2">
      <c r="AK771" s="725"/>
    </row>
    <row r="772" spans="37:37" x14ac:dyDescent="0.2">
      <c r="AK772" s="725"/>
    </row>
    <row r="773" spans="37:37" x14ac:dyDescent="0.2">
      <c r="AK773" s="725"/>
    </row>
    <row r="774" spans="37:37" x14ac:dyDescent="0.2">
      <c r="AK774" s="725"/>
    </row>
    <row r="775" spans="37:37" x14ac:dyDescent="0.2">
      <c r="AK775" s="725"/>
    </row>
    <row r="776" spans="37:37" x14ac:dyDescent="0.2">
      <c r="AK776" s="725"/>
    </row>
    <row r="777" spans="37:37" x14ac:dyDescent="0.2">
      <c r="AK777" s="725"/>
    </row>
    <row r="778" spans="37:37" x14ac:dyDescent="0.2">
      <c r="AK778" s="725"/>
    </row>
    <row r="779" spans="37:37" x14ac:dyDescent="0.2">
      <c r="AK779" s="725"/>
    </row>
    <row r="780" spans="37:37" x14ac:dyDescent="0.2">
      <c r="AK780" s="725"/>
    </row>
    <row r="781" spans="37:37" x14ac:dyDescent="0.2">
      <c r="AK781" s="725"/>
    </row>
    <row r="782" spans="37:37" x14ac:dyDescent="0.2">
      <c r="AK782" s="725"/>
    </row>
    <row r="783" spans="37:37" x14ac:dyDescent="0.2">
      <c r="AK783" s="725"/>
    </row>
    <row r="784" spans="37:37" x14ac:dyDescent="0.2">
      <c r="AK784" s="725"/>
    </row>
    <row r="785" spans="37:37" x14ac:dyDescent="0.2">
      <c r="AK785" s="725"/>
    </row>
    <row r="786" spans="37:37" x14ac:dyDescent="0.2">
      <c r="AK786" s="725"/>
    </row>
    <row r="787" spans="37:37" x14ac:dyDescent="0.2">
      <c r="AK787" s="725"/>
    </row>
    <row r="788" spans="37:37" x14ac:dyDescent="0.2">
      <c r="AK788" s="725"/>
    </row>
    <row r="789" spans="37:37" x14ac:dyDescent="0.2">
      <c r="AK789" s="725"/>
    </row>
    <row r="790" spans="37:37" x14ac:dyDescent="0.2">
      <c r="AK790" s="725"/>
    </row>
    <row r="791" spans="37:37" x14ac:dyDescent="0.2">
      <c r="AK791" s="725"/>
    </row>
    <row r="792" spans="37:37" x14ac:dyDescent="0.2">
      <c r="AK792" s="725"/>
    </row>
    <row r="793" spans="37:37" x14ac:dyDescent="0.2">
      <c r="AK793" s="725"/>
    </row>
    <row r="794" spans="37:37" x14ac:dyDescent="0.2">
      <c r="AK794" s="725"/>
    </row>
    <row r="795" spans="37:37" x14ac:dyDescent="0.2">
      <c r="AK795" s="725"/>
    </row>
    <row r="796" spans="37:37" x14ac:dyDescent="0.2">
      <c r="AK796" s="725"/>
    </row>
    <row r="797" spans="37:37" x14ac:dyDescent="0.2">
      <c r="AK797" s="725"/>
    </row>
    <row r="798" spans="37:37" x14ac:dyDescent="0.2">
      <c r="AK798" s="725"/>
    </row>
    <row r="799" spans="37:37" x14ac:dyDescent="0.2">
      <c r="AK799" s="725"/>
    </row>
    <row r="800" spans="37:37" x14ac:dyDescent="0.2">
      <c r="AK800" s="725"/>
    </row>
    <row r="801" spans="37:37" x14ac:dyDescent="0.2">
      <c r="AK801" s="725"/>
    </row>
    <row r="802" spans="37:37" x14ac:dyDescent="0.2">
      <c r="AK802" s="725"/>
    </row>
    <row r="803" spans="37:37" x14ac:dyDescent="0.2">
      <c r="AK803" s="725"/>
    </row>
    <row r="804" spans="37:37" x14ac:dyDescent="0.2">
      <c r="AK804" s="725"/>
    </row>
    <row r="805" spans="37:37" x14ac:dyDescent="0.2">
      <c r="AK805" s="725"/>
    </row>
    <row r="806" spans="37:37" x14ac:dyDescent="0.2">
      <c r="AK806" s="725"/>
    </row>
    <row r="807" spans="37:37" x14ac:dyDescent="0.2">
      <c r="AK807" s="725"/>
    </row>
    <row r="808" spans="37:37" x14ac:dyDescent="0.2">
      <c r="AK808" s="725"/>
    </row>
    <row r="809" spans="37:37" x14ac:dyDescent="0.2">
      <c r="AK809" s="725"/>
    </row>
    <row r="810" spans="37:37" x14ac:dyDescent="0.2">
      <c r="AK810" s="725"/>
    </row>
    <row r="811" spans="37:37" x14ac:dyDescent="0.2">
      <c r="AK811" s="725"/>
    </row>
    <row r="812" spans="37:37" x14ac:dyDescent="0.2">
      <c r="AK812" s="725"/>
    </row>
    <row r="813" spans="37:37" x14ac:dyDescent="0.2">
      <c r="AK813" s="725"/>
    </row>
    <row r="814" spans="37:37" x14ac:dyDescent="0.2">
      <c r="AK814" s="725"/>
    </row>
    <row r="815" spans="37:37" x14ac:dyDescent="0.2">
      <c r="AK815" s="725"/>
    </row>
    <row r="816" spans="37:37" x14ac:dyDescent="0.2">
      <c r="AK816" s="725"/>
    </row>
    <row r="817" spans="37:37" x14ac:dyDescent="0.2">
      <c r="AK817" s="725"/>
    </row>
    <row r="818" spans="37:37" x14ac:dyDescent="0.2">
      <c r="AK818" s="725"/>
    </row>
    <row r="819" spans="37:37" x14ac:dyDescent="0.2">
      <c r="AK819" s="725"/>
    </row>
    <row r="820" spans="37:37" x14ac:dyDescent="0.2">
      <c r="AK820" s="725"/>
    </row>
    <row r="821" spans="37:37" x14ac:dyDescent="0.2">
      <c r="AK821" s="725"/>
    </row>
    <row r="822" spans="37:37" x14ac:dyDescent="0.2">
      <c r="AK822" s="725"/>
    </row>
    <row r="823" spans="37:37" x14ac:dyDescent="0.2">
      <c r="AK823" s="725"/>
    </row>
    <row r="824" spans="37:37" x14ac:dyDescent="0.2">
      <c r="AK824" s="725"/>
    </row>
    <row r="825" spans="37:37" x14ac:dyDescent="0.2">
      <c r="AK825" s="725"/>
    </row>
    <row r="826" spans="37:37" x14ac:dyDescent="0.2">
      <c r="AK826" s="725"/>
    </row>
    <row r="827" spans="37:37" x14ac:dyDescent="0.2">
      <c r="AK827" s="725"/>
    </row>
    <row r="828" spans="37:37" x14ac:dyDescent="0.2">
      <c r="AK828" s="725"/>
    </row>
    <row r="829" spans="37:37" x14ac:dyDescent="0.2">
      <c r="AK829" s="725"/>
    </row>
    <row r="830" spans="37:37" x14ac:dyDescent="0.2">
      <c r="AK830" s="725"/>
    </row>
    <row r="831" spans="37:37" x14ac:dyDescent="0.2">
      <c r="AK831" s="725"/>
    </row>
    <row r="832" spans="37:37" x14ac:dyDescent="0.2">
      <c r="AK832" s="725"/>
    </row>
    <row r="833" spans="37:37" x14ac:dyDescent="0.2">
      <c r="AK833" s="725"/>
    </row>
    <row r="834" spans="37:37" x14ac:dyDescent="0.2">
      <c r="AK834" s="725"/>
    </row>
    <row r="835" spans="37:37" x14ac:dyDescent="0.2">
      <c r="AK835" s="725"/>
    </row>
    <row r="836" spans="37:37" x14ac:dyDescent="0.2">
      <c r="AK836" s="725"/>
    </row>
    <row r="837" spans="37:37" x14ac:dyDescent="0.2">
      <c r="AK837" s="725"/>
    </row>
    <row r="838" spans="37:37" x14ac:dyDescent="0.2">
      <c r="AK838" s="725"/>
    </row>
    <row r="839" spans="37:37" x14ac:dyDescent="0.2">
      <c r="AK839" s="725"/>
    </row>
    <row r="840" spans="37:37" x14ac:dyDescent="0.2">
      <c r="AK840" s="725"/>
    </row>
    <row r="841" spans="37:37" x14ac:dyDescent="0.2">
      <c r="AK841" s="725"/>
    </row>
    <row r="842" spans="37:37" x14ac:dyDescent="0.2">
      <c r="AK842" s="725"/>
    </row>
    <row r="843" spans="37:37" x14ac:dyDescent="0.2">
      <c r="AK843" s="725"/>
    </row>
    <row r="844" spans="37:37" x14ac:dyDescent="0.2">
      <c r="AK844" s="725"/>
    </row>
    <row r="845" spans="37:37" x14ac:dyDescent="0.2">
      <c r="AK845" s="725"/>
    </row>
    <row r="846" spans="37:37" x14ac:dyDescent="0.2">
      <c r="AK846" s="725"/>
    </row>
    <row r="847" spans="37:37" x14ac:dyDescent="0.2">
      <c r="AK847" s="725"/>
    </row>
    <row r="848" spans="37:37" x14ac:dyDescent="0.2">
      <c r="AK848" s="725"/>
    </row>
    <row r="849" spans="37:37" x14ac:dyDescent="0.2">
      <c r="AK849" s="725"/>
    </row>
    <row r="850" spans="37:37" x14ac:dyDescent="0.2">
      <c r="AK850" s="725"/>
    </row>
    <row r="851" spans="37:37" x14ac:dyDescent="0.2">
      <c r="AK851" s="725"/>
    </row>
    <row r="852" spans="37:37" x14ac:dyDescent="0.2">
      <c r="AK852" s="725"/>
    </row>
    <row r="853" spans="37:37" x14ac:dyDescent="0.2">
      <c r="AK853" s="725"/>
    </row>
    <row r="854" spans="37:37" x14ac:dyDescent="0.2">
      <c r="AK854" s="725"/>
    </row>
    <row r="855" spans="37:37" x14ac:dyDescent="0.2">
      <c r="AK855" s="725"/>
    </row>
    <row r="856" spans="37:37" x14ac:dyDescent="0.2">
      <c r="AK856" s="725"/>
    </row>
    <row r="857" spans="37:37" x14ac:dyDescent="0.2">
      <c r="AK857" s="725"/>
    </row>
    <row r="858" spans="37:37" x14ac:dyDescent="0.2">
      <c r="AK858" s="725"/>
    </row>
    <row r="859" spans="37:37" x14ac:dyDescent="0.2">
      <c r="AK859" s="725"/>
    </row>
    <row r="860" spans="37:37" x14ac:dyDescent="0.2">
      <c r="AK860" s="725"/>
    </row>
    <row r="861" spans="37:37" x14ac:dyDescent="0.2">
      <c r="AK861" s="725"/>
    </row>
    <row r="862" spans="37:37" x14ac:dyDescent="0.2">
      <c r="AK862" s="725"/>
    </row>
    <row r="863" spans="37:37" x14ac:dyDescent="0.2">
      <c r="AK863" s="725"/>
    </row>
    <row r="864" spans="37:37" x14ac:dyDescent="0.2">
      <c r="AK864" s="725"/>
    </row>
    <row r="865" spans="37:37" x14ac:dyDescent="0.2">
      <c r="AK865" s="725"/>
    </row>
    <row r="866" spans="37:37" x14ac:dyDescent="0.2">
      <c r="AK866" s="725"/>
    </row>
    <row r="867" spans="37:37" x14ac:dyDescent="0.2">
      <c r="AK867" s="725"/>
    </row>
    <row r="868" spans="37:37" x14ac:dyDescent="0.2">
      <c r="AK868" s="725"/>
    </row>
    <row r="869" spans="37:37" x14ac:dyDescent="0.2">
      <c r="AK869" s="725"/>
    </row>
    <row r="870" spans="37:37" x14ac:dyDescent="0.2">
      <c r="AK870" s="725"/>
    </row>
    <row r="871" spans="37:37" x14ac:dyDescent="0.2">
      <c r="AK871" s="725"/>
    </row>
    <row r="872" spans="37:37" x14ac:dyDescent="0.2">
      <c r="AK872" s="725"/>
    </row>
    <row r="873" spans="37:37" x14ac:dyDescent="0.2">
      <c r="AK873" s="725"/>
    </row>
    <row r="874" spans="37:37" x14ac:dyDescent="0.2">
      <c r="AK874" s="725"/>
    </row>
    <row r="875" spans="37:37" x14ac:dyDescent="0.2">
      <c r="AK875" s="725"/>
    </row>
    <row r="876" spans="37:37" x14ac:dyDescent="0.2">
      <c r="AK876" s="725"/>
    </row>
    <row r="877" spans="37:37" x14ac:dyDescent="0.2">
      <c r="AK877" s="725"/>
    </row>
    <row r="878" spans="37:37" x14ac:dyDescent="0.2">
      <c r="AK878" s="725"/>
    </row>
    <row r="879" spans="37:37" x14ac:dyDescent="0.2">
      <c r="AK879" s="725"/>
    </row>
    <row r="880" spans="37:37" x14ac:dyDescent="0.2">
      <c r="AK880" s="725"/>
    </row>
    <row r="881" spans="37:37" x14ac:dyDescent="0.2">
      <c r="AK881" s="725"/>
    </row>
    <row r="882" spans="37:37" x14ac:dyDescent="0.2">
      <c r="AK882" s="725"/>
    </row>
    <row r="883" spans="37:37" x14ac:dyDescent="0.2">
      <c r="AK883" s="725"/>
    </row>
    <row r="884" spans="37:37" x14ac:dyDescent="0.2">
      <c r="AK884" s="725"/>
    </row>
    <row r="885" spans="37:37" x14ac:dyDescent="0.2">
      <c r="AK885" s="725"/>
    </row>
    <row r="886" spans="37:37" x14ac:dyDescent="0.2">
      <c r="AK886" s="725"/>
    </row>
    <row r="887" spans="37:37" x14ac:dyDescent="0.2">
      <c r="AK887" s="725"/>
    </row>
    <row r="888" spans="37:37" x14ac:dyDescent="0.2">
      <c r="AK888" s="725"/>
    </row>
    <row r="889" spans="37:37" x14ac:dyDescent="0.2">
      <c r="AK889" s="725"/>
    </row>
    <row r="890" spans="37:37" x14ac:dyDescent="0.2">
      <c r="AK890" s="725"/>
    </row>
    <row r="891" spans="37:37" x14ac:dyDescent="0.2">
      <c r="AK891" s="725"/>
    </row>
    <row r="892" spans="37:37" x14ac:dyDescent="0.2">
      <c r="AK892" s="725"/>
    </row>
    <row r="893" spans="37:37" x14ac:dyDescent="0.2">
      <c r="AK893" s="725"/>
    </row>
    <row r="894" spans="37:37" x14ac:dyDescent="0.2">
      <c r="AK894" s="725"/>
    </row>
    <row r="895" spans="37:37" x14ac:dyDescent="0.2">
      <c r="AK895" s="725"/>
    </row>
    <row r="896" spans="37:37" x14ac:dyDescent="0.2">
      <c r="AK896" s="725"/>
    </row>
    <row r="897" spans="37:37" x14ac:dyDescent="0.2">
      <c r="AK897" s="725"/>
    </row>
    <row r="898" spans="37:37" x14ac:dyDescent="0.2">
      <c r="AK898" s="725"/>
    </row>
    <row r="899" spans="37:37" x14ac:dyDescent="0.2">
      <c r="AK899" s="725"/>
    </row>
    <row r="900" spans="37:37" x14ac:dyDescent="0.2">
      <c r="AK900" s="725"/>
    </row>
    <row r="901" spans="37:37" x14ac:dyDescent="0.2">
      <c r="AK901" s="725"/>
    </row>
    <row r="902" spans="37:37" x14ac:dyDescent="0.2">
      <c r="AK902" s="725"/>
    </row>
    <row r="903" spans="37:37" x14ac:dyDescent="0.2">
      <c r="AK903" s="725"/>
    </row>
    <row r="904" spans="37:37" x14ac:dyDescent="0.2">
      <c r="AK904" s="725"/>
    </row>
    <row r="905" spans="37:37" x14ac:dyDescent="0.2">
      <c r="AK905" s="725"/>
    </row>
    <row r="906" spans="37:37" x14ac:dyDescent="0.2">
      <c r="AK906" s="725"/>
    </row>
    <row r="907" spans="37:37" x14ac:dyDescent="0.2">
      <c r="AK907" s="725"/>
    </row>
    <row r="908" spans="37:37" x14ac:dyDescent="0.2">
      <c r="AK908" s="725"/>
    </row>
    <row r="909" spans="37:37" x14ac:dyDescent="0.2">
      <c r="AK909" s="725"/>
    </row>
    <row r="910" spans="37:37" x14ac:dyDescent="0.2">
      <c r="AK910" s="725"/>
    </row>
    <row r="911" spans="37:37" x14ac:dyDescent="0.2">
      <c r="AK911" s="725"/>
    </row>
    <row r="912" spans="37:37" x14ac:dyDescent="0.2">
      <c r="AK912" s="725"/>
    </row>
    <row r="913" spans="37:37" x14ac:dyDescent="0.2">
      <c r="AK913" s="725"/>
    </row>
    <row r="914" spans="37:37" x14ac:dyDescent="0.2">
      <c r="AK914" s="725"/>
    </row>
    <row r="915" spans="37:37" x14ac:dyDescent="0.2">
      <c r="AK915" s="725"/>
    </row>
    <row r="916" spans="37:37" x14ac:dyDescent="0.2">
      <c r="AK916" s="725"/>
    </row>
    <row r="917" spans="37:37" x14ac:dyDescent="0.2">
      <c r="AK917" s="725"/>
    </row>
    <row r="918" spans="37:37" x14ac:dyDescent="0.2">
      <c r="AK918" s="725"/>
    </row>
    <row r="919" spans="37:37" x14ac:dyDescent="0.2">
      <c r="AK919" s="725"/>
    </row>
    <row r="920" spans="37:37" x14ac:dyDescent="0.2">
      <c r="AK920" s="725">
        <f t="shared" ref="AK920:AK983" si="29">SUM(O920:AJ920)</f>
        <v>0</v>
      </c>
    </row>
    <row r="921" spans="37:37" x14ac:dyDescent="0.2">
      <c r="AK921" s="725">
        <f t="shared" si="29"/>
        <v>0</v>
      </c>
    </row>
    <row r="922" spans="37:37" x14ac:dyDescent="0.2">
      <c r="AK922" s="725">
        <f t="shared" si="29"/>
        <v>0</v>
      </c>
    </row>
    <row r="923" spans="37:37" x14ac:dyDescent="0.2">
      <c r="AK923" s="725">
        <f t="shared" si="29"/>
        <v>0</v>
      </c>
    </row>
    <row r="924" spans="37:37" x14ac:dyDescent="0.2">
      <c r="AK924" s="725">
        <f t="shared" si="29"/>
        <v>0</v>
      </c>
    </row>
    <row r="925" spans="37:37" x14ac:dyDescent="0.2">
      <c r="AK925" s="725">
        <f t="shared" si="29"/>
        <v>0</v>
      </c>
    </row>
    <row r="926" spans="37:37" x14ac:dyDescent="0.2">
      <c r="AK926" s="725">
        <f t="shared" si="29"/>
        <v>0</v>
      </c>
    </row>
    <row r="927" spans="37:37" x14ac:dyDescent="0.2">
      <c r="AK927" s="725">
        <f t="shared" si="29"/>
        <v>0</v>
      </c>
    </row>
    <row r="928" spans="37:37" x14ac:dyDescent="0.2">
      <c r="AK928" s="725">
        <f t="shared" si="29"/>
        <v>0</v>
      </c>
    </row>
    <row r="929" spans="37:37" x14ac:dyDescent="0.2">
      <c r="AK929" s="725">
        <f t="shared" si="29"/>
        <v>0</v>
      </c>
    </row>
    <row r="930" spans="37:37" x14ac:dyDescent="0.2">
      <c r="AK930" s="725">
        <f t="shared" si="29"/>
        <v>0</v>
      </c>
    </row>
    <row r="931" spans="37:37" x14ac:dyDescent="0.2">
      <c r="AK931" s="725">
        <f t="shared" si="29"/>
        <v>0</v>
      </c>
    </row>
    <row r="932" spans="37:37" x14ac:dyDescent="0.2">
      <c r="AK932" s="725">
        <f t="shared" si="29"/>
        <v>0</v>
      </c>
    </row>
    <row r="933" spans="37:37" x14ac:dyDescent="0.2">
      <c r="AK933" s="725">
        <f t="shared" si="29"/>
        <v>0</v>
      </c>
    </row>
    <row r="934" spans="37:37" x14ac:dyDescent="0.2">
      <c r="AK934" s="725">
        <f t="shared" si="29"/>
        <v>0</v>
      </c>
    </row>
    <row r="935" spans="37:37" x14ac:dyDescent="0.2">
      <c r="AK935" s="725">
        <f t="shared" si="29"/>
        <v>0</v>
      </c>
    </row>
    <row r="936" spans="37:37" x14ac:dyDescent="0.2">
      <c r="AK936" s="725">
        <f t="shared" si="29"/>
        <v>0</v>
      </c>
    </row>
    <row r="937" spans="37:37" x14ac:dyDescent="0.2">
      <c r="AK937" s="725">
        <f t="shared" si="29"/>
        <v>0</v>
      </c>
    </row>
    <row r="938" spans="37:37" x14ac:dyDescent="0.2">
      <c r="AK938" s="725">
        <f t="shared" si="29"/>
        <v>0</v>
      </c>
    </row>
    <row r="939" spans="37:37" x14ac:dyDescent="0.2">
      <c r="AK939" s="725">
        <f t="shared" si="29"/>
        <v>0</v>
      </c>
    </row>
    <row r="940" spans="37:37" x14ac:dyDescent="0.2">
      <c r="AK940" s="725">
        <f t="shared" si="29"/>
        <v>0</v>
      </c>
    </row>
    <row r="941" spans="37:37" x14ac:dyDescent="0.2">
      <c r="AK941" s="725">
        <f t="shared" si="29"/>
        <v>0</v>
      </c>
    </row>
    <row r="942" spans="37:37" x14ac:dyDescent="0.2">
      <c r="AK942" s="725">
        <f t="shared" si="29"/>
        <v>0</v>
      </c>
    </row>
    <row r="943" spans="37:37" x14ac:dyDescent="0.2">
      <c r="AK943" s="725">
        <f t="shared" si="29"/>
        <v>0</v>
      </c>
    </row>
    <row r="944" spans="37:37" x14ac:dyDescent="0.2">
      <c r="AK944" s="725">
        <f t="shared" si="29"/>
        <v>0</v>
      </c>
    </row>
    <row r="945" spans="37:37" x14ac:dyDescent="0.2">
      <c r="AK945" s="725">
        <f t="shared" si="29"/>
        <v>0</v>
      </c>
    </row>
    <row r="946" spans="37:37" x14ac:dyDescent="0.2">
      <c r="AK946" s="725">
        <f t="shared" si="29"/>
        <v>0</v>
      </c>
    </row>
    <row r="947" spans="37:37" x14ac:dyDescent="0.2">
      <c r="AK947" s="725">
        <f t="shared" si="29"/>
        <v>0</v>
      </c>
    </row>
    <row r="948" spans="37:37" x14ac:dyDescent="0.2">
      <c r="AK948" s="725">
        <f t="shared" si="29"/>
        <v>0</v>
      </c>
    </row>
    <row r="949" spans="37:37" x14ac:dyDescent="0.2">
      <c r="AK949" s="725">
        <f t="shared" si="29"/>
        <v>0</v>
      </c>
    </row>
    <row r="950" spans="37:37" x14ac:dyDescent="0.2">
      <c r="AK950" s="725">
        <f t="shared" si="29"/>
        <v>0</v>
      </c>
    </row>
    <row r="951" spans="37:37" x14ac:dyDescent="0.2">
      <c r="AK951" s="725">
        <f t="shared" si="29"/>
        <v>0</v>
      </c>
    </row>
    <row r="952" spans="37:37" x14ac:dyDescent="0.2">
      <c r="AK952" s="725">
        <f t="shared" si="29"/>
        <v>0</v>
      </c>
    </row>
    <row r="953" spans="37:37" x14ac:dyDescent="0.2">
      <c r="AK953" s="725">
        <f t="shared" si="29"/>
        <v>0</v>
      </c>
    </row>
    <row r="954" spans="37:37" x14ac:dyDescent="0.2">
      <c r="AK954" s="725">
        <f t="shared" si="29"/>
        <v>0</v>
      </c>
    </row>
    <row r="955" spans="37:37" x14ac:dyDescent="0.2">
      <c r="AK955" s="725">
        <f t="shared" si="29"/>
        <v>0</v>
      </c>
    </row>
    <row r="956" spans="37:37" x14ac:dyDescent="0.2">
      <c r="AK956" s="725">
        <f t="shared" si="29"/>
        <v>0</v>
      </c>
    </row>
    <row r="957" spans="37:37" x14ac:dyDescent="0.2">
      <c r="AK957" s="725">
        <f t="shared" si="29"/>
        <v>0</v>
      </c>
    </row>
    <row r="958" spans="37:37" x14ac:dyDescent="0.2">
      <c r="AK958" s="725">
        <f t="shared" si="29"/>
        <v>0</v>
      </c>
    </row>
    <row r="959" spans="37:37" x14ac:dyDescent="0.2">
      <c r="AK959" s="725">
        <f t="shared" si="29"/>
        <v>0</v>
      </c>
    </row>
    <row r="960" spans="37:37" x14ac:dyDescent="0.2">
      <c r="AK960" s="725">
        <f t="shared" si="29"/>
        <v>0</v>
      </c>
    </row>
    <row r="961" spans="37:37" x14ac:dyDescent="0.2">
      <c r="AK961" s="725">
        <f t="shared" si="29"/>
        <v>0</v>
      </c>
    </row>
    <row r="962" spans="37:37" x14ac:dyDescent="0.2">
      <c r="AK962" s="725">
        <f t="shared" si="29"/>
        <v>0</v>
      </c>
    </row>
    <row r="963" spans="37:37" x14ac:dyDescent="0.2">
      <c r="AK963" s="725">
        <f t="shared" si="29"/>
        <v>0</v>
      </c>
    </row>
    <row r="964" spans="37:37" x14ac:dyDescent="0.2">
      <c r="AK964" s="725">
        <f t="shared" si="29"/>
        <v>0</v>
      </c>
    </row>
    <row r="965" spans="37:37" x14ac:dyDescent="0.2">
      <c r="AK965" s="725">
        <f t="shared" si="29"/>
        <v>0</v>
      </c>
    </row>
    <row r="966" spans="37:37" x14ac:dyDescent="0.2">
      <c r="AK966" s="725">
        <f t="shared" si="29"/>
        <v>0</v>
      </c>
    </row>
    <row r="967" spans="37:37" x14ac:dyDescent="0.2">
      <c r="AK967" s="725">
        <f t="shared" si="29"/>
        <v>0</v>
      </c>
    </row>
    <row r="968" spans="37:37" x14ac:dyDescent="0.2">
      <c r="AK968" s="725">
        <f t="shared" si="29"/>
        <v>0</v>
      </c>
    </row>
    <row r="969" spans="37:37" x14ac:dyDescent="0.2">
      <c r="AK969" s="725">
        <f t="shared" si="29"/>
        <v>0</v>
      </c>
    </row>
    <row r="970" spans="37:37" x14ac:dyDescent="0.2">
      <c r="AK970" s="725">
        <f t="shared" si="29"/>
        <v>0</v>
      </c>
    </row>
    <row r="971" spans="37:37" x14ac:dyDescent="0.2">
      <c r="AK971" s="725">
        <f t="shared" si="29"/>
        <v>0</v>
      </c>
    </row>
    <row r="972" spans="37:37" x14ac:dyDescent="0.2">
      <c r="AK972" s="725">
        <f t="shared" si="29"/>
        <v>0</v>
      </c>
    </row>
    <row r="973" spans="37:37" x14ac:dyDescent="0.2">
      <c r="AK973" s="725">
        <f t="shared" si="29"/>
        <v>0</v>
      </c>
    </row>
    <row r="974" spans="37:37" x14ac:dyDescent="0.2">
      <c r="AK974" s="725">
        <f t="shared" si="29"/>
        <v>0</v>
      </c>
    </row>
    <row r="975" spans="37:37" x14ac:dyDescent="0.2">
      <c r="AK975" s="725">
        <f t="shared" si="29"/>
        <v>0</v>
      </c>
    </row>
    <row r="976" spans="37:37" x14ac:dyDescent="0.2">
      <c r="AK976" s="725">
        <f t="shared" si="29"/>
        <v>0</v>
      </c>
    </row>
    <row r="977" spans="37:37" x14ac:dyDescent="0.2">
      <c r="AK977" s="725">
        <f t="shared" si="29"/>
        <v>0</v>
      </c>
    </row>
    <row r="978" spans="37:37" x14ac:dyDescent="0.2">
      <c r="AK978" s="725">
        <f t="shared" si="29"/>
        <v>0</v>
      </c>
    </row>
    <row r="979" spans="37:37" x14ac:dyDescent="0.2">
      <c r="AK979" s="725">
        <f t="shared" si="29"/>
        <v>0</v>
      </c>
    </row>
    <row r="980" spans="37:37" x14ac:dyDescent="0.2">
      <c r="AK980" s="725">
        <f t="shared" si="29"/>
        <v>0</v>
      </c>
    </row>
    <row r="981" spans="37:37" x14ac:dyDescent="0.2">
      <c r="AK981" s="725">
        <f t="shared" si="29"/>
        <v>0</v>
      </c>
    </row>
    <row r="982" spans="37:37" x14ac:dyDescent="0.2">
      <c r="AK982" s="725">
        <f t="shared" si="29"/>
        <v>0</v>
      </c>
    </row>
    <row r="983" spans="37:37" x14ac:dyDescent="0.2">
      <c r="AK983" s="725">
        <f t="shared" si="29"/>
        <v>0</v>
      </c>
    </row>
    <row r="984" spans="37:37" x14ac:dyDescent="0.2">
      <c r="AK984" s="725">
        <f t="shared" ref="AK984:AK1047" si="30">SUM(O984:AJ984)</f>
        <v>0</v>
      </c>
    </row>
    <row r="985" spans="37:37" x14ac:dyDescent="0.2">
      <c r="AK985" s="725">
        <f t="shared" si="30"/>
        <v>0</v>
      </c>
    </row>
    <row r="986" spans="37:37" x14ac:dyDescent="0.2">
      <c r="AK986" s="725">
        <f t="shared" si="30"/>
        <v>0</v>
      </c>
    </row>
    <row r="987" spans="37:37" x14ac:dyDescent="0.2">
      <c r="AK987" s="725">
        <f t="shared" si="30"/>
        <v>0</v>
      </c>
    </row>
    <row r="988" spans="37:37" x14ac:dyDescent="0.2">
      <c r="AK988" s="725">
        <f t="shared" si="30"/>
        <v>0</v>
      </c>
    </row>
    <row r="989" spans="37:37" x14ac:dyDescent="0.2">
      <c r="AK989" s="725">
        <f t="shared" si="30"/>
        <v>0</v>
      </c>
    </row>
    <row r="990" spans="37:37" x14ac:dyDescent="0.2">
      <c r="AK990" s="725">
        <f t="shared" si="30"/>
        <v>0</v>
      </c>
    </row>
    <row r="991" spans="37:37" x14ac:dyDescent="0.2">
      <c r="AK991" s="725">
        <f t="shared" si="30"/>
        <v>0</v>
      </c>
    </row>
    <row r="992" spans="37:37" x14ac:dyDescent="0.2">
      <c r="AK992" s="725">
        <f t="shared" si="30"/>
        <v>0</v>
      </c>
    </row>
    <row r="993" spans="37:37" x14ac:dyDescent="0.2">
      <c r="AK993" s="725">
        <f t="shared" si="30"/>
        <v>0</v>
      </c>
    </row>
    <row r="994" spans="37:37" x14ac:dyDescent="0.2">
      <c r="AK994" s="725">
        <f t="shared" si="30"/>
        <v>0</v>
      </c>
    </row>
    <row r="995" spans="37:37" x14ac:dyDescent="0.2">
      <c r="AK995" s="725">
        <f t="shared" si="30"/>
        <v>0</v>
      </c>
    </row>
    <row r="996" spans="37:37" x14ac:dyDescent="0.2">
      <c r="AK996" s="725">
        <f t="shared" si="30"/>
        <v>0</v>
      </c>
    </row>
    <row r="997" spans="37:37" x14ac:dyDescent="0.2">
      <c r="AK997" s="725">
        <f t="shared" si="30"/>
        <v>0</v>
      </c>
    </row>
    <row r="998" spans="37:37" x14ac:dyDescent="0.2">
      <c r="AK998" s="725">
        <f t="shared" si="30"/>
        <v>0</v>
      </c>
    </row>
    <row r="999" spans="37:37" x14ac:dyDescent="0.2">
      <c r="AK999" s="725">
        <f t="shared" si="30"/>
        <v>0</v>
      </c>
    </row>
    <row r="1000" spans="37:37" x14ac:dyDescent="0.2">
      <c r="AK1000" s="725">
        <f t="shared" si="30"/>
        <v>0</v>
      </c>
    </row>
    <row r="1001" spans="37:37" x14ac:dyDescent="0.2">
      <c r="AK1001" s="725">
        <f t="shared" si="30"/>
        <v>0</v>
      </c>
    </row>
    <row r="1002" spans="37:37" x14ac:dyDescent="0.2">
      <c r="AK1002" s="725">
        <f t="shared" si="30"/>
        <v>0</v>
      </c>
    </row>
    <row r="1003" spans="37:37" x14ac:dyDescent="0.2">
      <c r="AK1003" s="725">
        <f t="shared" si="30"/>
        <v>0</v>
      </c>
    </row>
    <row r="1004" spans="37:37" x14ac:dyDescent="0.2">
      <c r="AK1004" s="725">
        <f t="shared" si="30"/>
        <v>0</v>
      </c>
    </row>
    <row r="1005" spans="37:37" x14ac:dyDescent="0.2">
      <c r="AK1005" s="725">
        <f t="shared" si="30"/>
        <v>0</v>
      </c>
    </row>
    <row r="1006" spans="37:37" x14ac:dyDescent="0.2">
      <c r="AK1006" s="725">
        <f t="shared" si="30"/>
        <v>0</v>
      </c>
    </row>
    <row r="1007" spans="37:37" x14ac:dyDescent="0.2">
      <c r="AK1007" s="725">
        <f t="shared" si="30"/>
        <v>0</v>
      </c>
    </row>
    <row r="1008" spans="37:37" x14ac:dyDescent="0.2">
      <c r="AK1008" s="725">
        <f t="shared" si="30"/>
        <v>0</v>
      </c>
    </row>
    <row r="1009" spans="37:37" x14ac:dyDescent="0.2">
      <c r="AK1009" s="725">
        <f t="shared" si="30"/>
        <v>0</v>
      </c>
    </row>
    <row r="1010" spans="37:37" x14ac:dyDescent="0.2">
      <c r="AK1010" s="725">
        <f t="shared" si="30"/>
        <v>0</v>
      </c>
    </row>
    <row r="1011" spans="37:37" x14ac:dyDescent="0.2">
      <c r="AK1011" s="725">
        <f t="shared" si="30"/>
        <v>0</v>
      </c>
    </row>
    <row r="1012" spans="37:37" x14ac:dyDescent="0.2">
      <c r="AK1012" s="725">
        <f t="shared" si="30"/>
        <v>0</v>
      </c>
    </row>
    <row r="1013" spans="37:37" x14ac:dyDescent="0.2">
      <c r="AK1013" s="725">
        <f t="shared" si="30"/>
        <v>0</v>
      </c>
    </row>
    <row r="1014" spans="37:37" x14ac:dyDescent="0.2">
      <c r="AK1014" s="725">
        <f t="shared" si="30"/>
        <v>0</v>
      </c>
    </row>
    <row r="1015" spans="37:37" x14ac:dyDescent="0.2">
      <c r="AK1015" s="725">
        <f t="shared" si="30"/>
        <v>0</v>
      </c>
    </row>
    <row r="1016" spans="37:37" x14ac:dyDescent="0.2">
      <c r="AK1016" s="725">
        <f t="shared" si="30"/>
        <v>0</v>
      </c>
    </row>
    <row r="1017" spans="37:37" x14ac:dyDescent="0.2">
      <c r="AK1017" s="725">
        <f t="shared" si="30"/>
        <v>0</v>
      </c>
    </row>
    <row r="1018" spans="37:37" x14ac:dyDescent="0.2">
      <c r="AK1018" s="725">
        <f t="shared" si="30"/>
        <v>0</v>
      </c>
    </row>
    <row r="1019" spans="37:37" x14ac:dyDescent="0.2">
      <c r="AK1019" s="725">
        <f t="shared" si="30"/>
        <v>0</v>
      </c>
    </row>
    <row r="1020" spans="37:37" x14ac:dyDescent="0.2">
      <c r="AK1020" s="725">
        <f t="shared" si="30"/>
        <v>0</v>
      </c>
    </row>
    <row r="1021" spans="37:37" x14ac:dyDescent="0.2">
      <c r="AK1021" s="725">
        <f t="shared" si="30"/>
        <v>0</v>
      </c>
    </row>
    <row r="1022" spans="37:37" x14ac:dyDescent="0.2">
      <c r="AK1022" s="725">
        <f t="shared" si="30"/>
        <v>0</v>
      </c>
    </row>
    <row r="1023" spans="37:37" x14ac:dyDescent="0.2">
      <c r="AK1023" s="725">
        <f t="shared" si="30"/>
        <v>0</v>
      </c>
    </row>
    <row r="1024" spans="37:37" x14ac:dyDescent="0.2">
      <c r="AK1024" s="725">
        <f t="shared" si="30"/>
        <v>0</v>
      </c>
    </row>
    <row r="1025" spans="37:37" x14ac:dyDescent="0.2">
      <c r="AK1025" s="725">
        <f t="shared" si="30"/>
        <v>0</v>
      </c>
    </row>
    <row r="1026" spans="37:37" x14ac:dyDescent="0.2">
      <c r="AK1026" s="725">
        <f t="shared" si="30"/>
        <v>0</v>
      </c>
    </row>
    <row r="1027" spans="37:37" x14ac:dyDescent="0.2">
      <c r="AK1027" s="725">
        <f t="shared" si="30"/>
        <v>0</v>
      </c>
    </row>
    <row r="1028" spans="37:37" x14ac:dyDescent="0.2">
      <c r="AK1028" s="725">
        <f t="shared" si="30"/>
        <v>0</v>
      </c>
    </row>
    <row r="1029" spans="37:37" x14ac:dyDescent="0.2">
      <c r="AK1029" s="725">
        <f t="shared" si="30"/>
        <v>0</v>
      </c>
    </row>
    <row r="1030" spans="37:37" x14ac:dyDescent="0.2">
      <c r="AK1030" s="725">
        <f t="shared" si="30"/>
        <v>0</v>
      </c>
    </row>
    <row r="1031" spans="37:37" x14ac:dyDescent="0.2">
      <c r="AK1031" s="725">
        <f t="shared" si="30"/>
        <v>0</v>
      </c>
    </row>
    <row r="1032" spans="37:37" x14ac:dyDescent="0.2">
      <c r="AK1032" s="725">
        <f t="shared" si="30"/>
        <v>0</v>
      </c>
    </row>
    <row r="1033" spans="37:37" x14ac:dyDescent="0.2">
      <c r="AK1033" s="725">
        <f t="shared" si="30"/>
        <v>0</v>
      </c>
    </row>
    <row r="1034" spans="37:37" x14ac:dyDescent="0.2">
      <c r="AK1034" s="725">
        <f t="shared" si="30"/>
        <v>0</v>
      </c>
    </row>
    <row r="1035" spans="37:37" x14ac:dyDescent="0.2">
      <c r="AK1035" s="725">
        <f t="shared" si="30"/>
        <v>0</v>
      </c>
    </row>
    <row r="1036" spans="37:37" x14ac:dyDescent="0.2">
      <c r="AK1036" s="725">
        <f t="shared" si="30"/>
        <v>0</v>
      </c>
    </row>
    <row r="1037" spans="37:37" x14ac:dyDescent="0.2">
      <c r="AK1037" s="725">
        <f t="shared" si="30"/>
        <v>0</v>
      </c>
    </row>
    <row r="1038" spans="37:37" x14ac:dyDescent="0.2">
      <c r="AK1038" s="725">
        <f t="shared" si="30"/>
        <v>0</v>
      </c>
    </row>
    <row r="1039" spans="37:37" x14ac:dyDescent="0.2">
      <c r="AK1039" s="725">
        <f t="shared" si="30"/>
        <v>0</v>
      </c>
    </row>
    <row r="1040" spans="37:37" x14ac:dyDescent="0.2">
      <c r="AK1040" s="725">
        <f t="shared" si="30"/>
        <v>0</v>
      </c>
    </row>
    <row r="1041" spans="37:37" x14ac:dyDescent="0.2">
      <c r="AK1041" s="725">
        <f t="shared" si="30"/>
        <v>0</v>
      </c>
    </row>
    <row r="1042" spans="37:37" x14ac:dyDescent="0.2">
      <c r="AK1042" s="725">
        <f t="shared" si="30"/>
        <v>0</v>
      </c>
    </row>
    <row r="1043" spans="37:37" x14ac:dyDescent="0.2">
      <c r="AK1043" s="725">
        <f t="shared" si="30"/>
        <v>0</v>
      </c>
    </row>
    <row r="1044" spans="37:37" x14ac:dyDescent="0.2">
      <c r="AK1044" s="725">
        <f t="shared" si="30"/>
        <v>0</v>
      </c>
    </row>
    <row r="1045" spans="37:37" x14ac:dyDescent="0.2">
      <c r="AK1045" s="725">
        <f t="shared" si="30"/>
        <v>0</v>
      </c>
    </row>
    <row r="1046" spans="37:37" x14ac:dyDescent="0.2">
      <c r="AK1046" s="725">
        <f t="shared" si="30"/>
        <v>0</v>
      </c>
    </row>
    <row r="1047" spans="37:37" x14ac:dyDescent="0.2">
      <c r="AK1047" s="725">
        <f t="shared" si="30"/>
        <v>0</v>
      </c>
    </row>
    <row r="1048" spans="37:37" x14ac:dyDescent="0.2">
      <c r="AK1048" s="725">
        <f t="shared" ref="AK1048:AK1111" si="31">SUM(O1048:AJ1048)</f>
        <v>0</v>
      </c>
    </row>
    <row r="1049" spans="37:37" x14ac:dyDescent="0.2">
      <c r="AK1049" s="725">
        <f t="shared" si="31"/>
        <v>0</v>
      </c>
    </row>
    <row r="1050" spans="37:37" x14ac:dyDescent="0.2">
      <c r="AK1050" s="725">
        <f t="shared" si="31"/>
        <v>0</v>
      </c>
    </row>
    <row r="1051" spans="37:37" x14ac:dyDescent="0.2">
      <c r="AK1051" s="725">
        <f t="shared" si="31"/>
        <v>0</v>
      </c>
    </row>
    <row r="1052" spans="37:37" x14ac:dyDescent="0.2">
      <c r="AK1052" s="725">
        <f t="shared" si="31"/>
        <v>0</v>
      </c>
    </row>
    <row r="1053" spans="37:37" x14ac:dyDescent="0.2">
      <c r="AK1053" s="725">
        <f t="shared" si="31"/>
        <v>0</v>
      </c>
    </row>
    <row r="1054" spans="37:37" x14ac:dyDescent="0.2">
      <c r="AK1054" s="725">
        <f t="shared" si="31"/>
        <v>0</v>
      </c>
    </row>
    <row r="1055" spans="37:37" x14ac:dyDescent="0.2">
      <c r="AK1055" s="725">
        <f t="shared" si="31"/>
        <v>0</v>
      </c>
    </row>
    <row r="1056" spans="37:37" x14ac:dyDescent="0.2">
      <c r="AK1056" s="725">
        <f t="shared" si="31"/>
        <v>0</v>
      </c>
    </row>
    <row r="1057" spans="37:37" x14ac:dyDescent="0.2">
      <c r="AK1057" s="725">
        <f t="shared" si="31"/>
        <v>0</v>
      </c>
    </row>
    <row r="1058" spans="37:37" x14ac:dyDescent="0.2">
      <c r="AK1058" s="725">
        <f t="shared" si="31"/>
        <v>0</v>
      </c>
    </row>
    <row r="1059" spans="37:37" x14ac:dyDescent="0.2">
      <c r="AK1059" s="725">
        <f t="shared" si="31"/>
        <v>0</v>
      </c>
    </row>
    <row r="1060" spans="37:37" x14ac:dyDescent="0.2">
      <c r="AK1060" s="725">
        <f t="shared" si="31"/>
        <v>0</v>
      </c>
    </row>
    <row r="1061" spans="37:37" x14ac:dyDescent="0.2">
      <c r="AK1061" s="725">
        <f t="shared" si="31"/>
        <v>0</v>
      </c>
    </row>
    <row r="1062" spans="37:37" x14ac:dyDescent="0.2">
      <c r="AK1062" s="725">
        <f t="shared" si="31"/>
        <v>0</v>
      </c>
    </row>
    <row r="1063" spans="37:37" x14ac:dyDescent="0.2">
      <c r="AK1063" s="725">
        <f t="shared" si="31"/>
        <v>0</v>
      </c>
    </row>
    <row r="1064" spans="37:37" x14ac:dyDescent="0.2">
      <c r="AK1064" s="725">
        <f t="shared" si="31"/>
        <v>0</v>
      </c>
    </row>
    <row r="1065" spans="37:37" x14ac:dyDescent="0.2">
      <c r="AK1065" s="725">
        <f t="shared" si="31"/>
        <v>0</v>
      </c>
    </row>
    <row r="1066" spans="37:37" x14ac:dyDescent="0.2">
      <c r="AK1066" s="725">
        <f t="shared" si="31"/>
        <v>0</v>
      </c>
    </row>
    <row r="1067" spans="37:37" x14ac:dyDescent="0.2">
      <c r="AK1067" s="725">
        <f t="shared" si="31"/>
        <v>0</v>
      </c>
    </row>
    <row r="1068" spans="37:37" x14ac:dyDescent="0.2">
      <c r="AK1068" s="725">
        <f t="shared" si="31"/>
        <v>0</v>
      </c>
    </row>
    <row r="1069" spans="37:37" x14ac:dyDescent="0.2">
      <c r="AK1069" s="725">
        <f t="shared" si="31"/>
        <v>0</v>
      </c>
    </row>
    <row r="1070" spans="37:37" x14ac:dyDescent="0.2">
      <c r="AK1070" s="725">
        <f t="shared" si="31"/>
        <v>0</v>
      </c>
    </row>
    <row r="1071" spans="37:37" x14ac:dyDescent="0.2">
      <c r="AK1071" s="725">
        <f t="shared" si="31"/>
        <v>0</v>
      </c>
    </row>
    <row r="1072" spans="37:37" x14ac:dyDescent="0.2">
      <c r="AK1072" s="725">
        <f t="shared" si="31"/>
        <v>0</v>
      </c>
    </row>
    <row r="1073" spans="37:37" x14ac:dyDescent="0.2">
      <c r="AK1073" s="725">
        <f t="shared" si="31"/>
        <v>0</v>
      </c>
    </row>
    <row r="1074" spans="37:37" x14ac:dyDescent="0.2">
      <c r="AK1074" s="725">
        <f t="shared" si="31"/>
        <v>0</v>
      </c>
    </row>
    <row r="1075" spans="37:37" x14ac:dyDescent="0.2">
      <c r="AK1075" s="725">
        <f t="shared" si="31"/>
        <v>0</v>
      </c>
    </row>
    <row r="1076" spans="37:37" x14ac:dyDescent="0.2">
      <c r="AK1076" s="725">
        <f t="shared" si="31"/>
        <v>0</v>
      </c>
    </row>
    <row r="1077" spans="37:37" x14ac:dyDescent="0.2">
      <c r="AK1077" s="725">
        <f t="shared" si="31"/>
        <v>0</v>
      </c>
    </row>
    <row r="1078" spans="37:37" x14ac:dyDescent="0.2">
      <c r="AK1078" s="725">
        <f t="shared" si="31"/>
        <v>0</v>
      </c>
    </row>
    <row r="1079" spans="37:37" x14ac:dyDescent="0.2">
      <c r="AK1079" s="725">
        <f t="shared" si="31"/>
        <v>0</v>
      </c>
    </row>
    <row r="1080" spans="37:37" x14ac:dyDescent="0.2">
      <c r="AK1080" s="725">
        <f t="shared" si="31"/>
        <v>0</v>
      </c>
    </row>
    <row r="1081" spans="37:37" x14ac:dyDescent="0.2">
      <c r="AK1081" s="725">
        <f t="shared" si="31"/>
        <v>0</v>
      </c>
    </row>
    <row r="1082" spans="37:37" x14ac:dyDescent="0.2">
      <c r="AK1082" s="725">
        <f t="shared" si="31"/>
        <v>0</v>
      </c>
    </row>
    <row r="1083" spans="37:37" x14ac:dyDescent="0.2">
      <c r="AK1083" s="725">
        <f t="shared" si="31"/>
        <v>0</v>
      </c>
    </row>
    <row r="1084" spans="37:37" x14ac:dyDescent="0.2">
      <c r="AK1084" s="725">
        <f t="shared" si="31"/>
        <v>0</v>
      </c>
    </row>
    <row r="1085" spans="37:37" x14ac:dyDescent="0.2">
      <c r="AK1085" s="725">
        <f t="shared" si="31"/>
        <v>0</v>
      </c>
    </row>
    <row r="1086" spans="37:37" x14ac:dyDescent="0.2">
      <c r="AK1086" s="725">
        <f t="shared" si="31"/>
        <v>0</v>
      </c>
    </row>
    <row r="1087" spans="37:37" x14ac:dyDescent="0.2">
      <c r="AK1087" s="725">
        <f t="shared" si="31"/>
        <v>0</v>
      </c>
    </row>
    <row r="1088" spans="37:37" x14ac:dyDescent="0.2">
      <c r="AK1088" s="725">
        <f t="shared" si="31"/>
        <v>0</v>
      </c>
    </row>
    <row r="1089" spans="37:37" x14ac:dyDescent="0.2">
      <c r="AK1089" s="725">
        <f t="shared" si="31"/>
        <v>0</v>
      </c>
    </row>
    <row r="1090" spans="37:37" x14ac:dyDescent="0.2">
      <c r="AK1090" s="725">
        <f t="shared" si="31"/>
        <v>0</v>
      </c>
    </row>
    <row r="1091" spans="37:37" x14ac:dyDescent="0.2">
      <c r="AK1091" s="725">
        <f t="shared" si="31"/>
        <v>0</v>
      </c>
    </row>
    <row r="1092" spans="37:37" x14ac:dyDescent="0.2">
      <c r="AK1092" s="725">
        <f t="shared" si="31"/>
        <v>0</v>
      </c>
    </row>
    <row r="1093" spans="37:37" x14ac:dyDescent="0.2">
      <c r="AK1093" s="725">
        <f t="shared" si="31"/>
        <v>0</v>
      </c>
    </row>
    <row r="1094" spans="37:37" x14ac:dyDescent="0.2">
      <c r="AK1094" s="725">
        <f t="shared" si="31"/>
        <v>0</v>
      </c>
    </row>
    <row r="1095" spans="37:37" x14ac:dyDescent="0.2">
      <c r="AK1095" s="725">
        <f t="shared" si="31"/>
        <v>0</v>
      </c>
    </row>
    <row r="1096" spans="37:37" x14ac:dyDescent="0.2">
      <c r="AK1096" s="725">
        <f t="shared" si="31"/>
        <v>0</v>
      </c>
    </row>
    <row r="1097" spans="37:37" x14ac:dyDescent="0.2">
      <c r="AK1097" s="725">
        <f t="shared" si="31"/>
        <v>0</v>
      </c>
    </row>
    <row r="1098" spans="37:37" x14ac:dyDescent="0.2">
      <c r="AK1098" s="725">
        <f t="shared" si="31"/>
        <v>0</v>
      </c>
    </row>
    <row r="1099" spans="37:37" x14ac:dyDescent="0.2">
      <c r="AK1099" s="725">
        <f t="shared" si="31"/>
        <v>0</v>
      </c>
    </row>
    <row r="1100" spans="37:37" x14ac:dyDescent="0.2">
      <c r="AK1100" s="725">
        <f t="shared" si="31"/>
        <v>0</v>
      </c>
    </row>
    <row r="1101" spans="37:37" x14ac:dyDescent="0.2">
      <c r="AK1101" s="725">
        <f t="shared" si="31"/>
        <v>0</v>
      </c>
    </row>
    <row r="1102" spans="37:37" x14ac:dyDescent="0.2">
      <c r="AK1102" s="725">
        <f t="shared" si="31"/>
        <v>0</v>
      </c>
    </row>
    <row r="1103" spans="37:37" x14ac:dyDescent="0.2">
      <c r="AK1103" s="725">
        <f t="shared" si="31"/>
        <v>0</v>
      </c>
    </row>
    <row r="1104" spans="37:37" x14ac:dyDescent="0.2">
      <c r="AK1104" s="725">
        <f t="shared" si="31"/>
        <v>0</v>
      </c>
    </row>
    <row r="1105" spans="37:37" x14ac:dyDescent="0.2">
      <c r="AK1105" s="725">
        <f t="shared" si="31"/>
        <v>0</v>
      </c>
    </row>
    <row r="1106" spans="37:37" x14ac:dyDescent="0.2">
      <c r="AK1106" s="725">
        <f t="shared" si="31"/>
        <v>0</v>
      </c>
    </row>
    <row r="1107" spans="37:37" x14ac:dyDescent="0.2">
      <c r="AK1107" s="725">
        <f t="shared" si="31"/>
        <v>0</v>
      </c>
    </row>
    <row r="1108" spans="37:37" x14ac:dyDescent="0.2">
      <c r="AK1108" s="725">
        <f t="shared" si="31"/>
        <v>0</v>
      </c>
    </row>
    <row r="1109" spans="37:37" x14ac:dyDescent="0.2">
      <c r="AK1109" s="725">
        <f t="shared" si="31"/>
        <v>0</v>
      </c>
    </row>
    <row r="1110" spans="37:37" x14ac:dyDescent="0.2">
      <c r="AK1110" s="725">
        <f t="shared" si="31"/>
        <v>0</v>
      </c>
    </row>
    <row r="1111" spans="37:37" x14ac:dyDescent="0.2">
      <c r="AK1111" s="725">
        <f t="shared" si="31"/>
        <v>0</v>
      </c>
    </row>
    <row r="1112" spans="37:37" x14ac:dyDescent="0.2">
      <c r="AK1112" s="725">
        <f t="shared" ref="AK1112:AK1175" si="32">SUM(O1112:AJ1112)</f>
        <v>0</v>
      </c>
    </row>
    <row r="1113" spans="37:37" x14ac:dyDescent="0.2">
      <c r="AK1113" s="725">
        <f t="shared" si="32"/>
        <v>0</v>
      </c>
    </row>
    <row r="1114" spans="37:37" x14ac:dyDescent="0.2">
      <c r="AK1114" s="725">
        <f t="shared" si="32"/>
        <v>0</v>
      </c>
    </row>
    <row r="1115" spans="37:37" x14ac:dyDescent="0.2">
      <c r="AK1115" s="725">
        <f t="shared" si="32"/>
        <v>0</v>
      </c>
    </row>
    <row r="1116" spans="37:37" x14ac:dyDescent="0.2">
      <c r="AK1116" s="725">
        <f t="shared" si="32"/>
        <v>0</v>
      </c>
    </row>
    <row r="1117" spans="37:37" x14ac:dyDescent="0.2">
      <c r="AK1117" s="725">
        <f t="shared" si="32"/>
        <v>0</v>
      </c>
    </row>
    <row r="1118" spans="37:37" x14ac:dyDescent="0.2">
      <c r="AK1118" s="725">
        <f t="shared" si="32"/>
        <v>0</v>
      </c>
    </row>
    <row r="1119" spans="37:37" x14ac:dyDescent="0.2">
      <c r="AK1119" s="725">
        <f t="shared" si="32"/>
        <v>0</v>
      </c>
    </row>
    <row r="1120" spans="37:37" x14ac:dyDescent="0.2">
      <c r="AK1120" s="725">
        <f t="shared" si="32"/>
        <v>0</v>
      </c>
    </row>
    <row r="1121" spans="37:37" x14ac:dyDescent="0.2">
      <c r="AK1121" s="725">
        <f t="shared" si="32"/>
        <v>0</v>
      </c>
    </row>
    <row r="1122" spans="37:37" x14ac:dyDescent="0.2">
      <c r="AK1122" s="725">
        <f t="shared" si="32"/>
        <v>0</v>
      </c>
    </row>
    <row r="1123" spans="37:37" x14ac:dyDescent="0.2">
      <c r="AK1123" s="725">
        <f t="shared" si="32"/>
        <v>0</v>
      </c>
    </row>
    <row r="1124" spans="37:37" x14ac:dyDescent="0.2">
      <c r="AK1124" s="725">
        <f t="shared" si="32"/>
        <v>0</v>
      </c>
    </row>
    <row r="1125" spans="37:37" x14ac:dyDescent="0.2">
      <c r="AK1125" s="725">
        <f t="shared" si="32"/>
        <v>0</v>
      </c>
    </row>
    <row r="1126" spans="37:37" x14ac:dyDescent="0.2">
      <c r="AK1126" s="725">
        <f t="shared" si="32"/>
        <v>0</v>
      </c>
    </row>
    <row r="1127" spans="37:37" x14ac:dyDescent="0.2">
      <c r="AK1127" s="725">
        <f t="shared" si="32"/>
        <v>0</v>
      </c>
    </row>
    <row r="1128" spans="37:37" x14ac:dyDescent="0.2">
      <c r="AK1128" s="725">
        <f t="shared" si="32"/>
        <v>0</v>
      </c>
    </row>
    <row r="1129" spans="37:37" x14ac:dyDescent="0.2">
      <c r="AK1129" s="725">
        <f t="shared" si="32"/>
        <v>0</v>
      </c>
    </row>
    <row r="1130" spans="37:37" x14ac:dyDescent="0.2">
      <c r="AK1130" s="725">
        <f t="shared" si="32"/>
        <v>0</v>
      </c>
    </row>
    <row r="1131" spans="37:37" x14ac:dyDescent="0.2">
      <c r="AK1131" s="725">
        <f t="shared" si="32"/>
        <v>0</v>
      </c>
    </row>
    <row r="1132" spans="37:37" x14ac:dyDescent="0.2">
      <c r="AK1132" s="725">
        <f t="shared" si="32"/>
        <v>0</v>
      </c>
    </row>
    <row r="1133" spans="37:37" x14ac:dyDescent="0.2">
      <c r="AK1133" s="725">
        <f t="shared" si="32"/>
        <v>0</v>
      </c>
    </row>
    <row r="1134" spans="37:37" x14ac:dyDescent="0.2">
      <c r="AK1134" s="725">
        <f t="shared" si="32"/>
        <v>0</v>
      </c>
    </row>
    <row r="1135" spans="37:37" x14ac:dyDescent="0.2">
      <c r="AK1135" s="725">
        <f t="shared" si="32"/>
        <v>0</v>
      </c>
    </row>
    <row r="1136" spans="37:37" x14ac:dyDescent="0.2">
      <c r="AK1136" s="725">
        <f t="shared" si="32"/>
        <v>0</v>
      </c>
    </row>
    <row r="1137" spans="37:37" x14ac:dyDescent="0.2">
      <c r="AK1137" s="725">
        <f t="shared" si="32"/>
        <v>0</v>
      </c>
    </row>
    <row r="1138" spans="37:37" x14ac:dyDescent="0.2">
      <c r="AK1138" s="725">
        <f t="shared" si="32"/>
        <v>0</v>
      </c>
    </row>
    <row r="1139" spans="37:37" x14ac:dyDescent="0.2">
      <c r="AK1139" s="725">
        <f t="shared" si="32"/>
        <v>0</v>
      </c>
    </row>
    <row r="1140" spans="37:37" x14ac:dyDescent="0.2">
      <c r="AK1140" s="725">
        <f t="shared" si="32"/>
        <v>0</v>
      </c>
    </row>
    <row r="1141" spans="37:37" x14ac:dyDescent="0.2">
      <c r="AK1141" s="725">
        <f t="shared" si="32"/>
        <v>0</v>
      </c>
    </row>
    <row r="1142" spans="37:37" x14ac:dyDescent="0.2">
      <c r="AK1142" s="725">
        <f t="shared" si="32"/>
        <v>0</v>
      </c>
    </row>
    <row r="1143" spans="37:37" x14ac:dyDescent="0.2">
      <c r="AK1143" s="725">
        <f t="shared" si="32"/>
        <v>0</v>
      </c>
    </row>
    <row r="1144" spans="37:37" x14ac:dyDescent="0.2">
      <c r="AK1144" s="725">
        <f t="shared" si="32"/>
        <v>0</v>
      </c>
    </row>
    <row r="1145" spans="37:37" x14ac:dyDescent="0.2">
      <c r="AK1145" s="725">
        <f t="shared" si="32"/>
        <v>0</v>
      </c>
    </row>
    <row r="1146" spans="37:37" x14ac:dyDescent="0.2">
      <c r="AK1146" s="725">
        <f t="shared" si="32"/>
        <v>0</v>
      </c>
    </row>
    <row r="1147" spans="37:37" x14ac:dyDescent="0.2">
      <c r="AK1147" s="725">
        <f t="shared" si="32"/>
        <v>0</v>
      </c>
    </row>
    <row r="1148" spans="37:37" x14ac:dyDescent="0.2">
      <c r="AK1148" s="725">
        <f t="shared" si="32"/>
        <v>0</v>
      </c>
    </row>
    <row r="1149" spans="37:37" x14ac:dyDescent="0.2">
      <c r="AK1149" s="725">
        <f t="shared" si="32"/>
        <v>0</v>
      </c>
    </row>
    <row r="1150" spans="37:37" x14ac:dyDescent="0.2">
      <c r="AK1150" s="725">
        <f t="shared" si="32"/>
        <v>0</v>
      </c>
    </row>
    <row r="1151" spans="37:37" x14ac:dyDescent="0.2">
      <c r="AK1151" s="725">
        <f t="shared" si="32"/>
        <v>0</v>
      </c>
    </row>
    <row r="1152" spans="37:37" x14ac:dyDescent="0.2">
      <c r="AK1152" s="725">
        <f t="shared" si="32"/>
        <v>0</v>
      </c>
    </row>
    <row r="1153" spans="37:37" x14ac:dyDescent="0.2">
      <c r="AK1153" s="725">
        <f t="shared" si="32"/>
        <v>0</v>
      </c>
    </row>
    <row r="1154" spans="37:37" x14ac:dyDescent="0.2">
      <c r="AK1154" s="725">
        <f t="shared" si="32"/>
        <v>0</v>
      </c>
    </row>
    <row r="1155" spans="37:37" x14ac:dyDescent="0.2">
      <c r="AK1155" s="725">
        <f t="shared" si="32"/>
        <v>0</v>
      </c>
    </row>
    <row r="1156" spans="37:37" x14ac:dyDescent="0.2">
      <c r="AK1156" s="725">
        <f t="shared" si="32"/>
        <v>0</v>
      </c>
    </row>
    <row r="1157" spans="37:37" x14ac:dyDescent="0.2">
      <c r="AK1157" s="725">
        <f t="shared" si="32"/>
        <v>0</v>
      </c>
    </row>
    <row r="1158" spans="37:37" x14ac:dyDescent="0.2">
      <c r="AK1158" s="725">
        <f t="shared" si="32"/>
        <v>0</v>
      </c>
    </row>
    <row r="1159" spans="37:37" x14ac:dyDescent="0.2">
      <c r="AK1159" s="725">
        <f t="shared" si="32"/>
        <v>0</v>
      </c>
    </row>
    <row r="1160" spans="37:37" x14ac:dyDescent="0.2">
      <c r="AK1160" s="725">
        <f t="shared" si="32"/>
        <v>0</v>
      </c>
    </row>
    <row r="1161" spans="37:37" x14ac:dyDescent="0.2">
      <c r="AK1161" s="725">
        <f t="shared" si="32"/>
        <v>0</v>
      </c>
    </row>
    <row r="1162" spans="37:37" x14ac:dyDescent="0.2">
      <c r="AK1162" s="725">
        <f t="shared" si="32"/>
        <v>0</v>
      </c>
    </row>
    <row r="1163" spans="37:37" x14ac:dyDescent="0.2">
      <c r="AK1163" s="725">
        <f t="shared" si="32"/>
        <v>0</v>
      </c>
    </row>
    <row r="1164" spans="37:37" x14ac:dyDescent="0.2">
      <c r="AK1164" s="725">
        <f t="shared" si="32"/>
        <v>0</v>
      </c>
    </row>
    <row r="1165" spans="37:37" x14ac:dyDescent="0.2">
      <c r="AK1165" s="725">
        <f t="shared" si="32"/>
        <v>0</v>
      </c>
    </row>
    <row r="1166" spans="37:37" x14ac:dyDescent="0.2">
      <c r="AK1166" s="725">
        <f t="shared" si="32"/>
        <v>0</v>
      </c>
    </row>
    <row r="1167" spans="37:37" x14ac:dyDescent="0.2">
      <c r="AK1167" s="725">
        <f t="shared" si="32"/>
        <v>0</v>
      </c>
    </row>
    <row r="1168" spans="37:37" x14ac:dyDescent="0.2">
      <c r="AK1168" s="725">
        <f t="shared" si="32"/>
        <v>0</v>
      </c>
    </row>
    <row r="1169" spans="37:37" x14ac:dyDescent="0.2">
      <c r="AK1169" s="725">
        <f t="shared" si="32"/>
        <v>0</v>
      </c>
    </row>
    <row r="1170" spans="37:37" x14ac:dyDescent="0.2">
      <c r="AK1170" s="725">
        <f t="shared" si="32"/>
        <v>0</v>
      </c>
    </row>
    <row r="1171" spans="37:37" x14ac:dyDescent="0.2">
      <c r="AK1171" s="725">
        <f t="shared" si="32"/>
        <v>0</v>
      </c>
    </row>
    <row r="1172" spans="37:37" x14ac:dyDescent="0.2">
      <c r="AK1172" s="725">
        <f t="shared" si="32"/>
        <v>0</v>
      </c>
    </row>
    <row r="1173" spans="37:37" x14ac:dyDescent="0.2">
      <c r="AK1173" s="725">
        <f t="shared" si="32"/>
        <v>0</v>
      </c>
    </row>
    <row r="1174" spans="37:37" x14ac:dyDescent="0.2">
      <c r="AK1174" s="725">
        <f t="shared" si="32"/>
        <v>0</v>
      </c>
    </row>
    <row r="1175" spans="37:37" x14ac:dyDescent="0.2">
      <c r="AK1175" s="725">
        <f t="shared" si="32"/>
        <v>0</v>
      </c>
    </row>
    <row r="1176" spans="37:37" x14ac:dyDescent="0.2">
      <c r="AK1176" s="725">
        <f t="shared" ref="AK1176:AK1239" si="33">SUM(O1176:AJ1176)</f>
        <v>0</v>
      </c>
    </row>
    <row r="1177" spans="37:37" x14ac:dyDescent="0.2">
      <c r="AK1177" s="725">
        <f t="shared" si="33"/>
        <v>0</v>
      </c>
    </row>
    <row r="1178" spans="37:37" x14ac:dyDescent="0.2">
      <c r="AK1178" s="725">
        <f t="shared" si="33"/>
        <v>0</v>
      </c>
    </row>
    <row r="1179" spans="37:37" x14ac:dyDescent="0.2">
      <c r="AK1179" s="725">
        <f t="shared" si="33"/>
        <v>0</v>
      </c>
    </row>
    <row r="1180" spans="37:37" x14ac:dyDescent="0.2">
      <c r="AK1180" s="725">
        <f t="shared" si="33"/>
        <v>0</v>
      </c>
    </row>
    <row r="1181" spans="37:37" x14ac:dyDescent="0.2">
      <c r="AK1181" s="725">
        <f t="shared" si="33"/>
        <v>0</v>
      </c>
    </row>
    <row r="1182" spans="37:37" x14ac:dyDescent="0.2">
      <c r="AK1182" s="725">
        <f t="shared" si="33"/>
        <v>0</v>
      </c>
    </row>
    <row r="1183" spans="37:37" x14ac:dyDescent="0.2">
      <c r="AK1183" s="725">
        <f t="shared" si="33"/>
        <v>0</v>
      </c>
    </row>
    <row r="1184" spans="37:37" x14ac:dyDescent="0.2">
      <c r="AK1184" s="725">
        <f t="shared" si="33"/>
        <v>0</v>
      </c>
    </row>
    <row r="1185" spans="37:37" x14ac:dyDescent="0.2">
      <c r="AK1185" s="725">
        <f t="shared" si="33"/>
        <v>0</v>
      </c>
    </row>
    <row r="1186" spans="37:37" x14ac:dyDescent="0.2">
      <c r="AK1186" s="725">
        <f t="shared" si="33"/>
        <v>0</v>
      </c>
    </row>
    <row r="1187" spans="37:37" x14ac:dyDescent="0.2">
      <c r="AK1187" s="725">
        <f t="shared" si="33"/>
        <v>0</v>
      </c>
    </row>
    <row r="1188" spans="37:37" x14ac:dyDescent="0.2">
      <c r="AK1188" s="725">
        <f t="shared" si="33"/>
        <v>0</v>
      </c>
    </row>
    <row r="1189" spans="37:37" x14ac:dyDescent="0.2">
      <c r="AK1189" s="725">
        <f t="shared" si="33"/>
        <v>0</v>
      </c>
    </row>
    <row r="1190" spans="37:37" x14ac:dyDescent="0.2">
      <c r="AK1190" s="725">
        <f t="shared" si="33"/>
        <v>0</v>
      </c>
    </row>
    <row r="1191" spans="37:37" x14ac:dyDescent="0.2">
      <c r="AK1191" s="725">
        <f t="shared" si="33"/>
        <v>0</v>
      </c>
    </row>
    <row r="1192" spans="37:37" x14ac:dyDescent="0.2">
      <c r="AK1192" s="725">
        <f t="shared" si="33"/>
        <v>0</v>
      </c>
    </row>
    <row r="1193" spans="37:37" x14ac:dyDescent="0.2">
      <c r="AK1193" s="725">
        <f t="shared" si="33"/>
        <v>0</v>
      </c>
    </row>
    <row r="1194" spans="37:37" x14ac:dyDescent="0.2">
      <c r="AK1194" s="725">
        <f t="shared" si="33"/>
        <v>0</v>
      </c>
    </row>
    <row r="1195" spans="37:37" x14ac:dyDescent="0.2">
      <c r="AK1195" s="725">
        <f t="shared" si="33"/>
        <v>0</v>
      </c>
    </row>
    <row r="1196" spans="37:37" x14ac:dyDescent="0.2">
      <c r="AK1196" s="725">
        <f t="shared" si="33"/>
        <v>0</v>
      </c>
    </row>
    <row r="1197" spans="37:37" x14ac:dyDescent="0.2">
      <c r="AK1197" s="725">
        <f t="shared" si="33"/>
        <v>0</v>
      </c>
    </row>
    <row r="1198" spans="37:37" x14ac:dyDescent="0.2">
      <c r="AK1198" s="725">
        <f t="shared" si="33"/>
        <v>0</v>
      </c>
    </row>
    <row r="1199" spans="37:37" x14ac:dyDescent="0.2">
      <c r="AK1199" s="725">
        <f t="shared" si="33"/>
        <v>0</v>
      </c>
    </row>
    <row r="1200" spans="37:37" x14ac:dyDescent="0.2">
      <c r="AK1200" s="725">
        <f t="shared" si="33"/>
        <v>0</v>
      </c>
    </row>
    <row r="1201" spans="37:37" x14ac:dyDescent="0.2">
      <c r="AK1201" s="725">
        <f t="shared" si="33"/>
        <v>0</v>
      </c>
    </row>
    <row r="1202" spans="37:37" x14ac:dyDescent="0.2">
      <c r="AK1202" s="725">
        <f t="shared" si="33"/>
        <v>0</v>
      </c>
    </row>
    <row r="1203" spans="37:37" x14ac:dyDescent="0.2">
      <c r="AK1203" s="725">
        <f t="shared" si="33"/>
        <v>0</v>
      </c>
    </row>
    <row r="1204" spans="37:37" x14ac:dyDescent="0.2">
      <c r="AK1204" s="725">
        <f t="shared" si="33"/>
        <v>0</v>
      </c>
    </row>
    <row r="1205" spans="37:37" x14ac:dyDescent="0.2">
      <c r="AK1205" s="725">
        <f t="shared" si="33"/>
        <v>0</v>
      </c>
    </row>
    <row r="1206" spans="37:37" x14ac:dyDescent="0.2">
      <c r="AK1206" s="725">
        <f t="shared" si="33"/>
        <v>0</v>
      </c>
    </row>
    <row r="1207" spans="37:37" x14ac:dyDescent="0.2">
      <c r="AK1207" s="725">
        <f t="shared" si="33"/>
        <v>0</v>
      </c>
    </row>
    <row r="1208" spans="37:37" x14ac:dyDescent="0.2">
      <c r="AK1208" s="725">
        <f t="shared" si="33"/>
        <v>0</v>
      </c>
    </row>
    <row r="1209" spans="37:37" x14ac:dyDescent="0.2">
      <c r="AK1209" s="725">
        <f t="shared" si="33"/>
        <v>0</v>
      </c>
    </row>
    <row r="1210" spans="37:37" x14ac:dyDescent="0.2">
      <c r="AK1210" s="725">
        <f t="shared" si="33"/>
        <v>0</v>
      </c>
    </row>
    <row r="1211" spans="37:37" x14ac:dyDescent="0.2">
      <c r="AK1211" s="725">
        <f t="shared" si="33"/>
        <v>0</v>
      </c>
    </row>
    <row r="1212" spans="37:37" x14ac:dyDescent="0.2">
      <c r="AK1212" s="725">
        <f t="shared" si="33"/>
        <v>0</v>
      </c>
    </row>
    <row r="1213" spans="37:37" x14ac:dyDescent="0.2">
      <c r="AK1213" s="725">
        <f t="shared" si="33"/>
        <v>0</v>
      </c>
    </row>
    <row r="1214" spans="37:37" x14ac:dyDescent="0.2">
      <c r="AK1214" s="725">
        <f t="shared" si="33"/>
        <v>0</v>
      </c>
    </row>
    <row r="1215" spans="37:37" x14ac:dyDescent="0.2">
      <c r="AK1215" s="725">
        <f t="shared" si="33"/>
        <v>0</v>
      </c>
    </row>
    <row r="1216" spans="37:37" x14ac:dyDescent="0.2">
      <c r="AK1216" s="725">
        <f t="shared" si="33"/>
        <v>0</v>
      </c>
    </row>
    <row r="1217" spans="37:37" x14ac:dyDescent="0.2">
      <c r="AK1217" s="725">
        <f t="shared" si="33"/>
        <v>0</v>
      </c>
    </row>
    <row r="1218" spans="37:37" x14ac:dyDescent="0.2">
      <c r="AK1218" s="725">
        <f t="shared" si="33"/>
        <v>0</v>
      </c>
    </row>
    <row r="1219" spans="37:37" x14ac:dyDescent="0.2">
      <c r="AK1219" s="725">
        <f t="shared" si="33"/>
        <v>0</v>
      </c>
    </row>
    <row r="1220" spans="37:37" x14ac:dyDescent="0.2">
      <c r="AK1220" s="725">
        <f t="shared" si="33"/>
        <v>0</v>
      </c>
    </row>
    <row r="1221" spans="37:37" x14ac:dyDescent="0.2">
      <c r="AK1221" s="725">
        <f t="shared" si="33"/>
        <v>0</v>
      </c>
    </row>
    <row r="1222" spans="37:37" x14ac:dyDescent="0.2">
      <c r="AK1222" s="725">
        <f t="shared" si="33"/>
        <v>0</v>
      </c>
    </row>
    <row r="1223" spans="37:37" x14ac:dyDescent="0.2">
      <c r="AK1223" s="725">
        <f t="shared" si="33"/>
        <v>0</v>
      </c>
    </row>
    <row r="1224" spans="37:37" x14ac:dyDescent="0.2">
      <c r="AK1224" s="725">
        <f t="shared" si="33"/>
        <v>0</v>
      </c>
    </row>
    <row r="1225" spans="37:37" x14ac:dyDescent="0.2">
      <c r="AK1225" s="725">
        <f t="shared" si="33"/>
        <v>0</v>
      </c>
    </row>
    <row r="1226" spans="37:37" x14ac:dyDescent="0.2">
      <c r="AK1226" s="725">
        <f t="shared" si="33"/>
        <v>0</v>
      </c>
    </row>
    <row r="1227" spans="37:37" x14ac:dyDescent="0.2">
      <c r="AK1227" s="725">
        <f t="shared" si="33"/>
        <v>0</v>
      </c>
    </row>
    <row r="1228" spans="37:37" x14ac:dyDescent="0.2">
      <c r="AK1228" s="725">
        <f t="shared" si="33"/>
        <v>0</v>
      </c>
    </row>
    <row r="1229" spans="37:37" x14ac:dyDescent="0.2">
      <c r="AK1229" s="725">
        <f t="shared" si="33"/>
        <v>0</v>
      </c>
    </row>
    <row r="1230" spans="37:37" x14ac:dyDescent="0.2">
      <c r="AK1230" s="725">
        <f t="shared" si="33"/>
        <v>0</v>
      </c>
    </row>
    <row r="1231" spans="37:37" x14ac:dyDescent="0.2">
      <c r="AK1231" s="725">
        <f t="shared" si="33"/>
        <v>0</v>
      </c>
    </row>
    <row r="1232" spans="37:37" x14ac:dyDescent="0.2">
      <c r="AK1232" s="725">
        <f t="shared" si="33"/>
        <v>0</v>
      </c>
    </row>
    <row r="1233" spans="37:37" x14ac:dyDescent="0.2">
      <c r="AK1233" s="725">
        <f t="shared" si="33"/>
        <v>0</v>
      </c>
    </row>
    <row r="1234" spans="37:37" x14ac:dyDescent="0.2">
      <c r="AK1234" s="725">
        <f t="shared" si="33"/>
        <v>0</v>
      </c>
    </row>
    <row r="1235" spans="37:37" x14ac:dyDescent="0.2">
      <c r="AK1235" s="725">
        <f t="shared" si="33"/>
        <v>0</v>
      </c>
    </row>
    <row r="1236" spans="37:37" x14ac:dyDescent="0.2">
      <c r="AK1236" s="725">
        <f t="shared" si="33"/>
        <v>0</v>
      </c>
    </row>
    <row r="1237" spans="37:37" x14ac:dyDescent="0.2">
      <c r="AK1237" s="725">
        <f t="shared" si="33"/>
        <v>0</v>
      </c>
    </row>
    <row r="1238" spans="37:37" x14ac:dyDescent="0.2">
      <c r="AK1238" s="725">
        <f t="shared" si="33"/>
        <v>0</v>
      </c>
    </row>
    <row r="1239" spans="37:37" x14ac:dyDescent="0.2">
      <c r="AK1239" s="725">
        <f t="shared" si="33"/>
        <v>0</v>
      </c>
    </row>
    <row r="1240" spans="37:37" x14ac:dyDescent="0.2">
      <c r="AK1240" s="725">
        <f t="shared" ref="AK1240:AK1303" si="34">SUM(O1240:AJ1240)</f>
        <v>0</v>
      </c>
    </row>
    <row r="1241" spans="37:37" x14ac:dyDescent="0.2">
      <c r="AK1241" s="725">
        <f t="shared" si="34"/>
        <v>0</v>
      </c>
    </row>
    <row r="1242" spans="37:37" x14ac:dyDescent="0.2">
      <c r="AK1242" s="725">
        <f t="shared" si="34"/>
        <v>0</v>
      </c>
    </row>
    <row r="1243" spans="37:37" x14ac:dyDescent="0.2">
      <c r="AK1243" s="725">
        <f t="shared" si="34"/>
        <v>0</v>
      </c>
    </row>
    <row r="1244" spans="37:37" x14ac:dyDescent="0.2">
      <c r="AK1244" s="725">
        <f t="shared" si="34"/>
        <v>0</v>
      </c>
    </row>
    <row r="1245" spans="37:37" x14ac:dyDescent="0.2">
      <c r="AK1245" s="725">
        <f t="shared" si="34"/>
        <v>0</v>
      </c>
    </row>
    <row r="1246" spans="37:37" x14ac:dyDescent="0.2">
      <c r="AK1246" s="725">
        <f t="shared" si="34"/>
        <v>0</v>
      </c>
    </row>
    <row r="1247" spans="37:37" x14ac:dyDescent="0.2">
      <c r="AK1247" s="725">
        <f t="shared" si="34"/>
        <v>0</v>
      </c>
    </row>
    <row r="1248" spans="37:37" x14ac:dyDescent="0.2">
      <c r="AK1248" s="725">
        <f t="shared" si="34"/>
        <v>0</v>
      </c>
    </row>
    <row r="1249" spans="37:37" x14ac:dyDescent="0.2">
      <c r="AK1249" s="725">
        <f t="shared" si="34"/>
        <v>0</v>
      </c>
    </row>
    <row r="1250" spans="37:37" x14ac:dyDescent="0.2">
      <c r="AK1250" s="725">
        <f t="shared" si="34"/>
        <v>0</v>
      </c>
    </row>
    <row r="1251" spans="37:37" x14ac:dyDescent="0.2">
      <c r="AK1251" s="725">
        <f t="shared" si="34"/>
        <v>0</v>
      </c>
    </row>
    <row r="1252" spans="37:37" x14ac:dyDescent="0.2">
      <c r="AK1252" s="725">
        <f t="shared" si="34"/>
        <v>0</v>
      </c>
    </row>
    <row r="1253" spans="37:37" x14ac:dyDescent="0.2">
      <c r="AK1253" s="725">
        <f t="shared" si="34"/>
        <v>0</v>
      </c>
    </row>
    <row r="1254" spans="37:37" x14ac:dyDescent="0.2">
      <c r="AK1254" s="725">
        <f t="shared" si="34"/>
        <v>0</v>
      </c>
    </row>
    <row r="1255" spans="37:37" x14ac:dyDescent="0.2">
      <c r="AK1255" s="725">
        <f t="shared" si="34"/>
        <v>0</v>
      </c>
    </row>
    <row r="1256" spans="37:37" x14ac:dyDescent="0.2">
      <c r="AK1256" s="725">
        <f t="shared" si="34"/>
        <v>0</v>
      </c>
    </row>
    <row r="1257" spans="37:37" x14ac:dyDescent="0.2">
      <c r="AK1257" s="725">
        <f t="shared" si="34"/>
        <v>0</v>
      </c>
    </row>
    <row r="1258" spans="37:37" x14ac:dyDescent="0.2">
      <c r="AK1258" s="725">
        <f t="shared" si="34"/>
        <v>0</v>
      </c>
    </row>
    <row r="1259" spans="37:37" x14ac:dyDescent="0.2">
      <c r="AK1259" s="725">
        <f t="shared" si="34"/>
        <v>0</v>
      </c>
    </row>
    <row r="1260" spans="37:37" x14ac:dyDescent="0.2">
      <c r="AK1260" s="725">
        <f t="shared" si="34"/>
        <v>0</v>
      </c>
    </row>
    <row r="1261" spans="37:37" x14ac:dyDescent="0.2">
      <c r="AK1261" s="725">
        <f t="shared" si="34"/>
        <v>0</v>
      </c>
    </row>
    <row r="1262" spans="37:37" x14ac:dyDescent="0.2">
      <c r="AK1262" s="725">
        <f t="shared" si="34"/>
        <v>0</v>
      </c>
    </row>
    <row r="1263" spans="37:37" x14ac:dyDescent="0.2">
      <c r="AK1263" s="725">
        <f t="shared" si="34"/>
        <v>0</v>
      </c>
    </row>
    <row r="1264" spans="37:37" x14ac:dyDescent="0.2">
      <c r="AK1264" s="725">
        <f t="shared" si="34"/>
        <v>0</v>
      </c>
    </row>
    <row r="1265" spans="37:37" x14ac:dyDescent="0.2">
      <c r="AK1265" s="725">
        <f t="shared" si="34"/>
        <v>0</v>
      </c>
    </row>
    <row r="1266" spans="37:37" x14ac:dyDescent="0.2">
      <c r="AK1266" s="725">
        <f t="shared" si="34"/>
        <v>0</v>
      </c>
    </row>
    <row r="1267" spans="37:37" x14ac:dyDescent="0.2">
      <c r="AK1267" s="725">
        <f t="shared" si="34"/>
        <v>0</v>
      </c>
    </row>
    <row r="1268" spans="37:37" x14ac:dyDescent="0.2">
      <c r="AK1268" s="725">
        <f t="shared" si="34"/>
        <v>0</v>
      </c>
    </row>
    <row r="1269" spans="37:37" x14ac:dyDescent="0.2">
      <c r="AK1269" s="725">
        <f t="shared" si="34"/>
        <v>0</v>
      </c>
    </row>
    <row r="1270" spans="37:37" x14ac:dyDescent="0.2">
      <c r="AK1270" s="725">
        <f t="shared" si="34"/>
        <v>0</v>
      </c>
    </row>
    <row r="1271" spans="37:37" x14ac:dyDescent="0.2">
      <c r="AK1271" s="725">
        <f t="shared" si="34"/>
        <v>0</v>
      </c>
    </row>
    <row r="1272" spans="37:37" x14ac:dyDescent="0.2">
      <c r="AK1272" s="725">
        <f t="shared" si="34"/>
        <v>0</v>
      </c>
    </row>
    <row r="1273" spans="37:37" x14ac:dyDescent="0.2">
      <c r="AK1273" s="725">
        <f t="shared" si="34"/>
        <v>0</v>
      </c>
    </row>
    <row r="1274" spans="37:37" x14ac:dyDescent="0.2">
      <c r="AK1274" s="725">
        <f t="shared" si="34"/>
        <v>0</v>
      </c>
    </row>
    <row r="1275" spans="37:37" x14ac:dyDescent="0.2">
      <c r="AK1275" s="725">
        <f t="shared" si="34"/>
        <v>0</v>
      </c>
    </row>
    <row r="1276" spans="37:37" x14ac:dyDescent="0.2">
      <c r="AK1276" s="725">
        <f t="shared" si="34"/>
        <v>0</v>
      </c>
    </row>
    <row r="1277" spans="37:37" x14ac:dyDescent="0.2">
      <c r="AK1277" s="725">
        <f t="shared" si="34"/>
        <v>0</v>
      </c>
    </row>
    <row r="1278" spans="37:37" x14ac:dyDescent="0.2">
      <c r="AK1278" s="725">
        <f t="shared" si="34"/>
        <v>0</v>
      </c>
    </row>
    <row r="1279" spans="37:37" x14ac:dyDescent="0.2">
      <c r="AK1279" s="725">
        <f t="shared" si="34"/>
        <v>0</v>
      </c>
    </row>
    <row r="1280" spans="37:37" x14ac:dyDescent="0.2">
      <c r="AK1280" s="725">
        <f t="shared" si="34"/>
        <v>0</v>
      </c>
    </row>
    <row r="1281" spans="37:37" x14ac:dyDescent="0.2">
      <c r="AK1281" s="725">
        <f t="shared" si="34"/>
        <v>0</v>
      </c>
    </row>
    <row r="1282" spans="37:37" x14ac:dyDescent="0.2">
      <c r="AK1282" s="725">
        <f t="shared" si="34"/>
        <v>0</v>
      </c>
    </row>
    <row r="1283" spans="37:37" x14ac:dyDescent="0.2">
      <c r="AK1283" s="725">
        <f t="shared" si="34"/>
        <v>0</v>
      </c>
    </row>
    <row r="1284" spans="37:37" x14ac:dyDescent="0.2">
      <c r="AK1284" s="725">
        <f t="shared" si="34"/>
        <v>0</v>
      </c>
    </row>
    <row r="1285" spans="37:37" x14ac:dyDescent="0.2">
      <c r="AK1285" s="725">
        <f t="shared" si="34"/>
        <v>0</v>
      </c>
    </row>
    <row r="1286" spans="37:37" x14ac:dyDescent="0.2">
      <c r="AK1286" s="725">
        <f t="shared" si="34"/>
        <v>0</v>
      </c>
    </row>
    <row r="1287" spans="37:37" x14ac:dyDescent="0.2">
      <c r="AK1287" s="725">
        <f t="shared" si="34"/>
        <v>0</v>
      </c>
    </row>
    <row r="1288" spans="37:37" x14ac:dyDescent="0.2">
      <c r="AK1288" s="725">
        <f t="shared" si="34"/>
        <v>0</v>
      </c>
    </row>
    <row r="1289" spans="37:37" x14ac:dyDescent="0.2">
      <c r="AK1289" s="725">
        <f t="shared" si="34"/>
        <v>0</v>
      </c>
    </row>
    <row r="1290" spans="37:37" x14ac:dyDescent="0.2">
      <c r="AK1290" s="725">
        <f t="shared" si="34"/>
        <v>0</v>
      </c>
    </row>
    <row r="1291" spans="37:37" x14ac:dyDescent="0.2">
      <c r="AK1291" s="725">
        <f t="shared" si="34"/>
        <v>0</v>
      </c>
    </row>
    <row r="1292" spans="37:37" x14ac:dyDescent="0.2">
      <c r="AK1292" s="725">
        <f t="shared" si="34"/>
        <v>0</v>
      </c>
    </row>
    <row r="1293" spans="37:37" x14ac:dyDescent="0.2">
      <c r="AK1293" s="725">
        <f t="shared" si="34"/>
        <v>0</v>
      </c>
    </row>
    <row r="1294" spans="37:37" x14ac:dyDescent="0.2">
      <c r="AK1294" s="725">
        <f t="shared" si="34"/>
        <v>0</v>
      </c>
    </row>
    <row r="1295" spans="37:37" x14ac:dyDescent="0.2">
      <c r="AK1295" s="725">
        <f t="shared" si="34"/>
        <v>0</v>
      </c>
    </row>
    <row r="1296" spans="37:37" x14ac:dyDescent="0.2">
      <c r="AK1296" s="725">
        <f t="shared" si="34"/>
        <v>0</v>
      </c>
    </row>
    <row r="1297" spans="37:37" x14ac:dyDescent="0.2">
      <c r="AK1297" s="725">
        <f t="shared" si="34"/>
        <v>0</v>
      </c>
    </row>
    <row r="1298" spans="37:37" x14ac:dyDescent="0.2">
      <c r="AK1298" s="725">
        <f t="shared" si="34"/>
        <v>0</v>
      </c>
    </row>
    <row r="1299" spans="37:37" x14ac:dyDescent="0.2">
      <c r="AK1299" s="725">
        <f t="shared" si="34"/>
        <v>0</v>
      </c>
    </row>
    <row r="1300" spans="37:37" x14ac:dyDescent="0.2">
      <c r="AK1300" s="725">
        <f t="shared" si="34"/>
        <v>0</v>
      </c>
    </row>
    <row r="1301" spans="37:37" x14ac:dyDescent="0.2">
      <c r="AK1301" s="725">
        <f t="shared" si="34"/>
        <v>0</v>
      </c>
    </row>
    <row r="1302" spans="37:37" x14ac:dyDescent="0.2">
      <c r="AK1302" s="725">
        <f t="shared" si="34"/>
        <v>0</v>
      </c>
    </row>
    <row r="1303" spans="37:37" x14ac:dyDescent="0.2">
      <c r="AK1303" s="725">
        <f t="shared" si="34"/>
        <v>0</v>
      </c>
    </row>
    <row r="1304" spans="37:37" x14ac:dyDescent="0.2">
      <c r="AK1304" s="725">
        <f t="shared" ref="AK1304:AK1367" si="35">SUM(O1304:AJ1304)</f>
        <v>0</v>
      </c>
    </row>
    <row r="1305" spans="37:37" x14ac:dyDescent="0.2">
      <c r="AK1305" s="725">
        <f t="shared" si="35"/>
        <v>0</v>
      </c>
    </row>
    <row r="1306" spans="37:37" x14ac:dyDescent="0.2">
      <c r="AK1306" s="725">
        <f t="shared" si="35"/>
        <v>0</v>
      </c>
    </row>
    <row r="1307" spans="37:37" x14ac:dyDescent="0.2">
      <c r="AK1307" s="725">
        <f t="shared" si="35"/>
        <v>0</v>
      </c>
    </row>
    <row r="1308" spans="37:37" x14ac:dyDescent="0.2">
      <c r="AK1308" s="725">
        <f t="shared" si="35"/>
        <v>0</v>
      </c>
    </row>
    <row r="1309" spans="37:37" x14ac:dyDescent="0.2">
      <c r="AK1309" s="725">
        <f t="shared" si="35"/>
        <v>0</v>
      </c>
    </row>
    <row r="1310" spans="37:37" x14ac:dyDescent="0.2">
      <c r="AK1310" s="725">
        <f t="shared" si="35"/>
        <v>0</v>
      </c>
    </row>
    <row r="1311" spans="37:37" x14ac:dyDescent="0.2">
      <c r="AK1311" s="725">
        <f t="shared" si="35"/>
        <v>0</v>
      </c>
    </row>
    <row r="1312" spans="37:37" x14ac:dyDescent="0.2">
      <c r="AK1312" s="725">
        <f t="shared" si="35"/>
        <v>0</v>
      </c>
    </row>
    <row r="1313" spans="37:37" x14ac:dyDescent="0.2">
      <c r="AK1313" s="725">
        <f t="shared" si="35"/>
        <v>0</v>
      </c>
    </row>
    <row r="1314" spans="37:37" x14ac:dyDescent="0.2">
      <c r="AK1314" s="725">
        <f t="shared" si="35"/>
        <v>0</v>
      </c>
    </row>
    <row r="1315" spans="37:37" x14ac:dyDescent="0.2">
      <c r="AK1315" s="725">
        <f t="shared" si="35"/>
        <v>0</v>
      </c>
    </row>
    <row r="1316" spans="37:37" x14ac:dyDescent="0.2">
      <c r="AK1316" s="725">
        <f t="shared" si="35"/>
        <v>0</v>
      </c>
    </row>
    <row r="1317" spans="37:37" x14ac:dyDescent="0.2">
      <c r="AK1317" s="725">
        <f t="shared" si="35"/>
        <v>0</v>
      </c>
    </row>
    <row r="1318" spans="37:37" x14ac:dyDescent="0.2">
      <c r="AK1318" s="725">
        <f t="shared" si="35"/>
        <v>0</v>
      </c>
    </row>
    <row r="1319" spans="37:37" x14ac:dyDescent="0.2">
      <c r="AK1319" s="725">
        <f t="shared" si="35"/>
        <v>0</v>
      </c>
    </row>
    <row r="1320" spans="37:37" x14ac:dyDescent="0.2">
      <c r="AK1320" s="725">
        <f t="shared" si="35"/>
        <v>0</v>
      </c>
    </row>
    <row r="1321" spans="37:37" x14ac:dyDescent="0.2">
      <c r="AK1321" s="725">
        <f t="shared" si="35"/>
        <v>0</v>
      </c>
    </row>
    <row r="1322" spans="37:37" x14ac:dyDescent="0.2">
      <c r="AK1322" s="725">
        <f t="shared" si="35"/>
        <v>0</v>
      </c>
    </row>
    <row r="1323" spans="37:37" x14ac:dyDescent="0.2">
      <c r="AK1323" s="725">
        <f t="shared" si="35"/>
        <v>0</v>
      </c>
    </row>
    <row r="1324" spans="37:37" x14ac:dyDescent="0.2">
      <c r="AK1324" s="725">
        <f t="shared" si="35"/>
        <v>0</v>
      </c>
    </row>
    <row r="1325" spans="37:37" x14ac:dyDescent="0.2">
      <c r="AK1325" s="725">
        <f t="shared" si="35"/>
        <v>0</v>
      </c>
    </row>
    <row r="1326" spans="37:37" x14ac:dyDescent="0.2">
      <c r="AK1326" s="725">
        <f t="shared" si="35"/>
        <v>0</v>
      </c>
    </row>
    <row r="1327" spans="37:37" x14ac:dyDescent="0.2">
      <c r="AK1327" s="725">
        <f t="shared" si="35"/>
        <v>0</v>
      </c>
    </row>
    <row r="1328" spans="37:37" x14ac:dyDescent="0.2">
      <c r="AK1328" s="725">
        <f t="shared" si="35"/>
        <v>0</v>
      </c>
    </row>
    <row r="1329" spans="37:37" x14ac:dyDescent="0.2">
      <c r="AK1329" s="725">
        <f t="shared" si="35"/>
        <v>0</v>
      </c>
    </row>
    <row r="1330" spans="37:37" x14ac:dyDescent="0.2">
      <c r="AK1330" s="725">
        <f t="shared" si="35"/>
        <v>0</v>
      </c>
    </row>
    <row r="1331" spans="37:37" x14ac:dyDescent="0.2">
      <c r="AK1331" s="725">
        <f t="shared" si="35"/>
        <v>0</v>
      </c>
    </row>
    <row r="1332" spans="37:37" x14ac:dyDescent="0.2">
      <c r="AK1332" s="725">
        <f t="shared" si="35"/>
        <v>0</v>
      </c>
    </row>
    <row r="1333" spans="37:37" x14ac:dyDescent="0.2">
      <c r="AK1333" s="725">
        <f t="shared" si="35"/>
        <v>0</v>
      </c>
    </row>
    <row r="1334" spans="37:37" x14ac:dyDescent="0.2">
      <c r="AK1334" s="725">
        <f t="shared" si="35"/>
        <v>0</v>
      </c>
    </row>
    <row r="1335" spans="37:37" x14ac:dyDescent="0.2">
      <c r="AK1335" s="725">
        <f t="shared" si="35"/>
        <v>0</v>
      </c>
    </row>
    <row r="1336" spans="37:37" x14ac:dyDescent="0.2">
      <c r="AK1336" s="725">
        <f t="shared" si="35"/>
        <v>0</v>
      </c>
    </row>
    <row r="1337" spans="37:37" x14ac:dyDescent="0.2">
      <c r="AK1337" s="725">
        <f t="shared" si="35"/>
        <v>0</v>
      </c>
    </row>
    <row r="1338" spans="37:37" x14ac:dyDescent="0.2">
      <c r="AK1338" s="725">
        <f t="shared" si="35"/>
        <v>0</v>
      </c>
    </row>
    <row r="1339" spans="37:37" x14ac:dyDescent="0.2">
      <c r="AK1339" s="725">
        <f t="shared" si="35"/>
        <v>0</v>
      </c>
    </row>
    <row r="1340" spans="37:37" x14ac:dyDescent="0.2">
      <c r="AK1340" s="725">
        <f t="shared" si="35"/>
        <v>0</v>
      </c>
    </row>
    <row r="1341" spans="37:37" x14ac:dyDescent="0.2">
      <c r="AK1341" s="725">
        <f t="shared" si="35"/>
        <v>0</v>
      </c>
    </row>
    <row r="1342" spans="37:37" x14ac:dyDescent="0.2">
      <c r="AK1342" s="725">
        <f t="shared" si="35"/>
        <v>0</v>
      </c>
    </row>
    <row r="1343" spans="37:37" x14ac:dyDescent="0.2">
      <c r="AK1343" s="725">
        <f t="shared" si="35"/>
        <v>0</v>
      </c>
    </row>
    <row r="1344" spans="37:37" x14ac:dyDescent="0.2">
      <c r="AK1344" s="725">
        <f t="shared" si="35"/>
        <v>0</v>
      </c>
    </row>
    <row r="1345" spans="37:37" x14ac:dyDescent="0.2">
      <c r="AK1345" s="725">
        <f t="shared" si="35"/>
        <v>0</v>
      </c>
    </row>
    <row r="1346" spans="37:37" x14ac:dyDescent="0.2">
      <c r="AK1346" s="725">
        <f t="shared" si="35"/>
        <v>0</v>
      </c>
    </row>
    <row r="1347" spans="37:37" x14ac:dyDescent="0.2">
      <c r="AK1347" s="725">
        <f t="shared" si="35"/>
        <v>0</v>
      </c>
    </row>
    <row r="1348" spans="37:37" x14ac:dyDescent="0.2">
      <c r="AK1348" s="725">
        <f t="shared" si="35"/>
        <v>0</v>
      </c>
    </row>
    <row r="1349" spans="37:37" x14ac:dyDescent="0.2">
      <c r="AK1349" s="725">
        <f t="shared" si="35"/>
        <v>0</v>
      </c>
    </row>
    <row r="1350" spans="37:37" x14ac:dyDescent="0.2">
      <c r="AK1350" s="725">
        <f t="shared" si="35"/>
        <v>0</v>
      </c>
    </row>
    <row r="1351" spans="37:37" x14ac:dyDescent="0.2">
      <c r="AK1351" s="725">
        <f t="shared" si="35"/>
        <v>0</v>
      </c>
    </row>
    <row r="1352" spans="37:37" x14ac:dyDescent="0.2">
      <c r="AK1352" s="725">
        <f t="shared" si="35"/>
        <v>0</v>
      </c>
    </row>
    <row r="1353" spans="37:37" x14ac:dyDescent="0.2">
      <c r="AK1353" s="725">
        <f t="shared" si="35"/>
        <v>0</v>
      </c>
    </row>
    <row r="1354" spans="37:37" x14ac:dyDescent="0.2">
      <c r="AK1354" s="725">
        <f t="shared" si="35"/>
        <v>0</v>
      </c>
    </row>
    <row r="1355" spans="37:37" x14ac:dyDescent="0.2">
      <c r="AK1355" s="725">
        <f t="shared" si="35"/>
        <v>0</v>
      </c>
    </row>
    <row r="1356" spans="37:37" x14ac:dyDescent="0.2">
      <c r="AK1356" s="725">
        <f t="shared" si="35"/>
        <v>0</v>
      </c>
    </row>
    <row r="1357" spans="37:37" x14ac:dyDescent="0.2">
      <c r="AK1357" s="725">
        <f t="shared" si="35"/>
        <v>0</v>
      </c>
    </row>
    <row r="1358" spans="37:37" x14ac:dyDescent="0.2">
      <c r="AK1358" s="725">
        <f t="shared" si="35"/>
        <v>0</v>
      </c>
    </row>
    <row r="1359" spans="37:37" x14ac:dyDescent="0.2">
      <c r="AK1359" s="725">
        <f t="shared" si="35"/>
        <v>0</v>
      </c>
    </row>
    <row r="1360" spans="37:37" x14ac:dyDescent="0.2">
      <c r="AK1360" s="725">
        <f t="shared" si="35"/>
        <v>0</v>
      </c>
    </row>
    <row r="1361" spans="37:37" x14ac:dyDescent="0.2">
      <c r="AK1361" s="725">
        <f t="shared" si="35"/>
        <v>0</v>
      </c>
    </row>
    <row r="1362" spans="37:37" x14ac:dyDescent="0.2">
      <c r="AK1362" s="725">
        <f t="shared" si="35"/>
        <v>0</v>
      </c>
    </row>
    <row r="1363" spans="37:37" x14ac:dyDescent="0.2">
      <c r="AK1363" s="725">
        <f t="shared" si="35"/>
        <v>0</v>
      </c>
    </row>
    <row r="1364" spans="37:37" x14ac:dyDescent="0.2">
      <c r="AK1364" s="725">
        <f t="shared" si="35"/>
        <v>0</v>
      </c>
    </row>
    <row r="1365" spans="37:37" x14ac:dyDescent="0.2">
      <c r="AK1365" s="725">
        <f t="shared" si="35"/>
        <v>0</v>
      </c>
    </row>
    <row r="1366" spans="37:37" x14ac:dyDescent="0.2">
      <c r="AK1366" s="725">
        <f t="shared" si="35"/>
        <v>0</v>
      </c>
    </row>
    <row r="1367" spans="37:37" x14ac:dyDescent="0.2">
      <c r="AK1367" s="725">
        <f t="shared" si="35"/>
        <v>0</v>
      </c>
    </row>
    <row r="1368" spans="37:37" x14ac:dyDescent="0.2">
      <c r="AK1368" s="725">
        <f t="shared" ref="AK1368:AK1431" si="36">SUM(O1368:AJ1368)</f>
        <v>0</v>
      </c>
    </row>
    <row r="1369" spans="37:37" x14ac:dyDescent="0.2">
      <c r="AK1369" s="725">
        <f t="shared" si="36"/>
        <v>0</v>
      </c>
    </row>
    <row r="1370" spans="37:37" x14ac:dyDescent="0.2">
      <c r="AK1370" s="725">
        <f t="shared" si="36"/>
        <v>0</v>
      </c>
    </row>
    <row r="1371" spans="37:37" x14ac:dyDescent="0.2">
      <c r="AK1371" s="725">
        <f t="shared" si="36"/>
        <v>0</v>
      </c>
    </row>
    <row r="1372" spans="37:37" x14ac:dyDescent="0.2">
      <c r="AK1372" s="725">
        <f t="shared" si="36"/>
        <v>0</v>
      </c>
    </row>
    <row r="1373" spans="37:37" x14ac:dyDescent="0.2">
      <c r="AK1373" s="725">
        <f t="shared" si="36"/>
        <v>0</v>
      </c>
    </row>
    <row r="1374" spans="37:37" x14ac:dyDescent="0.2">
      <c r="AK1374" s="725">
        <f t="shared" si="36"/>
        <v>0</v>
      </c>
    </row>
    <row r="1375" spans="37:37" x14ac:dyDescent="0.2">
      <c r="AK1375" s="725">
        <f t="shared" si="36"/>
        <v>0</v>
      </c>
    </row>
    <row r="1376" spans="37:37" x14ac:dyDescent="0.2">
      <c r="AK1376" s="725">
        <f t="shared" si="36"/>
        <v>0</v>
      </c>
    </row>
    <row r="1377" spans="37:37" x14ac:dyDescent="0.2">
      <c r="AK1377" s="725">
        <f t="shared" si="36"/>
        <v>0</v>
      </c>
    </row>
    <row r="1378" spans="37:37" x14ac:dyDescent="0.2">
      <c r="AK1378" s="725">
        <f t="shared" si="36"/>
        <v>0</v>
      </c>
    </row>
    <row r="1379" spans="37:37" x14ac:dyDescent="0.2">
      <c r="AK1379" s="725">
        <f t="shared" si="36"/>
        <v>0</v>
      </c>
    </row>
    <row r="1380" spans="37:37" x14ac:dyDescent="0.2">
      <c r="AK1380" s="725">
        <f t="shared" si="36"/>
        <v>0</v>
      </c>
    </row>
    <row r="1381" spans="37:37" x14ac:dyDescent="0.2">
      <c r="AK1381" s="725">
        <f t="shared" si="36"/>
        <v>0</v>
      </c>
    </row>
    <row r="1382" spans="37:37" x14ac:dyDescent="0.2">
      <c r="AK1382" s="725">
        <f t="shared" si="36"/>
        <v>0</v>
      </c>
    </row>
    <row r="1383" spans="37:37" x14ac:dyDescent="0.2">
      <c r="AK1383" s="725">
        <f t="shared" si="36"/>
        <v>0</v>
      </c>
    </row>
    <row r="1384" spans="37:37" x14ac:dyDescent="0.2">
      <c r="AK1384" s="725">
        <f t="shared" si="36"/>
        <v>0</v>
      </c>
    </row>
    <row r="1385" spans="37:37" x14ac:dyDescent="0.2">
      <c r="AK1385" s="725">
        <f t="shared" si="36"/>
        <v>0</v>
      </c>
    </row>
    <row r="1386" spans="37:37" x14ac:dyDescent="0.2">
      <c r="AK1386" s="725">
        <f t="shared" si="36"/>
        <v>0</v>
      </c>
    </row>
    <row r="1387" spans="37:37" x14ac:dyDescent="0.2">
      <c r="AK1387" s="725">
        <f t="shared" si="36"/>
        <v>0</v>
      </c>
    </row>
    <row r="1388" spans="37:37" x14ac:dyDescent="0.2">
      <c r="AK1388" s="725">
        <f t="shared" si="36"/>
        <v>0</v>
      </c>
    </row>
    <row r="1389" spans="37:37" x14ac:dyDescent="0.2">
      <c r="AK1389" s="725">
        <f t="shared" si="36"/>
        <v>0</v>
      </c>
    </row>
    <row r="1390" spans="37:37" x14ac:dyDescent="0.2">
      <c r="AK1390" s="725">
        <f t="shared" si="36"/>
        <v>0</v>
      </c>
    </row>
    <row r="1391" spans="37:37" x14ac:dyDescent="0.2">
      <c r="AK1391" s="725">
        <f t="shared" si="36"/>
        <v>0</v>
      </c>
    </row>
    <row r="1392" spans="37:37" x14ac:dyDescent="0.2">
      <c r="AK1392" s="725">
        <f t="shared" si="36"/>
        <v>0</v>
      </c>
    </row>
    <row r="1393" spans="37:37" x14ac:dyDescent="0.2">
      <c r="AK1393" s="725">
        <f t="shared" si="36"/>
        <v>0</v>
      </c>
    </row>
    <row r="1394" spans="37:37" x14ac:dyDescent="0.2">
      <c r="AK1394" s="725">
        <f t="shared" si="36"/>
        <v>0</v>
      </c>
    </row>
    <row r="1395" spans="37:37" x14ac:dyDescent="0.2">
      <c r="AK1395" s="725">
        <f t="shared" si="36"/>
        <v>0</v>
      </c>
    </row>
    <row r="1396" spans="37:37" x14ac:dyDescent="0.2">
      <c r="AK1396" s="725">
        <f t="shared" si="36"/>
        <v>0</v>
      </c>
    </row>
    <row r="1397" spans="37:37" x14ac:dyDescent="0.2">
      <c r="AK1397" s="725">
        <f t="shared" si="36"/>
        <v>0</v>
      </c>
    </row>
    <row r="1398" spans="37:37" x14ac:dyDescent="0.2">
      <c r="AK1398" s="725">
        <f t="shared" si="36"/>
        <v>0</v>
      </c>
    </row>
    <row r="1399" spans="37:37" x14ac:dyDescent="0.2">
      <c r="AK1399" s="725">
        <f t="shared" si="36"/>
        <v>0</v>
      </c>
    </row>
    <row r="1400" spans="37:37" x14ac:dyDescent="0.2">
      <c r="AK1400" s="725">
        <f t="shared" si="36"/>
        <v>0</v>
      </c>
    </row>
    <row r="1401" spans="37:37" x14ac:dyDescent="0.2">
      <c r="AK1401" s="725">
        <f t="shared" si="36"/>
        <v>0</v>
      </c>
    </row>
    <row r="1402" spans="37:37" x14ac:dyDescent="0.2">
      <c r="AK1402" s="725">
        <f t="shared" si="36"/>
        <v>0</v>
      </c>
    </row>
    <row r="1403" spans="37:37" x14ac:dyDescent="0.2">
      <c r="AK1403" s="725">
        <f t="shared" si="36"/>
        <v>0</v>
      </c>
    </row>
    <row r="1404" spans="37:37" x14ac:dyDescent="0.2">
      <c r="AK1404" s="725">
        <f t="shared" si="36"/>
        <v>0</v>
      </c>
    </row>
    <row r="1405" spans="37:37" x14ac:dyDescent="0.2">
      <c r="AK1405" s="725">
        <f t="shared" si="36"/>
        <v>0</v>
      </c>
    </row>
    <row r="1406" spans="37:37" x14ac:dyDescent="0.2">
      <c r="AK1406" s="725">
        <f t="shared" si="36"/>
        <v>0</v>
      </c>
    </row>
    <row r="1407" spans="37:37" x14ac:dyDescent="0.2">
      <c r="AK1407" s="725">
        <f t="shared" si="36"/>
        <v>0</v>
      </c>
    </row>
    <row r="1408" spans="37:37" x14ac:dyDescent="0.2">
      <c r="AK1408" s="725">
        <f t="shared" si="36"/>
        <v>0</v>
      </c>
    </row>
    <row r="1409" spans="37:37" x14ac:dyDescent="0.2">
      <c r="AK1409" s="725">
        <f t="shared" si="36"/>
        <v>0</v>
      </c>
    </row>
    <row r="1410" spans="37:37" x14ac:dyDescent="0.2">
      <c r="AK1410" s="725">
        <f t="shared" si="36"/>
        <v>0</v>
      </c>
    </row>
    <row r="1411" spans="37:37" x14ac:dyDescent="0.2">
      <c r="AK1411" s="725">
        <f t="shared" si="36"/>
        <v>0</v>
      </c>
    </row>
    <row r="1412" spans="37:37" x14ac:dyDescent="0.2">
      <c r="AK1412" s="725">
        <f t="shared" si="36"/>
        <v>0</v>
      </c>
    </row>
    <row r="1413" spans="37:37" x14ac:dyDescent="0.2">
      <c r="AK1413" s="725">
        <f t="shared" si="36"/>
        <v>0</v>
      </c>
    </row>
    <row r="1414" spans="37:37" x14ac:dyDescent="0.2">
      <c r="AK1414" s="725">
        <f t="shared" si="36"/>
        <v>0</v>
      </c>
    </row>
    <row r="1415" spans="37:37" x14ac:dyDescent="0.2">
      <c r="AK1415" s="725">
        <f t="shared" si="36"/>
        <v>0</v>
      </c>
    </row>
    <row r="1416" spans="37:37" x14ac:dyDescent="0.2">
      <c r="AK1416" s="725">
        <f t="shared" si="36"/>
        <v>0</v>
      </c>
    </row>
    <row r="1417" spans="37:37" x14ac:dyDescent="0.2">
      <c r="AK1417" s="725">
        <f t="shared" si="36"/>
        <v>0</v>
      </c>
    </row>
    <row r="1418" spans="37:37" x14ac:dyDescent="0.2">
      <c r="AK1418" s="725">
        <f t="shared" si="36"/>
        <v>0</v>
      </c>
    </row>
    <row r="1419" spans="37:37" x14ac:dyDescent="0.2">
      <c r="AK1419" s="725">
        <f t="shared" si="36"/>
        <v>0</v>
      </c>
    </row>
    <row r="1420" spans="37:37" x14ac:dyDescent="0.2">
      <c r="AK1420" s="725">
        <f t="shared" si="36"/>
        <v>0</v>
      </c>
    </row>
    <row r="1421" spans="37:37" x14ac:dyDescent="0.2">
      <c r="AK1421" s="725">
        <f t="shared" si="36"/>
        <v>0</v>
      </c>
    </row>
    <row r="1422" spans="37:37" x14ac:dyDescent="0.2">
      <c r="AK1422" s="725">
        <f t="shared" si="36"/>
        <v>0</v>
      </c>
    </row>
    <row r="1423" spans="37:37" x14ac:dyDescent="0.2">
      <c r="AK1423" s="725">
        <f t="shared" si="36"/>
        <v>0</v>
      </c>
    </row>
    <row r="1424" spans="37:37" x14ac:dyDescent="0.2">
      <c r="AK1424" s="725">
        <f t="shared" si="36"/>
        <v>0</v>
      </c>
    </row>
    <row r="1425" spans="37:37" x14ac:dyDescent="0.2">
      <c r="AK1425" s="725">
        <f t="shared" si="36"/>
        <v>0</v>
      </c>
    </row>
    <row r="1426" spans="37:37" x14ac:dyDescent="0.2">
      <c r="AK1426" s="725">
        <f t="shared" si="36"/>
        <v>0</v>
      </c>
    </row>
    <row r="1427" spans="37:37" x14ac:dyDescent="0.2">
      <c r="AK1427" s="725">
        <f t="shared" si="36"/>
        <v>0</v>
      </c>
    </row>
    <row r="1428" spans="37:37" x14ac:dyDescent="0.2">
      <c r="AK1428" s="725">
        <f t="shared" si="36"/>
        <v>0</v>
      </c>
    </row>
    <row r="1429" spans="37:37" x14ac:dyDescent="0.2">
      <c r="AK1429" s="725">
        <f t="shared" si="36"/>
        <v>0</v>
      </c>
    </row>
    <row r="1430" spans="37:37" x14ac:dyDescent="0.2">
      <c r="AK1430" s="725">
        <f t="shared" si="36"/>
        <v>0</v>
      </c>
    </row>
    <row r="1431" spans="37:37" x14ac:dyDescent="0.2">
      <c r="AK1431" s="725">
        <f t="shared" si="36"/>
        <v>0</v>
      </c>
    </row>
    <row r="1432" spans="37:37" x14ac:dyDescent="0.2">
      <c r="AK1432" s="725">
        <f t="shared" ref="AK1432:AK1495" si="37">SUM(O1432:AJ1432)</f>
        <v>0</v>
      </c>
    </row>
    <row r="1433" spans="37:37" x14ac:dyDescent="0.2">
      <c r="AK1433" s="725">
        <f t="shared" si="37"/>
        <v>0</v>
      </c>
    </row>
    <row r="1434" spans="37:37" x14ac:dyDescent="0.2">
      <c r="AK1434" s="725">
        <f t="shared" si="37"/>
        <v>0</v>
      </c>
    </row>
    <row r="1435" spans="37:37" x14ac:dyDescent="0.2">
      <c r="AK1435" s="725">
        <f t="shared" si="37"/>
        <v>0</v>
      </c>
    </row>
    <row r="1436" spans="37:37" x14ac:dyDescent="0.2">
      <c r="AK1436" s="725">
        <f t="shared" si="37"/>
        <v>0</v>
      </c>
    </row>
    <row r="1437" spans="37:37" x14ac:dyDescent="0.2">
      <c r="AK1437" s="725">
        <f t="shared" si="37"/>
        <v>0</v>
      </c>
    </row>
    <row r="1438" spans="37:37" x14ac:dyDescent="0.2">
      <c r="AK1438" s="725">
        <f t="shared" si="37"/>
        <v>0</v>
      </c>
    </row>
    <row r="1439" spans="37:37" x14ac:dyDescent="0.2">
      <c r="AK1439" s="725">
        <f t="shared" si="37"/>
        <v>0</v>
      </c>
    </row>
    <row r="1440" spans="37:37" x14ac:dyDescent="0.2">
      <c r="AK1440" s="725">
        <f t="shared" si="37"/>
        <v>0</v>
      </c>
    </row>
    <row r="1441" spans="37:37" x14ac:dyDescent="0.2">
      <c r="AK1441" s="725">
        <f t="shared" si="37"/>
        <v>0</v>
      </c>
    </row>
    <row r="1442" spans="37:37" x14ac:dyDescent="0.2">
      <c r="AK1442" s="725">
        <f t="shared" si="37"/>
        <v>0</v>
      </c>
    </row>
    <row r="1443" spans="37:37" x14ac:dyDescent="0.2">
      <c r="AK1443" s="725">
        <f t="shared" si="37"/>
        <v>0</v>
      </c>
    </row>
    <row r="1444" spans="37:37" x14ac:dyDescent="0.2">
      <c r="AK1444" s="725">
        <f t="shared" si="37"/>
        <v>0</v>
      </c>
    </row>
    <row r="1445" spans="37:37" x14ac:dyDescent="0.2">
      <c r="AK1445" s="725">
        <f t="shared" si="37"/>
        <v>0</v>
      </c>
    </row>
    <row r="1446" spans="37:37" x14ac:dyDescent="0.2">
      <c r="AK1446" s="725">
        <f t="shared" si="37"/>
        <v>0</v>
      </c>
    </row>
    <row r="1447" spans="37:37" x14ac:dyDescent="0.2">
      <c r="AK1447" s="725">
        <f t="shared" si="37"/>
        <v>0</v>
      </c>
    </row>
    <row r="1448" spans="37:37" x14ac:dyDescent="0.2">
      <c r="AK1448" s="725">
        <f t="shared" si="37"/>
        <v>0</v>
      </c>
    </row>
    <row r="1449" spans="37:37" x14ac:dyDescent="0.2">
      <c r="AK1449" s="725">
        <f t="shared" si="37"/>
        <v>0</v>
      </c>
    </row>
    <row r="1450" spans="37:37" x14ac:dyDescent="0.2">
      <c r="AK1450" s="725">
        <f t="shared" si="37"/>
        <v>0</v>
      </c>
    </row>
    <row r="1451" spans="37:37" x14ac:dyDescent="0.2">
      <c r="AK1451" s="725">
        <f t="shared" si="37"/>
        <v>0</v>
      </c>
    </row>
    <row r="1452" spans="37:37" x14ac:dyDescent="0.2">
      <c r="AK1452" s="725">
        <f t="shared" si="37"/>
        <v>0</v>
      </c>
    </row>
    <row r="1453" spans="37:37" x14ac:dyDescent="0.2">
      <c r="AK1453" s="725">
        <f t="shared" si="37"/>
        <v>0</v>
      </c>
    </row>
    <row r="1454" spans="37:37" x14ac:dyDescent="0.2">
      <c r="AK1454" s="725">
        <f t="shared" si="37"/>
        <v>0</v>
      </c>
    </row>
    <row r="1455" spans="37:37" x14ac:dyDescent="0.2">
      <c r="AK1455" s="725">
        <f t="shared" si="37"/>
        <v>0</v>
      </c>
    </row>
    <row r="1456" spans="37:37" x14ac:dyDescent="0.2">
      <c r="AK1456" s="725">
        <f t="shared" si="37"/>
        <v>0</v>
      </c>
    </row>
    <row r="1457" spans="37:37" x14ac:dyDescent="0.2">
      <c r="AK1457" s="725">
        <f t="shared" si="37"/>
        <v>0</v>
      </c>
    </row>
    <row r="1458" spans="37:37" x14ac:dyDescent="0.2">
      <c r="AK1458" s="725">
        <f t="shared" si="37"/>
        <v>0</v>
      </c>
    </row>
    <row r="1459" spans="37:37" x14ac:dyDescent="0.2">
      <c r="AK1459" s="725">
        <f t="shared" si="37"/>
        <v>0</v>
      </c>
    </row>
    <row r="1460" spans="37:37" x14ac:dyDescent="0.2">
      <c r="AK1460" s="725">
        <f t="shared" si="37"/>
        <v>0</v>
      </c>
    </row>
    <row r="1461" spans="37:37" x14ac:dyDescent="0.2">
      <c r="AK1461" s="725">
        <f t="shared" si="37"/>
        <v>0</v>
      </c>
    </row>
    <row r="1462" spans="37:37" x14ac:dyDescent="0.2">
      <c r="AK1462" s="725">
        <f t="shared" si="37"/>
        <v>0</v>
      </c>
    </row>
    <row r="1463" spans="37:37" x14ac:dyDescent="0.2">
      <c r="AK1463" s="725">
        <f t="shared" si="37"/>
        <v>0</v>
      </c>
    </row>
    <row r="1464" spans="37:37" x14ac:dyDescent="0.2">
      <c r="AK1464" s="725">
        <f t="shared" si="37"/>
        <v>0</v>
      </c>
    </row>
    <row r="1465" spans="37:37" x14ac:dyDescent="0.2">
      <c r="AK1465" s="725">
        <f t="shared" si="37"/>
        <v>0</v>
      </c>
    </row>
    <row r="1466" spans="37:37" x14ac:dyDescent="0.2">
      <c r="AK1466" s="725">
        <f t="shared" si="37"/>
        <v>0</v>
      </c>
    </row>
    <row r="1467" spans="37:37" x14ac:dyDescent="0.2">
      <c r="AK1467" s="725">
        <f t="shared" si="37"/>
        <v>0</v>
      </c>
    </row>
    <row r="1468" spans="37:37" x14ac:dyDescent="0.2">
      <c r="AK1468" s="725">
        <f t="shared" si="37"/>
        <v>0</v>
      </c>
    </row>
    <row r="1469" spans="37:37" x14ac:dyDescent="0.2">
      <c r="AK1469" s="725">
        <f t="shared" si="37"/>
        <v>0</v>
      </c>
    </row>
    <row r="1470" spans="37:37" x14ac:dyDescent="0.2">
      <c r="AK1470" s="725">
        <f t="shared" si="37"/>
        <v>0</v>
      </c>
    </row>
    <row r="1471" spans="37:37" x14ac:dyDescent="0.2">
      <c r="AK1471" s="725">
        <f t="shared" si="37"/>
        <v>0</v>
      </c>
    </row>
    <row r="1472" spans="37:37" x14ac:dyDescent="0.2">
      <c r="AK1472" s="725">
        <f t="shared" si="37"/>
        <v>0</v>
      </c>
    </row>
    <row r="1473" spans="37:37" x14ac:dyDescent="0.2">
      <c r="AK1473" s="725">
        <f t="shared" si="37"/>
        <v>0</v>
      </c>
    </row>
    <row r="1474" spans="37:37" x14ac:dyDescent="0.2">
      <c r="AK1474" s="725">
        <f t="shared" si="37"/>
        <v>0</v>
      </c>
    </row>
    <row r="1475" spans="37:37" x14ac:dyDescent="0.2">
      <c r="AK1475" s="725">
        <f t="shared" si="37"/>
        <v>0</v>
      </c>
    </row>
    <row r="1476" spans="37:37" x14ac:dyDescent="0.2">
      <c r="AK1476" s="725">
        <f t="shared" si="37"/>
        <v>0</v>
      </c>
    </row>
    <row r="1477" spans="37:37" x14ac:dyDescent="0.2">
      <c r="AK1477" s="725">
        <f t="shared" si="37"/>
        <v>0</v>
      </c>
    </row>
    <row r="1478" spans="37:37" x14ac:dyDescent="0.2">
      <c r="AK1478" s="725">
        <f t="shared" si="37"/>
        <v>0</v>
      </c>
    </row>
    <row r="1479" spans="37:37" x14ac:dyDescent="0.2">
      <c r="AK1479" s="725">
        <f t="shared" si="37"/>
        <v>0</v>
      </c>
    </row>
    <row r="1480" spans="37:37" x14ac:dyDescent="0.2">
      <c r="AK1480" s="725">
        <f t="shared" si="37"/>
        <v>0</v>
      </c>
    </row>
    <row r="1481" spans="37:37" x14ac:dyDescent="0.2">
      <c r="AK1481" s="725">
        <f t="shared" si="37"/>
        <v>0</v>
      </c>
    </row>
    <row r="1482" spans="37:37" x14ac:dyDescent="0.2">
      <c r="AK1482" s="725">
        <f t="shared" si="37"/>
        <v>0</v>
      </c>
    </row>
    <row r="1483" spans="37:37" x14ac:dyDescent="0.2">
      <c r="AK1483" s="725">
        <f t="shared" si="37"/>
        <v>0</v>
      </c>
    </row>
    <row r="1484" spans="37:37" x14ac:dyDescent="0.2">
      <c r="AK1484" s="725">
        <f t="shared" si="37"/>
        <v>0</v>
      </c>
    </row>
    <row r="1485" spans="37:37" x14ac:dyDescent="0.2">
      <c r="AK1485" s="725">
        <f t="shared" si="37"/>
        <v>0</v>
      </c>
    </row>
    <row r="1486" spans="37:37" x14ac:dyDescent="0.2">
      <c r="AK1486" s="725">
        <f t="shared" si="37"/>
        <v>0</v>
      </c>
    </row>
    <row r="1487" spans="37:37" x14ac:dyDescent="0.2">
      <c r="AK1487" s="725">
        <f t="shared" si="37"/>
        <v>0</v>
      </c>
    </row>
    <row r="1488" spans="37:37" x14ac:dyDescent="0.2">
      <c r="AK1488" s="725">
        <f t="shared" si="37"/>
        <v>0</v>
      </c>
    </row>
    <row r="1489" spans="37:37" x14ac:dyDescent="0.2">
      <c r="AK1489" s="725">
        <f t="shared" si="37"/>
        <v>0</v>
      </c>
    </row>
    <row r="1490" spans="37:37" x14ac:dyDescent="0.2">
      <c r="AK1490" s="725">
        <f t="shared" si="37"/>
        <v>0</v>
      </c>
    </row>
    <row r="1491" spans="37:37" x14ac:dyDescent="0.2">
      <c r="AK1491" s="725">
        <f t="shared" si="37"/>
        <v>0</v>
      </c>
    </row>
    <row r="1492" spans="37:37" x14ac:dyDescent="0.2">
      <c r="AK1492" s="725">
        <f t="shared" si="37"/>
        <v>0</v>
      </c>
    </row>
    <row r="1493" spans="37:37" x14ac:dyDescent="0.2">
      <c r="AK1493" s="725">
        <f t="shared" si="37"/>
        <v>0</v>
      </c>
    </row>
    <row r="1494" spans="37:37" x14ac:dyDescent="0.2">
      <c r="AK1494" s="725">
        <f t="shared" si="37"/>
        <v>0</v>
      </c>
    </row>
    <row r="1495" spans="37:37" x14ac:dyDescent="0.2">
      <c r="AK1495" s="725">
        <f t="shared" si="37"/>
        <v>0</v>
      </c>
    </row>
    <row r="1496" spans="37:37" x14ac:dyDescent="0.2">
      <c r="AK1496" s="725">
        <f t="shared" ref="AK1496:AK1559" si="38">SUM(O1496:AJ1496)</f>
        <v>0</v>
      </c>
    </row>
    <row r="1497" spans="37:37" x14ac:dyDescent="0.2">
      <c r="AK1497" s="725">
        <f t="shared" si="38"/>
        <v>0</v>
      </c>
    </row>
    <row r="1498" spans="37:37" x14ac:dyDescent="0.2">
      <c r="AK1498" s="725">
        <f t="shared" si="38"/>
        <v>0</v>
      </c>
    </row>
    <row r="1499" spans="37:37" x14ac:dyDescent="0.2">
      <c r="AK1499" s="725">
        <f t="shared" si="38"/>
        <v>0</v>
      </c>
    </row>
    <row r="1500" spans="37:37" x14ac:dyDescent="0.2">
      <c r="AK1500" s="725">
        <f t="shared" si="38"/>
        <v>0</v>
      </c>
    </row>
    <row r="1501" spans="37:37" x14ac:dyDescent="0.2">
      <c r="AK1501" s="725">
        <f t="shared" si="38"/>
        <v>0</v>
      </c>
    </row>
    <row r="1502" spans="37:37" x14ac:dyDescent="0.2">
      <c r="AK1502" s="725">
        <f t="shared" si="38"/>
        <v>0</v>
      </c>
    </row>
    <row r="1503" spans="37:37" x14ac:dyDescent="0.2">
      <c r="AK1503" s="725">
        <f t="shared" si="38"/>
        <v>0</v>
      </c>
    </row>
    <row r="1504" spans="37:37" x14ac:dyDescent="0.2">
      <c r="AK1504" s="725">
        <f t="shared" si="38"/>
        <v>0</v>
      </c>
    </row>
    <row r="1505" spans="37:37" x14ac:dyDescent="0.2">
      <c r="AK1505" s="725">
        <f t="shared" si="38"/>
        <v>0</v>
      </c>
    </row>
    <row r="1506" spans="37:37" x14ac:dyDescent="0.2">
      <c r="AK1506" s="725">
        <f t="shared" si="38"/>
        <v>0</v>
      </c>
    </row>
    <row r="1507" spans="37:37" x14ac:dyDescent="0.2">
      <c r="AK1507" s="725">
        <f t="shared" si="38"/>
        <v>0</v>
      </c>
    </row>
    <row r="1508" spans="37:37" x14ac:dyDescent="0.2">
      <c r="AK1508" s="725">
        <f t="shared" si="38"/>
        <v>0</v>
      </c>
    </row>
    <row r="1509" spans="37:37" x14ac:dyDescent="0.2">
      <c r="AK1509" s="725">
        <f t="shared" si="38"/>
        <v>0</v>
      </c>
    </row>
    <row r="1510" spans="37:37" x14ac:dyDescent="0.2">
      <c r="AK1510" s="725">
        <f t="shared" si="38"/>
        <v>0</v>
      </c>
    </row>
    <row r="1511" spans="37:37" x14ac:dyDescent="0.2">
      <c r="AK1511" s="725">
        <f t="shared" si="38"/>
        <v>0</v>
      </c>
    </row>
    <row r="1512" spans="37:37" x14ac:dyDescent="0.2">
      <c r="AK1512" s="725">
        <f t="shared" si="38"/>
        <v>0</v>
      </c>
    </row>
    <row r="1513" spans="37:37" x14ac:dyDescent="0.2">
      <c r="AK1513" s="725">
        <f t="shared" si="38"/>
        <v>0</v>
      </c>
    </row>
    <row r="1514" spans="37:37" x14ac:dyDescent="0.2">
      <c r="AK1514" s="725">
        <f t="shared" si="38"/>
        <v>0</v>
      </c>
    </row>
    <row r="1515" spans="37:37" x14ac:dyDescent="0.2">
      <c r="AK1515" s="725">
        <f t="shared" si="38"/>
        <v>0</v>
      </c>
    </row>
    <row r="1516" spans="37:37" x14ac:dyDescent="0.2">
      <c r="AK1516" s="725">
        <f t="shared" si="38"/>
        <v>0</v>
      </c>
    </row>
    <row r="1517" spans="37:37" x14ac:dyDescent="0.2">
      <c r="AK1517" s="725">
        <f t="shared" si="38"/>
        <v>0</v>
      </c>
    </row>
    <row r="1518" spans="37:37" x14ac:dyDescent="0.2">
      <c r="AK1518" s="725">
        <f t="shared" si="38"/>
        <v>0</v>
      </c>
    </row>
    <row r="1519" spans="37:37" x14ac:dyDescent="0.2">
      <c r="AK1519" s="725">
        <f t="shared" si="38"/>
        <v>0</v>
      </c>
    </row>
    <row r="1520" spans="37:37" x14ac:dyDescent="0.2">
      <c r="AK1520" s="725">
        <f t="shared" si="38"/>
        <v>0</v>
      </c>
    </row>
    <row r="1521" spans="37:37" x14ac:dyDescent="0.2">
      <c r="AK1521" s="725">
        <f t="shared" si="38"/>
        <v>0</v>
      </c>
    </row>
    <row r="1522" spans="37:37" x14ac:dyDescent="0.2">
      <c r="AK1522" s="725">
        <f t="shared" si="38"/>
        <v>0</v>
      </c>
    </row>
    <row r="1523" spans="37:37" x14ac:dyDescent="0.2">
      <c r="AK1523" s="725">
        <f t="shared" si="38"/>
        <v>0</v>
      </c>
    </row>
    <row r="1524" spans="37:37" x14ac:dyDescent="0.2">
      <c r="AK1524" s="725">
        <f t="shared" si="38"/>
        <v>0</v>
      </c>
    </row>
    <row r="1525" spans="37:37" x14ac:dyDescent="0.2">
      <c r="AK1525" s="725">
        <f t="shared" si="38"/>
        <v>0</v>
      </c>
    </row>
    <row r="1526" spans="37:37" x14ac:dyDescent="0.2">
      <c r="AK1526" s="725">
        <f t="shared" si="38"/>
        <v>0</v>
      </c>
    </row>
    <row r="1527" spans="37:37" x14ac:dyDescent="0.2">
      <c r="AK1527" s="725">
        <f t="shared" si="38"/>
        <v>0</v>
      </c>
    </row>
    <row r="1528" spans="37:37" x14ac:dyDescent="0.2">
      <c r="AK1528" s="725">
        <f t="shared" si="38"/>
        <v>0</v>
      </c>
    </row>
    <row r="1529" spans="37:37" x14ac:dyDescent="0.2">
      <c r="AK1529" s="725">
        <f t="shared" si="38"/>
        <v>0</v>
      </c>
    </row>
    <row r="1530" spans="37:37" x14ac:dyDescent="0.2">
      <c r="AK1530" s="725">
        <f t="shared" si="38"/>
        <v>0</v>
      </c>
    </row>
    <row r="1531" spans="37:37" x14ac:dyDescent="0.2">
      <c r="AK1531" s="725">
        <f t="shared" si="38"/>
        <v>0</v>
      </c>
    </row>
    <row r="1532" spans="37:37" x14ac:dyDescent="0.2">
      <c r="AK1532" s="725">
        <f t="shared" si="38"/>
        <v>0</v>
      </c>
    </row>
    <row r="1533" spans="37:37" x14ac:dyDescent="0.2">
      <c r="AK1533" s="725">
        <f t="shared" si="38"/>
        <v>0</v>
      </c>
    </row>
    <row r="1534" spans="37:37" x14ac:dyDescent="0.2">
      <c r="AK1534" s="725">
        <f t="shared" si="38"/>
        <v>0</v>
      </c>
    </row>
    <row r="1535" spans="37:37" x14ac:dyDescent="0.2">
      <c r="AK1535" s="725">
        <f t="shared" si="38"/>
        <v>0</v>
      </c>
    </row>
    <row r="1536" spans="37:37" x14ac:dyDescent="0.2">
      <c r="AK1536" s="725">
        <f t="shared" si="38"/>
        <v>0</v>
      </c>
    </row>
    <row r="1537" spans="37:37" x14ac:dyDescent="0.2">
      <c r="AK1537" s="725">
        <f t="shared" si="38"/>
        <v>0</v>
      </c>
    </row>
    <row r="1538" spans="37:37" x14ac:dyDescent="0.2">
      <c r="AK1538" s="725">
        <f t="shared" si="38"/>
        <v>0</v>
      </c>
    </row>
    <row r="1539" spans="37:37" x14ac:dyDescent="0.2">
      <c r="AK1539" s="725">
        <f t="shared" si="38"/>
        <v>0</v>
      </c>
    </row>
    <row r="1540" spans="37:37" x14ac:dyDescent="0.2">
      <c r="AK1540" s="725">
        <f t="shared" si="38"/>
        <v>0</v>
      </c>
    </row>
    <row r="1541" spans="37:37" x14ac:dyDescent="0.2">
      <c r="AK1541" s="725">
        <f t="shared" si="38"/>
        <v>0</v>
      </c>
    </row>
    <row r="1542" spans="37:37" x14ac:dyDescent="0.2">
      <c r="AK1542" s="725">
        <f t="shared" si="38"/>
        <v>0</v>
      </c>
    </row>
    <row r="1543" spans="37:37" x14ac:dyDescent="0.2">
      <c r="AK1543" s="725">
        <f t="shared" si="38"/>
        <v>0</v>
      </c>
    </row>
    <row r="1544" spans="37:37" x14ac:dyDescent="0.2">
      <c r="AK1544" s="725">
        <f t="shared" si="38"/>
        <v>0</v>
      </c>
    </row>
    <row r="1545" spans="37:37" x14ac:dyDescent="0.2">
      <c r="AK1545" s="725">
        <f t="shared" si="38"/>
        <v>0</v>
      </c>
    </row>
    <row r="1546" spans="37:37" x14ac:dyDescent="0.2">
      <c r="AK1546" s="725">
        <f t="shared" si="38"/>
        <v>0</v>
      </c>
    </row>
    <row r="1547" spans="37:37" x14ac:dyDescent="0.2">
      <c r="AK1547" s="725">
        <f t="shared" si="38"/>
        <v>0</v>
      </c>
    </row>
    <row r="1548" spans="37:37" x14ac:dyDescent="0.2">
      <c r="AK1548" s="725">
        <f t="shared" si="38"/>
        <v>0</v>
      </c>
    </row>
    <row r="1549" spans="37:37" x14ac:dyDescent="0.2">
      <c r="AK1549" s="725">
        <f t="shared" si="38"/>
        <v>0</v>
      </c>
    </row>
    <row r="1550" spans="37:37" x14ac:dyDescent="0.2">
      <c r="AK1550" s="725">
        <f t="shared" si="38"/>
        <v>0</v>
      </c>
    </row>
    <row r="1551" spans="37:37" x14ac:dyDescent="0.2">
      <c r="AK1551" s="725">
        <f t="shared" si="38"/>
        <v>0</v>
      </c>
    </row>
    <row r="1552" spans="37:37" x14ac:dyDescent="0.2">
      <c r="AK1552" s="725">
        <f t="shared" si="38"/>
        <v>0</v>
      </c>
    </row>
    <row r="1553" spans="37:37" x14ac:dyDescent="0.2">
      <c r="AK1553" s="725">
        <f t="shared" si="38"/>
        <v>0</v>
      </c>
    </row>
    <row r="1554" spans="37:37" x14ac:dyDescent="0.2">
      <c r="AK1554" s="725">
        <f t="shared" si="38"/>
        <v>0</v>
      </c>
    </row>
    <row r="1555" spans="37:37" x14ac:dyDescent="0.2">
      <c r="AK1555" s="725">
        <f t="shared" si="38"/>
        <v>0</v>
      </c>
    </row>
    <row r="1556" spans="37:37" x14ac:dyDescent="0.2">
      <c r="AK1556" s="725">
        <f t="shared" si="38"/>
        <v>0</v>
      </c>
    </row>
    <row r="1557" spans="37:37" x14ac:dyDescent="0.2">
      <c r="AK1557" s="725">
        <f t="shared" si="38"/>
        <v>0</v>
      </c>
    </row>
    <row r="1558" spans="37:37" x14ac:dyDescent="0.2">
      <c r="AK1558" s="725">
        <f t="shared" si="38"/>
        <v>0</v>
      </c>
    </row>
    <row r="1559" spans="37:37" x14ac:dyDescent="0.2">
      <c r="AK1559" s="725">
        <f t="shared" si="38"/>
        <v>0</v>
      </c>
    </row>
    <row r="1560" spans="37:37" x14ac:dyDescent="0.2">
      <c r="AK1560" s="725">
        <f t="shared" ref="AK1560:AK1623" si="39">SUM(O1560:AJ1560)</f>
        <v>0</v>
      </c>
    </row>
    <row r="1561" spans="37:37" x14ac:dyDescent="0.2">
      <c r="AK1561" s="725">
        <f t="shared" si="39"/>
        <v>0</v>
      </c>
    </row>
    <row r="1562" spans="37:37" x14ac:dyDescent="0.2">
      <c r="AK1562" s="725">
        <f t="shared" si="39"/>
        <v>0</v>
      </c>
    </row>
    <row r="1563" spans="37:37" x14ac:dyDescent="0.2">
      <c r="AK1563" s="725">
        <f t="shared" si="39"/>
        <v>0</v>
      </c>
    </row>
    <row r="1564" spans="37:37" x14ac:dyDescent="0.2">
      <c r="AK1564" s="725">
        <f t="shared" si="39"/>
        <v>0</v>
      </c>
    </row>
    <row r="1565" spans="37:37" x14ac:dyDescent="0.2">
      <c r="AK1565" s="725">
        <f t="shared" si="39"/>
        <v>0</v>
      </c>
    </row>
    <row r="1566" spans="37:37" x14ac:dyDescent="0.2">
      <c r="AK1566" s="725">
        <f t="shared" si="39"/>
        <v>0</v>
      </c>
    </row>
    <row r="1567" spans="37:37" x14ac:dyDescent="0.2">
      <c r="AK1567" s="725">
        <f t="shared" si="39"/>
        <v>0</v>
      </c>
    </row>
    <row r="1568" spans="37:37" x14ac:dyDescent="0.2">
      <c r="AK1568" s="725">
        <f t="shared" si="39"/>
        <v>0</v>
      </c>
    </row>
    <row r="1569" spans="37:37" x14ac:dyDescent="0.2">
      <c r="AK1569" s="725">
        <f t="shared" si="39"/>
        <v>0</v>
      </c>
    </row>
    <row r="1570" spans="37:37" x14ac:dyDescent="0.2">
      <c r="AK1570" s="725">
        <f t="shared" si="39"/>
        <v>0</v>
      </c>
    </row>
    <row r="1571" spans="37:37" x14ac:dyDescent="0.2">
      <c r="AK1571" s="725">
        <f t="shared" si="39"/>
        <v>0</v>
      </c>
    </row>
    <row r="1572" spans="37:37" x14ac:dyDescent="0.2">
      <c r="AK1572" s="725">
        <f t="shared" si="39"/>
        <v>0</v>
      </c>
    </row>
    <row r="1573" spans="37:37" x14ac:dyDescent="0.2">
      <c r="AK1573" s="725">
        <f t="shared" si="39"/>
        <v>0</v>
      </c>
    </row>
    <row r="1574" spans="37:37" x14ac:dyDescent="0.2">
      <c r="AK1574" s="725">
        <f t="shared" si="39"/>
        <v>0</v>
      </c>
    </row>
    <row r="1575" spans="37:37" x14ac:dyDescent="0.2">
      <c r="AK1575" s="725">
        <f t="shared" si="39"/>
        <v>0</v>
      </c>
    </row>
    <row r="1576" spans="37:37" x14ac:dyDescent="0.2">
      <c r="AK1576" s="725">
        <f t="shared" si="39"/>
        <v>0</v>
      </c>
    </row>
    <row r="1577" spans="37:37" x14ac:dyDescent="0.2">
      <c r="AK1577" s="725">
        <f t="shared" si="39"/>
        <v>0</v>
      </c>
    </row>
    <row r="1578" spans="37:37" x14ac:dyDescent="0.2">
      <c r="AK1578" s="725">
        <f t="shared" si="39"/>
        <v>0</v>
      </c>
    </row>
    <row r="1579" spans="37:37" x14ac:dyDescent="0.2">
      <c r="AK1579" s="725">
        <f t="shared" si="39"/>
        <v>0</v>
      </c>
    </row>
    <row r="1580" spans="37:37" x14ac:dyDescent="0.2">
      <c r="AK1580" s="725">
        <f t="shared" si="39"/>
        <v>0</v>
      </c>
    </row>
    <row r="1581" spans="37:37" x14ac:dyDescent="0.2">
      <c r="AK1581" s="725">
        <f t="shared" si="39"/>
        <v>0</v>
      </c>
    </row>
    <row r="1582" spans="37:37" x14ac:dyDescent="0.2">
      <c r="AK1582" s="725">
        <f t="shared" si="39"/>
        <v>0</v>
      </c>
    </row>
    <row r="1583" spans="37:37" x14ac:dyDescent="0.2">
      <c r="AK1583" s="725">
        <f t="shared" si="39"/>
        <v>0</v>
      </c>
    </row>
    <row r="1584" spans="37:37" x14ac:dyDescent="0.2">
      <c r="AK1584" s="725">
        <f t="shared" si="39"/>
        <v>0</v>
      </c>
    </row>
    <row r="1585" spans="37:37" x14ac:dyDescent="0.2">
      <c r="AK1585" s="725">
        <f t="shared" si="39"/>
        <v>0</v>
      </c>
    </row>
    <row r="1586" spans="37:37" x14ac:dyDescent="0.2">
      <c r="AK1586" s="725">
        <f t="shared" si="39"/>
        <v>0</v>
      </c>
    </row>
    <row r="1587" spans="37:37" x14ac:dyDescent="0.2">
      <c r="AK1587" s="725">
        <f t="shared" si="39"/>
        <v>0</v>
      </c>
    </row>
    <row r="1588" spans="37:37" x14ac:dyDescent="0.2">
      <c r="AK1588" s="725">
        <f t="shared" si="39"/>
        <v>0</v>
      </c>
    </row>
    <row r="1589" spans="37:37" x14ac:dyDescent="0.2">
      <c r="AK1589" s="725">
        <f t="shared" si="39"/>
        <v>0</v>
      </c>
    </row>
    <row r="1590" spans="37:37" x14ac:dyDescent="0.2">
      <c r="AK1590" s="725">
        <f t="shared" si="39"/>
        <v>0</v>
      </c>
    </row>
    <row r="1591" spans="37:37" x14ac:dyDescent="0.2">
      <c r="AK1591" s="725">
        <f t="shared" si="39"/>
        <v>0</v>
      </c>
    </row>
    <row r="1592" spans="37:37" x14ac:dyDescent="0.2">
      <c r="AK1592" s="725">
        <f t="shared" si="39"/>
        <v>0</v>
      </c>
    </row>
    <row r="1593" spans="37:37" x14ac:dyDescent="0.2">
      <c r="AK1593" s="725">
        <f t="shared" si="39"/>
        <v>0</v>
      </c>
    </row>
    <row r="1594" spans="37:37" x14ac:dyDescent="0.2">
      <c r="AK1594" s="725">
        <f t="shared" si="39"/>
        <v>0</v>
      </c>
    </row>
    <row r="1595" spans="37:37" x14ac:dyDescent="0.2">
      <c r="AK1595" s="725">
        <f t="shared" si="39"/>
        <v>0</v>
      </c>
    </row>
    <row r="1596" spans="37:37" x14ac:dyDescent="0.2">
      <c r="AK1596" s="725">
        <f t="shared" si="39"/>
        <v>0</v>
      </c>
    </row>
    <row r="1597" spans="37:37" x14ac:dyDescent="0.2">
      <c r="AK1597" s="725">
        <f t="shared" si="39"/>
        <v>0</v>
      </c>
    </row>
    <row r="1598" spans="37:37" x14ac:dyDescent="0.2">
      <c r="AK1598" s="725">
        <f t="shared" si="39"/>
        <v>0</v>
      </c>
    </row>
    <row r="1599" spans="37:37" x14ac:dyDescent="0.2">
      <c r="AK1599" s="725">
        <f t="shared" si="39"/>
        <v>0</v>
      </c>
    </row>
    <row r="1600" spans="37:37" x14ac:dyDescent="0.2">
      <c r="AK1600" s="725">
        <f t="shared" si="39"/>
        <v>0</v>
      </c>
    </row>
    <row r="1601" spans="37:37" x14ac:dyDescent="0.2">
      <c r="AK1601" s="725">
        <f t="shared" si="39"/>
        <v>0</v>
      </c>
    </row>
    <row r="1602" spans="37:37" x14ac:dyDescent="0.2">
      <c r="AK1602" s="725">
        <f t="shared" si="39"/>
        <v>0</v>
      </c>
    </row>
    <row r="1603" spans="37:37" x14ac:dyDescent="0.2">
      <c r="AK1603" s="725">
        <f t="shared" si="39"/>
        <v>0</v>
      </c>
    </row>
    <row r="1604" spans="37:37" x14ac:dyDescent="0.2">
      <c r="AK1604" s="725">
        <f t="shared" si="39"/>
        <v>0</v>
      </c>
    </row>
    <row r="1605" spans="37:37" x14ac:dyDescent="0.2">
      <c r="AK1605" s="725">
        <f t="shared" si="39"/>
        <v>0</v>
      </c>
    </row>
    <row r="1606" spans="37:37" x14ac:dyDescent="0.2">
      <c r="AK1606" s="725">
        <f t="shared" si="39"/>
        <v>0</v>
      </c>
    </row>
    <row r="1607" spans="37:37" x14ac:dyDescent="0.2">
      <c r="AK1607" s="725">
        <f t="shared" si="39"/>
        <v>0</v>
      </c>
    </row>
    <row r="1608" spans="37:37" x14ac:dyDescent="0.2">
      <c r="AK1608" s="725">
        <f t="shared" si="39"/>
        <v>0</v>
      </c>
    </row>
    <row r="1609" spans="37:37" x14ac:dyDescent="0.2">
      <c r="AK1609" s="725">
        <f t="shared" si="39"/>
        <v>0</v>
      </c>
    </row>
    <row r="1610" spans="37:37" x14ac:dyDescent="0.2">
      <c r="AK1610" s="725">
        <f t="shared" si="39"/>
        <v>0</v>
      </c>
    </row>
    <row r="1611" spans="37:37" x14ac:dyDescent="0.2">
      <c r="AK1611" s="725">
        <f t="shared" si="39"/>
        <v>0</v>
      </c>
    </row>
    <row r="1612" spans="37:37" x14ac:dyDescent="0.2">
      <c r="AK1612" s="725">
        <f t="shared" si="39"/>
        <v>0</v>
      </c>
    </row>
    <row r="1613" spans="37:37" x14ac:dyDescent="0.2">
      <c r="AK1613" s="725">
        <f t="shared" si="39"/>
        <v>0</v>
      </c>
    </row>
    <row r="1614" spans="37:37" x14ac:dyDescent="0.2">
      <c r="AK1614" s="725">
        <f t="shared" si="39"/>
        <v>0</v>
      </c>
    </row>
    <row r="1615" spans="37:37" x14ac:dyDescent="0.2">
      <c r="AK1615" s="725">
        <f t="shared" si="39"/>
        <v>0</v>
      </c>
    </row>
    <row r="1616" spans="37:37" x14ac:dyDescent="0.2">
      <c r="AK1616" s="725">
        <f t="shared" si="39"/>
        <v>0</v>
      </c>
    </row>
    <row r="1617" spans="37:37" x14ac:dyDescent="0.2">
      <c r="AK1617" s="725">
        <f t="shared" si="39"/>
        <v>0</v>
      </c>
    </row>
    <row r="1618" spans="37:37" x14ac:dyDescent="0.2">
      <c r="AK1618" s="725">
        <f t="shared" si="39"/>
        <v>0</v>
      </c>
    </row>
    <row r="1619" spans="37:37" x14ac:dyDescent="0.2">
      <c r="AK1619" s="725">
        <f t="shared" si="39"/>
        <v>0</v>
      </c>
    </row>
    <row r="1620" spans="37:37" x14ac:dyDescent="0.2">
      <c r="AK1620" s="725">
        <f t="shared" si="39"/>
        <v>0</v>
      </c>
    </row>
    <row r="1621" spans="37:37" x14ac:dyDescent="0.2">
      <c r="AK1621" s="725">
        <f t="shared" si="39"/>
        <v>0</v>
      </c>
    </row>
    <row r="1622" spans="37:37" x14ac:dyDescent="0.2">
      <c r="AK1622" s="725">
        <f t="shared" si="39"/>
        <v>0</v>
      </c>
    </row>
    <row r="1623" spans="37:37" x14ac:dyDescent="0.2">
      <c r="AK1623" s="725">
        <f t="shared" si="39"/>
        <v>0</v>
      </c>
    </row>
    <row r="1624" spans="37:37" x14ac:dyDescent="0.2">
      <c r="AK1624" s="725">
        <f t="shared" ref="AK1624:AK1687" si="40">SUM(O1624:AJ1624)</f>
        <v>0</v>
      </c>
    </row>
    <row r="1625" spans="37:37" x14ac:dyDescent="0.2">
      <c r="AK1625" s="725">
        <f t="shared" si="40"/>
        <v>0</v>
      </c>
    </row>
    <row r="1626" spans="37:37" x14ac:dyDescent="0.2">
      <c r="AK1626" s="725">
        <f t="shared" si="40"/>
        <v>0</v>
      </c>
    </row>
    <row r="1627" spans="37:37" x14ac:dyDescent="0.2">
      <c r="AK1627" s="725">
        <f t="shared" si="40"/>
        <v>0</v>
      </c>
    </row>
    <row r="1628" spans="37:37" x14ac:dyDescent="0.2">
      <c r="AK1628" s="725">
        <f t="shared" si="40"/>
        <v>0</v>
      </c>
    </row>
    <row r="1629" spans="37:37" x14ac:dyDescent="0.2">
      <c r="AK1629" s="725">
        <f t="shared" si="40"/>
        <v>0</v>
      </c>
    </row>
    <row r="1630" spans="37:37" x14ac:dyDescent="0.2">
      <c r="AK1630" s="725">
        <f t="shared" si="40"/>
        <v>0</v>
      </c>
    </row>
    <row r="1631" spans="37:37" x14ac:dyDescent="0.2">
      <c r="AK1631" s="725">
        <f t="shared" si="40"/>
        <v>0</v>
      </c>
    </row>
    <row r="1632" spans="37:37" x14ac:dyDescent="0.2">
      <c r="AK1632" s="725">
        <f t="shared" si="40"/>
        <v>0</v>
      </c>
    </row>
    <row r="1633" spans="37:37" x14ac:dyDescent="0.2">
      <c r="AK1633" s="725">
        <f t="shared" si="40"/>
        <v>0</v>
      </c>
    </row>
    <row r="1634" spans="37:37" x14ac:dyDescent="0.2">
      <c r="AK1634" s="725">
        <f t="shared" si="40"/>
        <v>0</v>
      </c>
    </row>
    <row r="1635" spans="37:37" x14ac:dyDescent="0.2">
      <c r="AK1635" s="725">
        <f t="shared" si="40"/>
        <v>0</v>
      </c>
    </row>
    <row r="1636" spans="37:37" x14ac:dyDescent="0.2">
      <c r="AK1636" s="725">
        <f t="shared" si="40"/>
        <v>0</v>
      </c>
    </row>
    <row r="1637" spans="37:37" x14ac:dyDescent="0.2">
      <c r="AK1637" s="725">
        <f t="shared" si="40"/>
        <v>0</v>
      </c>
    </row>
    <row r="1638" spans="37:37" x14ac:dyDescent="0.2">
      <c r="AK1638" s="725">
        <f t="shared" si="40"/>
        <v>0</v>
      </c>
    </row>
    <row r="1639" spans="37:37" x14ac:dyDescent="0.2">
      <c r="AK1639" s="725">
        <f t="shared" si="40"/>
        <v>0</v>
      </c>
    </row>
    <row r="1640" spans="37:37" x14ac:dyDescent="0.2">
      <c r="AK1640" s="725">
        <f t="shared" si="40"/>
        <v>0</v>
      </c>
    </row>
    <row r="1641" spans="37:37" x14ac:dyDescent="0.2">
      <c r="AK1641" s="725">
        <f t="shared" si="40"/>
        <v>0</v>
      </c>
    </row>
    <row r="1642" spans="37:37" x14ac:dyDescent="0.2">
      <c r="AK1642" s="725">
        <f t="shared" si="40"/>
        <v>0</v>
      </c>
    </row>
    <row r="1643" spans="37:37" x14ac:dyDescent="0.2">
      <c r="AK1643" s="725">
        <f t="shared" si="40"/>
        <v>0</v>
      </c>
    </row>
    <row r="1644" spans="37:37" x14ac:dyDescent="0.2">
      <c r="AK1644" s="725">
        <f t="shared" si="40"/>
        <v>0</v>
      </c>
    </row>
    <row r="1645" spans="37:37" x14ac:dyDescent="0.2">
      <c r="AK1645" s="725">
        <f t="shared" si="40"/>
        <v>0</v>
      </c>
    </row>
    <row r="1646" spans="37:37" x14ac:dyDescent="0.2">
      <c r="AK1646" s="725">
        <f t="shared" si="40"/>
        <v>0</v>
      </c>
    </row>
    <row r="1647" spans="37:37" x14ac:dyDescent="0.2">
      <c r="AK1647" s="725">
        <f t="shared" si="40"/>
        <v>0</v>
      </c>
    </row>
    <row r="1648" spans="37:37" x14ac:dyDescent="0.2">
      <c r="AK1648" s="725">
        <f t="shared" si="40"/>
        <v>0</v>
      </c>
    </row>
    <row r="1649" spans="37:37" x14ac:dyDescent="0.2">
      <c r="AK1649" s="725">
        <f t="shared" si="40"/>
        <v>0</v>
      </c>
    </row>
    <row r="1650" spans="37:37" x14ac:dyDescent="0.2">
      <c r="AK1650" s="725">
        <f t="shared" si="40"/>
        <v>0</v>
      </c>
    </row>
    <row r="1651" spans="37:37" x14ac:dyDescent="0.2">
      <c r="AK1651" s="725">
        <f t="shared" si="40"/>
        <v>0</v>
      </c>
    </row>
    <row r="1652" spans="37:37" x14ac:dyDescent="0.2">
      <c r="AK1652" s="725">
        <f t="shared" si="40"/>
        <v>0</v>
      </c>
    </row>
    <row r="1653" spans="37:37" x14ac:dyDescent="0.2">
      <c r="AK1653" s="725">
        <f t="shared" si="40"/>
        <v>0</v>
      </c>
    </row>
    <row r="1654" spans="37:37" x14ac:dyDescent="0.2">
      <c r="AK1654" s="725">
        <f t="shared" si="40"/>
        <v>0</v>
      </c>
    </row>
    <row r="1655" spans="37:37" x14ac:dyDescent="0.2">
      <c r="AK1655" s="725">
        <f t="shared" si="40"/>
        <v>0</v>
      </c>
    </row>
    <row r="1656" spans="37:37" x14ac:dyDescent="0.2">
      <c r="AK1656" s="725">
        <f t="shared" si="40"/>
        <v>0</v>
      </c>
    </row>
    <row r="1657" spans="37:37" x14ac:dyDescent="0.2">
      <c r="AK1657" s="725">
        <f t="shared" si="40"/>
        <v>0</v>
      </c>
    </row>
    <row r="1658" spans="37:37" x14ac:dyDescent="0.2">
      <c r="AK1658" s="725">
        <f t="shared" si="40"/>
        <v>0</v>
      </c>
    </row>
    <row r="1659" spans="37:37" x14ac:dyDescent="0.2">
      <c r="AK1659" s="725">
        <f t="shared" si="40"/>
        <v>0</v>
      </c>
    </row>
    <row r="1660" spans="37:37" x14ac:dyDescent="0.2">
      <c r="AK1660" s="725">
        <f t="shared" si="40"/>
        <v>0</v>
      </c>
    </row>
    <row r="1661" spans="37:37" x14ac:dyDescent="0.2">
      <c r="AK1661" s="725">
        <f t="shared" si="40"/>
        <v>0</v>
      </c>
    </row>
    <row r="1662" spans="37:37" x14ac:dyDescent="0.2">
      <c r="AK1662" s="725">
        <f t="shared" si="40"/>
        <v>0</v>
      </c>
    </row>
    <row r="1663" spans="37:37" x14ac:dyDescent="0.2">
      <c r="AK1663" s="725">
        <f t="shared" si="40"/>
        <v>0</v>
      </c>
    </row>
    <row r="1664" spans="37:37" x14ac:dyDescent="0.2">
      <c r="AK1664" s="725">
        <f t="shared" si="40"/>
        <v>0</v>
      </c>
    </row>
    <row r="1665" spans="37:37" x14ac:dyDescent="0.2">
      <c r="AK1665" s="725">
        <f t="shared" si="40"/>
        <v>0</v>
      </c>
    </row>
    <row r="1666" spans="37:37" x14ac:dyDescent="0.2">
      <c r="AK1666" s="725">
        <f t="shared" si="40"/>
        <v>0</v>
      </c>
    </row>
    <row r="1667" spans="37:37" x14ac:dyDescent="0.2">
      <c r="AK1667" s="725">
        <f t="shared" si="40"/>
        <v>0</v>
      </c>
    </row>
    <row r="1668" spans="37:37" x14ac:dyDescent="0.2">
      <c r="AK1668" s="725">
        <f t="shared" si="40"/>
        <v>0</v>
      </c>
    </row>
    <row r="1669" spans="37:37" x14ac:dyDescent="0.2">
      <c r="AK1669" s="725">
        <f t="shared" si="40"/>
        <v>0</v>
      </c>
    </row>
    <row r="1670" spans="37:37" x14ac:dyDescent="0.2">
      <c r="AK1670" s="725">
        <f t="shared" si="40"/>
        <v>0</v>
      </c>
    </row>
    <row r="1671" spans="37:37" x14ac:dyDescent="0.2">
      <c r="AK1671" s="725">
        <f t="shared" si="40"/>
        <v>0</v>
      </c>
    </row>
    <row r="1672" spans="37:37" x14ac:dyDescent="0.2">
      <c r="AK1672" s="725">
        <f t="shared" si="40"/>
        <v>0</v>
      </c>
    </row>
    <row r="1673" spans="37:37" x14ac:dyDescent="0.2">
      <c r="AK1673" s="725">
        <f t="shared" si="40"/>
        <v>0</v>
      </c>
    </row>
    <row r="1674" spans="37:37" x14ac:dyDescent="0.2">
      <c r="AK1674" s="725">
        <f t="shared" si="40"/>
        <v>0</v>
      </c>
    </row>
    <row r="1675" spans="37:37" x14ac:dyDescent="0.2">
      <c r="AK1675" s="725">
        <f t="shared" si="40"/>
        <v>0</v>
      </c>
    </row>
    <row r="1676" spans="37:37" x14ac:dyDescent="0.2">
      <c r="AK1676" s="725">
        <f t="shared" si="40"/>
        <v>0</v>
      </c>
    </row>
    <row r="1677" spans="37:37" x14ac:dyDescent="0.2">
      <c r="AK1677" s="725">
        <f t="shared" si="40"/>
        <v>0</v>
      </c>
    </row>
    <row r="1678" spans="37:37" x14ac:dyDescent="0.2">
      <c r="AK1678" s="725">
        <f t="shared" si="40"/>
        <v>0</v>
      </c>
    </row>
    <row r="1679" spans="37:37" x14ac:dyDescent="0.2">
      <c r="AK1679" s="725">
        <f t="shared" si="40"/>
        <v>0</v>
      </c>
    </row>
    <row r="1680" spans="37:37" x14ac:dyDescent="0.2">
      <c r="AK1680" s="725">
        <f t="shared" si="40"/>
        <v>0</v>
      </c>
    </row>
    <row r="1681" spans="37:37" x14ac:dyDescent="0.2">
      <c r="AK1681" s="725">
        <f t="shared" si="40"/>
        <v>0</v>
      </c>
    </row>
    <row r="1682" spans="37:37" x14ac:dyDescent="0.2">
      <c r="AK1682" s="725">
        <f t="shared" si="40"/>
        <v>0</v>
      </c>
    </row>
    <row r="1683" spans="37:37" x14ac:dyDescent="0.2">
      <c r="AK1683" s="725">
        <f t="shared" si="40"/>
        <v>0</v>
      </c>
    </row>
    <row r="1684" spans="37:37" x14ac:dyDescent="0.2">
      <c r="AK1684" s="725">
        <f t="shared" si="40"/>
        <v>0</v>
      </c>
    </row>
    <row r="1685" spans="37:37" x14ac:dyDescent="0.2">
      <c r="AK1685" s="725">
        <f t="shared" si="40"/>
        <v>0</v>
      </c>
    </row>
    <row r="1686" spans="37:37" x14ac:dyDescent="0.2">
      <c r="AK1686" s="725">
        <f t="shared" si="40"/>
        <v>0</v>
      </c>
    </row>
    <row r="1687" spans="37:37" x14ac:dyDescent="0.2">
      <c r="AK1687" s="725">
        <f t="shared" si="40"/>
        <v>0</v>
      </c>
    </row>
    <row r="1688" spans="37:37" x14ac:dyDescent="0.2">
      <c r="AK1688" s="725">
        <f t="shared" ref="AK1688:AK1751" si="41">SUM(O1688:AJ1688)</f>
        <v>0</v>
      </c>
    </row>
    <row r="1689" spans="37:37" x14ac:dyDescent="0.2">
      <c r="AK1689" s="725">
        <f t="shared" si="41"/>
        <v>0</v>
      </c>
    </row>
    <row r="1690" spans="37:37" x14ac:dyDescent="0.2">
      <c r="AK1690" s="725">
        <f t="shared" si="41"/>
        <v>0</v>
      </c>
    </row>
    <row r="1691" spans="37:37" x14ac:dyDescent="0.2">
      <c r="AK1691" s="725">
        <f t="shared" si="41"/>
        <v>0</v>
      </c>
    </row>
    <row r="1692" spans="37:37" x14ac:dyDescent="0.2">
      <c r="AK1692" s="725">
        <f t="shared" si="41"/>
        <v>0</v>
      </c>
    </row>
    <row r="1693" spans="37:37" x14ac:dyDescent="0.2">
      <c r="AK1693" s="725">
        <f t="shared" si="41"/>
        <v>0</v>
      </c>
    </row>
    <row r="1694" spans="37:37" x14ac:dyDescent="0.2">
      <c r="AK1694" s="725">
        <f t="shared" si="41"/>
        <v>0</v>
      </c>
    </row>
    <row r="1695" spans="37:37" x14ac:dyDescent="0.2">
      <c r="AK1695" s="725">
        <f t="shared" si="41"/>
        <v>0</v>
      </c>
    </row>
    <row r="1696" spans="37:37" x14ac:dyDescent="0.2">
      <c r="AK1696" s="725">
        <f t="shared" si="41"/>
        <v>0</v>
      </c>
    </row>
    <row r="1697" spans="37:37" x14ac:dyDescent="0.2">
      <c r="AK1697" s="725">
        <f t="shared" si="41"/>
        <v>0</v>
      </c>
    </row>
    <row r="1698" spans="37:37" x14ac:dyDescent="0.2">
      <c r="AK1698" s="725">
        <f t="shared" si="41"/>
        <v>0</v>
      </c>
    </row>
    <row r="1699" spans="37:37" x14ac:dyDescent="0.2">
      <c r="AK1699" s="725">
        <f t="shared" si="41"/>
        <v>0</v>
      </c>
    </row>
    <row r="1700" spans="37:37" x14ac:dyDescent="0.2">
      <c r="AK1700" s="725">
        <f t="shared" si="41"/>
        <v>0</v>
      </c>
    </row>
    <row r="1701" spans="37:37" x14ac:dyDescent="0.2">
      <c r="AK1701" s="725">
        <f t="shared" si="41"/>
        <v>0</v>
      </c>
    </row>
    <row r="1702" spans="37:37" x14ac:dyDescent="0.2">
      <c r="AK1702" s="725">
        <f t="shared" si="41"/>
        <v>0</v>
      </c>
    </row>
    <row r="1703" spans="37:37" x14ac:dyDescent="0.2">
      <c r="AK1703" s="725">
        <f t="shared" si="41"/>
        <v>0</v>
      </c>
    </row>
    <row r="1704" spans="37:37" x14ac:dyDescent="0.2">
      <c r="AK1704" s="725">
        <f t="shared" si="41"/>
        <v>0</v>
      </c>
    </row>
    <row r="1705" spans="37:37" x14ac:dyDescent="0.2">
      <c r="AK1705" s="725">
        <f t="shared" si="41"/>
        <v>0</v>
      </c>
    </row>
    <row r="1706" spans="37:37" x14ac:dyDescent="0.2">
      <c r="AK1706" s="725">
        <f t="shared" si="41"/>
        <v>0</v>
      </c>
    </row>
    <row r="1707" spans="37:37" x14ac:dyDescent="0.2">
      <c r="AK1707" s="725">
        <f t="shared" si="41"/>
        <v>0</v>
      </c>
    </row>
    <row r="1708" spans="37:37" x14ac:dyDescent="0.2">
      <c r="AK1708" s="725">
        <f t="shared" si="41"/>
        <v>0</v>
      </c>
    </row>
    <row r="1709" spans="37:37" x14ac:dyDescent="0.2">
      <c r="AK1709" s="725">
        <f t="shared" si="41"/>
        <v>0</v>
      </c>
    </row>
    <row r="1710" spans="37:37" x14ac:dyDescent="0.2">
      <c r="AK1710" s="725">
        <f t="shared" si="41"/>
        <v>0</v>
      </c>
    </row>
    <row r="1711" spans="37:37" x14ac:dyDescent="0.2">
      <c r="AK1711" s="725">
        <f t="shared" si="41"/>
        <v>0</v>
      </c>
    </row>
    <row r="1712" spans="37:37" x14ac:dyDescent="0.2">
      <c r="AK1712" s="725">
        <f t="shared" si="41"/>
        <v>0</v>
      </c>
    </row>
    <row r="1713" spans="37:37" x14ac:dyDescent="0.2">
      <c r="AK1713" s="725">
        <f t="shared" si="41"/>
        <v>0</v>
      </c>
    </row>
    <row r="1714" spans="37:37" x14ac:dyDescent="0.2">
      <c r="AK1714" s="725">
        <f t="shared" si="41"/>
        <v>0</v>
      </c>
    </row>
    <row r="1715" spans="37:37" x14ac:dyDescent="0.2">
      <c r="AK1715" s="725">
        <f t="shared" si="41"/>
        <v>0</v>
      </c>
    </row>
    <row r="1716" spans="37:37" x14ac:dyDescent="0.2">
      <c r="AK1716" s="725">
        <f t="shared" si="41"/>
        <v>0</v>
      </c>
    </row>
    <row r="1717" spans="37:37" x14ac:dyDescent="0.2">
      <c r="AK1717" s="725">
        <f t="shared" si="41"/>
        <v>0</v>
      </c>
    </row>
    <row r="1718" spans="37:37" x14ac:dyDescent="0.2">
      <c r="AK1718" s="725">
        <f t="shared" si="41"/>
        <v>0</v>
      </c>
    </row>
    <row r="1719" spans="37:37" x14ac:dyDescent="0.2">
      <c r="AK1719" s="725">
        <f t="shared" si="41"/>
        <v>0</v>
      </c>
    </row>
    <row r="1720" spans="37:37" x14ac:dyDescent="0.2">
      <c r="AK1720" s="725">
        <f t="shared" si="41"/>
        <v>0</v>
      </c>
    </row>
    <row r="1721" spans="37:37" x14ac:dyDescent="0.2">
      <c r="AK1721" s="725">
        <f t="shared" si="41"/>
        <v>0</v>
      </c>
    </row>
    <row r="1722" spans="37:37" x14ac:dyDescent="0.2">
      <c r="AK1722" s="725">
        <f t="shared" si="41"/>
        <v>0</v>
      </c>
    </row>
    <row r="1723" spans="37:37" x14ac:dyDescent="0.2">
      <c r="AK1723" s="725">
        <f t="shared" si="41"/>
        <v>0</v>
      </c>
    </row>
    <row r="1724" spans="37:37" x14ac:dyDescent="0.2">
      <c r="AK1724" s="725">
        <f t="shared" si="41"/>
        <v>0</v>
      </c>
    </row>
    <row r="1725" spans="37:37" x14ac:dyDescent="0.2">
      <c r="AK1725" s="725">
        <f t="shared" si="41"/>
        <v>0</v>
      </c>
    </row>
    <row r="1726" spans="37:37" x14ac:dyDescent="0.2">
      <c r="AK1726" s="725">
        <f t="shared" si="41"/>
        <v>0</v>
      </c>
    </row>
    <row r="1727" spans="37:37" x14ac:dyDescent="0.2">
      <c r="AK1727" s="725">
        <f t="shared" si="41"/>
        <v>0</v>
      </c>
    </row>
    <row r="1728" spans="37:37" x14ac:dyDescent="0.2">
      <c r="AK1728" s="725">
        <f t="shared" si="41"/>
        <v>0</v>
      </c>
    </row>
    <row r="1729" spans="37:37" x14ac:dyDescent="0.2">
      <c r="AK1729" s="725">
        <f t="shared" si="41"/>
        <v>0</v>
      </c>
    </row>
    <row r="1730" spans="37:37" x14ac:dyDescent="0.2">
      <c r="AK1730" s="725">
        <f t="shared" si="41"/>
        <v>0</v>
      </c>
    </row>
    <row r="1731" spans="37:37" x14ac:dyDescent="0.2">
      <c r="AK1731" s="725">
        <f t="shared" si="41"/>
        <v>0</v>
      </c>
    </row>
    <row r="1732" spans="37:37" x14ac:dyDescent="0.2">
      <c r="AK1732" s="725">
        <f t="shared" si="41"/>
        <v>0</v>
      </c>
    </row>
    <row r="1733" spans="37:37" x14ac:dyDescent="0.2">
      <c r="AK1733" s="725">
        <f t="shared" si="41"/>
        <v>0</v>
      </c>
    </row>
    <row r="1734" spans="37:37" x14ac:dyDescent="0.2">
      <c r="AK1734" s="725">
        <f t="shared" si="41"/>
        <v>0</v>
      </c>
    </row>
    <row r="1735" spans="37:37" x14ac:dyDescent="0.2">
      <c r="AK1735" s="725">
        <f t="shared" si="41"/>
        <v>0</v>
      </c>
    </row>
    <row r="1736" spans="37:37" x14ac:dyDescent="0.2">
      <c r="AK1736" s="725">
        <f t="shared" si="41"/>
        <v>0</v>
      </c>
    </row>
    <row r="1737" spans="37:37" x14ac:dyDescent="0.2">
      <c r="AK1737" s="725">
        <f t="shared" si="41"/>
        <v>0</v>
      </c>
    </row>
    <row r="1738" spans="37:37" x14ac:dyDescent="0.2">
      <c r="AK1738" s="725">
        <f t="shared" si="41"/>
        <v>0</v>
      </c>
    </row>
    <row r="1739" spans="37:37" x14ac:dyDescent="0.2">
      <c r="AK1739" s="725">
        <f t="shared" si="41"/>
        <v>0</v>
      </c>
    </row>
    <row r="1740" spans="37:37" x14ac:dyDescent="0.2">
      <c r="AK1740" s="725">
        <f t="shared" si="41"/>
        <v>0</v>
      </c>
    </row>
    <row r="1741" spans="37:37" x14ac:dyDescent="0.2">
      <c r="AK1741" s="725">
        <f t="shared" si="41"/>
        <v>0</v>
      </c>
    </row>
    <row r="1742" spans="37:37" x14ac:dyDescent="0.2">
      <c r="AK1742" s="725">
        <f t="shared" si="41"/>
        <v>0</v>
      </c>
    </row>
    <row r="1743" spans="37:37" x14ac:dyDescent="0.2">
      <c r="AK1743" s="725">
        <f t="shared" si="41"/>
        <v>0</v>
      </c>
    </row>
    <row r="1744" spans="37:37" x14ac:dyDescent="0.2">
      <c r="AK1744" s="725">
        <f t="shared" si="41"/>
        <v>0</v>
      </c>
    </row>
    <row r="1745" spans="37:37" x14ac:dyDescent="0.2">
      <c r="AK1745" s="725">
        <f t="shared" si="41"/>
        <v>0</v>
      </c>
    </row>
    <row r="1746" spans="37:37" x14ac:dyDescent="0.2">
      <c r="AK1746" s="725">
        <f t="shared" si="41"/>
        <v>0</v>
      </c>
    </row>
    <row r="1747" spans="37:37" x14ac:dyDescent="0.2">
      <c r="AK1747" s="725">
        <f t="shared" si="41"/>
        <v>0</v>
      </c>
    </row>
    <row r="1748" spans="37:37" x14ac:dyDescent="0.2">
      <c r="AK1748" s="725">
        <f t="shared" si="41"/>
        <v>0</v>
      </c>
    </row>
    <row r="1749" spans="37:37" x14ac:dyDescent="0.2">
      <c r="AK1749" s="725">
        <f t="shared" si="41"/>
        <v>0</v>
      </c>
    </row>
    <row r="1750" spans="37:37" x14ac:dyDescent="0.2">
      <c r="AK1750" s="725">
        <f t="shared" si="41"/>
        <v>0</v>
      </c>
    </row>
    <row r="1751" spans="37:37" x14ac:dyDescent="0.2">
      <c r="AK1751" s="725">
        <f t="shared" si="41"/>
        <v>0</v>
      </c>
    </row>
    <row r="1752" spans="37:37" x14ac:dyDescent="0.2">
      <c r="AK1752" s="725">
        <f t="shared" ref="AK1752:AK1815" si="42">SUM(O1752:AJ1752)</f>
        <v>0</v>
      </c>
    </row>
    <row r="1753" spans="37:37" x14ac:dyDescent="0.2">
      <c r="AK1753" s="725">
        <f t="shared" si="42"/>
        <v>0</v>
      </c>
    </row>
    <row r="1754" spans="37:37" x14ac:dyDescent="0.2">
      <c r="AK1754" s="725">
        <f t="shared" si="42"/>
        <v>0</v>
      </c>
    </row>
    <row r="1755" spans="37:37" x14ac:dyDescent="0.2">
      <c r="AK1755" s="725">
        <f t="shared" si="42"/>
        <v>0</v>
      </c>
    </row>
    <row r="1756" spans="37:37" x14ac:dyDescent="0.2">
      <c r="AK1756" s="725">
        <f t="shared" si="42"/>
        <v>0</v>
      </c>
    </row>
    <row r="1757" spans="37:37" x14ac:dyDescent="0.2">
      <c r="AK1757" s="725">
        <f t="shared" si="42"/>
        <v>0</v>
      </c>
    </row>
    <row r="1758" spans="37:37" x14ac:dyDescent="0.2">
      <c r="AK1758" s="725">
        <f t="shared" si="42"/>
        <v>0</v>
      </c>
    </row>
    <row r="1759" spans="37:37" x14ac:dyDescent="0.2">
      <c r="AK1759" s="725">
        <f t="shared" si="42"/>
        <v>0</v>
      </c>
    </row>
    <row r="1760" spans="37:37" x14ac:dyDescent="0.2">
      <c r="AK1760" s="725">
        <f t="shared" si="42"/>
        <v>0</v>
      </c>
    </row>
    <row r="1761" spans="37:37" x14ac:dyDescent="0.2">
      <c r="AK1761" s="725">
        <f t="shared" si="42"/>
        <v>0</v>
      </c>
    </row>
    <row r="1762" spans="37:37" x14ac:dyDescent="0.2">
      <c r="AK1762" s="725">
        <f t="shared" si="42"/>
        <v>0</v>
      </c>
    </row>
    <row r="1763" spans="37:37" x14ac:dyDescent="0.2">
      <c r="AK1763" s="725">
        <f t="shared" si="42"/>
        <v>0</v>
      </c>
    </row>
    <row r="1764" spans="37:37" x14ac:dyDescent="0.2">
      <c r="AK1764" s="725">
        <f t="shared" si="42"/>
        <v>0</v>
      </c>
    </row>
    <row r="1765" spans="37:37" x14ac:dyDescent="0.2">
      <c r="AK1765" s="725">
        <f t="shared" si="42"/>
        <v>0</v>
      </c>
    </row>
    <row r="1766" spans="37:37" x14ac:dyDescent="0.2">
      <c r="AK1766" s="725">
        <f t="shared" si="42"/>
        <v>0</v>
      </c>
    </row>
    <row r="1767" spans="37:37" x14ac:dyDescent="0.2">
      <c r="AK1767" s="725">
        <f t="shared" si="42"/>
        <v>0</v>
      </c>
    </row>
    <row r="1768" spans="37:37" x14ac:dyDescent="0.2">
      <c r="AK1768" s="725">
        <f t="shared" si="42"/>
        <v>0</v>
      </c>
    </row>
    <row r="1769" spans="37:37" x14ac:dyDescent="0.2">
      <c r="AK1769" s="725">
        <f t="shared" si="42"/>
        <v>0</v>
      </c>
    </row>
    <row r="1770" spans="37:37" x14ac:dyDescent="0.2">
      <c r="AK1770" s="725">
        <f t="shared" si="42"/>
        <v>0</v>
      </c>
    </row>
    <row r="1771" spans="37:37" x14ac:dyDescent="0.2">
      <c r="AK1771" s="725">
        <f t="shared" si="42"/>
        <v>0</v>
      </c>
    </row>
    <row r="1772" spans="37:37" x14ac:dyDescent="0.2">
      <c r="AK1772" s="725">
        <f t="shared" si="42"/>
        <v>0</v>
      </c>
    </row>
    <row r="1773" spans="37:37" x14ac:dyDescent="0.2">
      <c r="AK1773" s="725">
        <f t="shared" si="42"/>
        <v>0</v>
      </c>
    </row>
    <row r="1774" spans="37:37" x14ac:dyDescent="0.2">
      <c r="AK1774" s="725">
        <f t="shared" si="42"/>
        <v>0</v>
      </c>
    </row>
    <row r="1775" spans="37:37" x14ac:dyDescent="0.2">
      <c r="AK1775" s="725">
        <f t="shared" si="42"/>
        <v>0</v>
      </c>
    </row>
    <row r="1776" spans="37:37" x14ac:dyDescent="0.2">
      <c r="AK1776" s="725">
        <f t="shared" si="42"/>
        <v>0</v>
      </c>
    </row>
    <row r="1777" spans="37:37" x14ac:dyDescent="0.2">
      <c r="AK1777" s="725">
        <f t="shared" si="42"/>
        <v>0</v>
      </c>
    </row>
    <row r="1778" spans="37:37" x14ac:dyDescent="0.2">
      <c r="AK1778" s="725">
        <f t="shared" si="42"/>
        <v>0</v>
      </c>
    </row>
    <row r="1779" spans="37:37" x14ac:dyDescent="0.2">
      <c r="AK1779" s="725">
        <f t="shared" si="42"/>
        <v>0</v>
      </c>
    </row>
    <row r="1780" spans="37:37" x14ac:dyDescent="0.2">
      <c r="AK1780" s="725">
        <f t="shared" si="42"/>
        <v>0</v>
      </c>
    </row>
    <row r="1781" spans="37:37" x14ac:dyDescent="0.2">
      <c r="AK1781" s="725">
        <f t="shared" si="42"/>
        <v>0</v>
      </c>
    </row>
    <row r="1782" spans="37:37" x14ac:dyDescent="0.2">
      <c r="AK1782" s="725">
        <f t="shared" si="42"/>
        <v>0</v>
      </c>
    </row>
    <row r="1783" spans="37:37" x14ac:dyDescent="0.2">
      <c r="AK1783" s="725">
        <f t="shared" si="42"/>
        <v>0</v>
      </c>
    </row>
    <row r="1784" spans="37:37" x14ac:dyDescent="0.2">
      <c r="AK1784" s="725">
        <f t="shared" si="42"/>
        <v>0</v>
      </c>
    </row>
    <row r="1785" spans="37:37" x14ac:dyDescent="0.2">
      <c r="AK1785" s="725">
        <f t="shared" si="42"/>
        <v>0</v>
      </c>
    </row>
    <row r="1786" spans="37:37" x14ac:dyDescent="0.2">
      <c r="AK1786" s="725">
        <f t="shared" si="42"/>
        <v>0</v>
      </c>
    </row>
    <row r="1787" spans="37:37" x14ac:dyDescent="0.2">
      <c r="AK1787" s="725">
        <f t="shared" si="42"/>
        <v>0</v>
      </c>
    </row>
    <row r="1788" spans="37:37" x14ac:dyDescent="0.2">
      <c r="AK1788" s="725">
        <f t="shared" si="42"/>
        <v>0</v>
      </c>
    </row>
    <row r="1789" spans="37:37" x14ac:dyDescent="0.2">
      <c r="AK1789" s="725">
        <f t="shared" si="42"/>
        <v>0</v>
      </c>
    </row>
    <row r="1790" spans="37:37" x14ac:dyDescent="0.2">
      <c r="AK1790" s="725">
        <f t="shared" si="42"/>
        <v>0</v>
      </c>
    </row>
    <row r="1791" spans="37:37" x14ac:dyDescent="0.2">
      <c r="AK1791" s="725">
        <f t="shared" si="42"/>
        <v>0</v>
      </c>
    </row>
    <row r="1792" spans="37:37" x14ac:dyDescent="0.2">
      <c r="AK1792" s="725">
        <f t="shared" si="42"/>
        <v>0</v>
      </c>
    </row>
    <row r="1793" spans="37:37" x14ac:dyDescent="0.2">
      <c r="AK1793" s="725">
        <f t="shared" si="42"/>
        <v>0</v>
      </c>
    </row>
    <row r="1794" spans="37:37" x14ac:dyDescent="0.2">
      <c r="AK1794" s="725">
        <f t="shared" si="42"/>
        <v>0</v>
      </c>
    </row>
    <row r="1795" spans="37:37" x14ac:dyDescent="0.2">
      <c r="AK1795" s="725">
        <f t="shared" si="42"/>
        <v>0</v>
      </c>
    </row>
    <row r="1796" spans="37:37" x14ac:dyDescent="0.2">
      <c r="AK1796" s="725">
        <f t="shared" si="42"/>
        <v>0</v>
      </c>
    </row>
    <row r="1797" spans="37:37" x14ac:dyDescent="0.2">
      <c r="AK1797" s="725">
        <f t="shared" si="42"/>
        <v>0</v>
      </c>
    </row>
    <row r="1798" spans="37:37" x14ac:dyDescent="0.2">
      <c r="AK1798" s="725">
        <f t="shared" si="42"/>
        <v>0</v>
      </c>
    </row>
    <row r="1799" spans="37:37" x14ac:dyDescent="0.2">
      <c r="AK1799" s="725">
        <f t="shared" si="42"/>
        <v>0</v>
      </c>
    </row>
    <row r="1800" spans="37:37" x14ac:dyDescent="0.2">
      <c r="AK1800" s="725">
        <f t="shared" si="42"/>
        <v>0</v>
      </c>
    </row>
    <row r="1801" spans="37:37" x14ac:dyDescent="0.2">
      <c r="AK1801" s="725">
        <f t="shared" si="42"/>
        <v>0</v>
      </c>
    </row>
    <row r="1802" spans="37:37" x14ac:dyDescent="0.2">
      <c r="AK1802" s="725">
        <f t="shared" si="42"/>
        <v>0</v>
      </c>
    </row>
    <row r="1803" spans="37:37" x14ac:dyDescent="0.2">
      <c r="AK1803" s="725">
        <f t="shared" si="42"/>
        <v>0</v>
      </c>
    </row>
    <row r="1804" spans="37:37" x14ac:dyDescent="0.2">
      <c r="AK1804" s="725">
        <f t="shared" si="42"/>
        <v>0</v>
      </c>
    </row>
    <row r="1805" spans="37:37" x14ac:dyDescent="0.2">
      <c r="AK1805" s="725">
        <f t="shared" si="42"/>
        <v>0</v>
      </c>
    </row>
    <row r="1806" spans="37:37" x14ac:dyDescent="0.2">
      <c r="AK1806" s="725">
        <f t="shared" si="42"/>
        <v>0</v>
      </c>
    </row>
    <row r="1807" spans="37:37" x14ac:dyDescent="0.2">
      <c r="AK1807" s="725">
        <f t="shared" si="42"/>
        <v>0</v>
      </c>
    </row>
    <row r="1808" spans="37:37" x14ac:dyDescent="0.2">
      <c r="AK1808" s="725">
        <f t="shared" si="42"/>
        <v>0</v>
      </c>
    </row>
    <row r="1809" spans="37:37" x14ac:dyDescent="0.2">
      <c r="AK1809" s="725">
        <f t="shared" si="42"/>
        <v>0</v>
      </c>
    </row>
    <row r="1810" spans="37:37" x14ac:dyDescent="0.2">
      <c r="AK1810" s="725">
        <f t="shared" si="42"/>
        <v>0</v>
      </c>
    </row>
    <row r="1811" spans="37:37" x14ac:dyDescent="0.2">
      <c r="AK1811" s="725">
        <f t="shared" si="42"/>
        <v>0</v>
      </c>
    </row>
    <row r="1812" spans="37:37" x14ac:dyDescent="0.2">
      <c r="AK1812" s="725">
        <f t="shared" si="42"/>
        <v>0</v>
      </c>
    </row>
    <row r="1813" spans="37:37" x14ac:dyDescent="0.2">
      <c r="AK1813" s="725">
        <f t="shared" si="42"/>
        <v>0</v>
      </c>
    </row>
    <row r="1814" spans="37:37" x14ac:dyDescent="0.2">
      <c r="AK1814" s="725">
        <f t="shared" si="42"/>
        <v>0</v>
      </c>
    </row>
    <row r="1815" spans="37:37" x14ac:dyDescent="0.2">
      <c r="AK1815" s="725">
        <f t="shared" si="42"/>
        <v>0</v>
      </c>
    </row>
    <row r="1816" spans="37:37" x14ac:dyDescent="0.2">
      <c r="AK1816" s="725">
        <f t="shared" ref="AK1816:AK1879" si="43">SUM(O1816:AJ1816)</f>
        <v>0</v>
      </c>
    </row>
    <row r="1817" spans="37:37" x14ac:dyDescent="0.2">
      <c r="AK1817" s="725">
        <f t="shared" si="43"/>
        <v>0</v>
      </c>
    </row>
    <row r="1818" spans="37:37" x14ac:dyDescent="0.2">
      <c r="AK1818" s="725">
        <f t="shared" si="43"/>
        <v>0</v>
      </c>
    </row>
    <row r="1819" spans="37:37" x14ac:dyDescent="0.2">
      <c r="AK1819" s="725">
        <f t="shared" si="43"/>
        <v>0</v>
      </c>
    </row>
    <row r="1820" spans="37:37" x14ac:dyDescent="0.2">
      <c r="AK1820" s="725">
        <f t="shared" si="43"/>
        <v>0</v>
      </c>
    </row>
    <row r="1821" spans="37:37" x14ac:dyDescent="0.2">
      <c r="AK1821" s="725">
        <f t="shared" si="43"/>
        <v>0</v>
      </c>
    </row>
    <row r="1822" spans="37:37" x14ac:dyDescent="0.2">
      <c r="AK1822" s="725">
        <f t="shared" si="43"/>
        <v>0</v>
      </c>
    </row>
    <row r="1823" spans="37:37" x14ac:dyDescent="0.2">
      <c r="AK1823" s="725">
        <f t="shared" si="43"/>
        <v>0</v>
      </c>
    </row>
    <row r="1824" spans="37:37" x14ac:dyDescent="0.2">
      <c r="AK1824" s="725">
        <f t="shared" si="43"/>
        <v>0</v>
      </c>
    </row>
    <row r="1825" spans="37:37" x14ac:dyDescent="0.2">
      <c r="AK1825" s="725">
        <f t="shared" si="43"/>
        <v>0</v>
      </c>
    </row>
    <row r="1826" spans="37:37" x14ac:dyDescent="0.2">
      <c r="AK1826" s="725">
        <f t="shared" si="43"/>
        <v>0</v>
      </c>
    </row>
    <row r="1827" spans="37:37" x14ac:dyDescent="0.2">
      <c r="AK1827" s="725">
        <f t="shared" si="43"/>
        <v>0</v>
      </c>
    </row>
    <row r="1828" spans="37:37" x14ac:dyDescent="0.2">
      <c r="AK1828" s="725">
        <f t="shared" si="43"/>
        <v>0</v>
      </c>
    </row>
    <row r="1829" spans="37:37" x14ac:dyDescent="0.2">
      <c r="AK1829" s="725">
        <f t="shared" si="43"/>
        <v>0</v>
      </c>
    </row>
    <row r="1830" spans="37:37" x14ac:dyDescent="0.2">
      <c r="AK1830" s="725">
        <f t="shared" si="43"/>
        <v>0</v>
      </c>
    </row>
    <row r="1831" spans="37:37" x14ac:dyDescent="0.2">
      <c r="AK1831" s="725">
        <f t="shared" si="43"/>
        <v>0</v>
      </c>
    </row>
    <row r="1832" spans="37:37" x14ac:dyDescent="0.2">
      <c r="AK1832" s="725">
        <f t="shared" si="43"/>
        <v>0</v>
      </c>
    </row>
    <row r="1833" spans="37:37" x14ac:dyDescent="0.2">
      <c r="AK1833" s="725">
        <f t="shared" si="43"/>
        <v>0</v>
      </c>
    </row>
    <row r="1834" spans="37:37" x14ac:dyDescent="0.2">
      <c r="AK1834" s="725">
        <f t="shared" si="43"/>
        <v>0</v>
      </c>
    </row>
    <row r="1835" spans="37:37" x14ac:dyDescent="0.2">
      <c r="AK1835" s="725">
        <f t="shared" si="43"/>
        <v>0</v>
      </c>
    </row>
    <row r="1836" spans="37:37" x14ac:dyDescent="0.2">
      <c r="AK1836" s="725">
        <f t="shared" si="43"/>
        <v>0</v>
      </c>
    </row>
    <row r="1837" spans="37:37" x14ac:dyDescent="0.2">
      <c r="AK1837" s="725">
        <f t="shared" si="43"/>
        <v>0</v>
      </c>
    </row>
    <row r="1838" spans="37:37" x14ac:dyDescent="0.2">
      <c r="AK1838" s="725">
        <f t="shared" si="43"/>
        <v>0</v>
      </c>
    </row>
    <row r="1839" spans="37:37" x14ac:dyDescent="0.2">
      <c r="AK1839" s="725">
        <f t="shared" si="43"/>
        <v>0</v>
      </c>
    </row>
    <row r="1840" spans="37:37" x14ac:dyDescent="0.2">
      <c r="AK1840" s="725">
        <f t="shared" si="43"/>
        <v>0</v>
      </c>
    </row>
    <row r="1841" spans="37:37" x14ac:dyDescent="0.2">
      <c r="AK1841" s="725">
        <f t="shared" si="43"/>
        <v>0</v>
      </c>
    </row>
    <row r="1842" spans="37:37" x14ac:dyDescent="0.2">
      <c r="AK1842" s="725">
        <f t="shared" si="43"/>
        <v>0</v>
      </c>
    </row>
    <row r="1843" spans="37:37" x14ac:dyDescent="0.2">
      <c r="AK1843" s="725">
        <f t="shared" si="43"/>
        <v>0</v>
      </c>
    </row>
    <row r="1844" spans="37:37" x14ac:dyDescent="0.2">
      <c r="AK1844" s="725">
        <f t="shared" si="43"/>
        <v>0</v>
      </c>
    </row>
    <row r="1845" spans="37:37" x14ac:dyDescent="0.2">
      <c r="AK1845" s="725">
        <f t="shared" si="43"/>
        <v>0</v>
      </c>
    </row>
    <row r="1846" spans="37:37" x14ac:dyDescent="0.2">
      <c r="AK1846" s="725">
        <f t="shared" si="43"/>
        <v>0</v>
      </c>
    </row>
    <row r="1847" spans="37:37" x14ac:dyDescent="0.2">
      <c r="AK1847" s="725">
        <f t="shared" si="43"/>
        <v>0</v>
      </c>
    </row>
    <row r="1848" spans="37:37" x14ac:dyDescent="0.2">
      <c r="AK1848" s="725">
        <f t="shared" si="43"/>
        <v>0</v>
      </c>
    </row>
    <row r="1849" spans="37:37" x14ac:dyDescent="0.2">
      <c r="AK1849" s="725">
        <f t="shared" si="43"/>
        <v>0</v>
      </c>
    </row>
    <row r="1850" spans="37:37" x14ac:dyDescent="0.2">
      <c r="AK1850" s="725">
        <f t="shared" si="43"/>
        <v>0</v>
      </c>
    </row>
    <row r="1851" spans="37:37" x14ac:dyDescent="0.2">
      <c r="AK1851" s="725">
        <f t="shared" si="43"/>
        <v>0</v>
      </c>
    </row>
    <row r="1852" spans="37:37" x14ac:dyDescent="0.2">
      <c r="AK1852" s="725">
        <f t="shared" si="43"/>
        <v>0</v>
      </c>
    </row>
    <row r="1853" spans="37:37" x14ac:dyDescent="0.2">
      <c r="AK1853" s="725">
        <f t="shared" si="43"/>
        <v>0</v>
      </c>
    </row>
    <row r="1854" spans="37:37" x14ac:dyDescent="0.2">
      <c r="AK1854" s="725">
        <f t="shared" si="43"/>
        <v>0</v>
      </c>
    </row>
    <row r="1855" spans="37:37" x14ac:dyDescent="0.2">
      <c r="AK1855" s="725">
        <f t="shared" si="43"/>
        <v>0</v>
      </c>
    </row>
    <row r="1856" spans="37:37" x14ac:dyDescent="0.2">
      <c r="AK1856" s="725">
        <f t="shared" si="43"/>
        <v>0</v>
      </c>
    </row>
    <row r="1857" spans="37:37" x14ac:dyDescent="0.2">
      <c r="AK1857" s="725">
        <f t="shared" si="43"/>
        <v>0</v>
      </c>
    </row>
    <row r="1858" spans="37:37" x14ac:dyDescent="0.2">
      <c r="AK1858" s="725">
        <f t="shared" si="43"/>
        <v>0</v>
      </c>
    </row>
    <row r="1859" spans="37:37" x14ac:dyDescent="0.2">
      <c r="AK1859" s="725">
        <f t="shared" si="43"/>
        <v>0</v>
      </c>
    </row>
    <row r="1860" spans="37:37" x14ac:dyDescent="0.2">
      <c r="AK1860" s="725">
        <f t="shared" si="43"/>
        <v>0</v>
      </c>
    </row>
    <row r="1861" spans="37:37" x14ac:dyDescent="0.2">
      <c r="AK1861" s="725">
        <f t="shared" si="43"/>
        <v>0</v>
      </c>
    </row>
    <row r="1862" spans="37:37" x14ac:dyDescent="0.2">
      <c r="AK1862" s="725">
        <f t="shared" si="43"/>
        <v>0</v>
      </c>
    </row>
    <row r="1863" spans="37:37" x14ac:dyDescent="0.2">
      <c r="AK1863" s="725">
        <f t="shared" si="43"/>
        <v>0</v>
      </c>
    </row>
    <row r="1864" spans="37:37" x14ac:dyDescent="0.2">
      <c r="AK1864" s="725">
        <f t="shared" si="43"/>
        <v>0</v>
      </c>
    </row>
    <row r="1865" spans="37:37" x14ac:dyDescent="0.2">
      <c r="AK1865" s="725">
        <f t="shared" si="43"/>
        <v>0</v>
      </c>
    </row>
    <row r="1866" spans="37:37" x14ac:dyDescent="0.2">
      <c r="AK1866" s="725">
        <f t="shared" si="43"/>
        <v>0</v>
      </c>
    </row>
    <row r="1867" spans="37:37" x14ac:dyDescent="0.2">
      <c r="AK1867" s="725">
        <f t="shared" si="43"/>
        <v>0</v>
      </c>
    </row>
    <row r="1868" spans="37:37" x14ac:dyDescent="0.2">
      <c r="AK1868" s="725">
        <f t="shared" si="43"/>
        <v>0</v>
      </c>
    </row>
    <row r="1869" spans="37:37" x14ac:dyDescent="0.2">
      <c r="AK1869" s="725">
        <f t="shared" si="43"/>
        <v>0</v>
      </c>
    </row>
    <row r="1870" spans="37:37" x14ac:dyDescent="0.2">
      <c r="AK1870" s="725">
        <f t="shared" si="43"/>
        <v>0</v>
      </c>
    </row>
    <row r="1871" spans="37:37" x14ac:dyDescent="0.2">
      <c r="AK1871" s="725">
        <f t="shared" si="43"/>
        <v>0</v>
      </c>
    </row>
    <row r="1872" spans="37:37" x14ac:dyDescent="0.2">
      <c r="AK1872" s="725">
        <f t="shared" si="43"/>
        <v>0</v>
      </c>
    </row>
    <row r="1873" spans="37:37" x14ac:dyDescent="0.2">
      <c r="AK1873" s="725">
        <f t="shared" si="43"/>
        <v>0</v>
      </c>
    </row>
    <row r="1874" spans="37:37" x14ac:dyDescent="0.2">
      <c r="AK1874" s="725">
        <f t="shared" si="43"/>
        <v>0</v>
      </c>
    </row>
    <row r="1875" spans="37:37" x14ac:dyDescent="0.2">
      <c r="AK1875" s="725">
        <f t="shared" si="43"/>
        <v>0</v>
      </c>
    </row>
    <row r="1876" spans="37:37" x14ac:dyDescent="0.2">
      <c r="AK1876" s="725">
        <f t="shared" si="43"/>
        <v>0</v>
      </c>
    </row>
    <row r="1877" spans="37:37" x14ac:dyDescent="0.2">
      <c r="AK1877" s="725">
        <f t="shared" si="43"/>
        <v>0</v>
      </c>
    </row>
    <row r="1878" spans="37:37" x14ac:dyDescent="0.2">
      <c r="AK1878" s="725">
        <f t="shared" si="43"/>
        <v>0</v>
      </c>
    </row>
    <row r="1879" spans="37:37" x14ac:dyDescent="0.2">
      <c r="AK1879" s="725">
        <f t="shared" si="43"/>
        <v>0</v>
      </c>
    </row>
    <row r="1880" spans="37:37" x14ac:dyDescent="0.2">
      <c r="AK1880" s="725">
        <f t="shared" ref="AK1880:AK1943" si="44">SUM(O1880:AJ1880)</f>
        <v>0</v>
      </c>
    </row>
    <row r="1881" spans="37:37" x14ac:dyDescent="0.2">
      <c r="AK1881" s="725">
        <f t="shared" si="44"/>
        <v>0</v>
      </c>
    </row>
    <row r="1882" spans="37:37" x14ac:dyDescent="0.2">
      <c r="AK1882" s="725">
        <f t="shared" si="44"/>
        <v>0</v>
      </c>
    </row>
    <row r="1883" spans="37:37" x14ac:dyDescent="0.2">
      <c r="AK1883" s="725">
        <f t="shared" si="44"/>
        <v>0</v>
      </c>
    </row>
    <row r="1884" spans="37:37" x14ac:dyDescent="0.2">
      <c r="AK1884" s="725">
        <f t="shared" si="44"/>
        <v>0</v>
      </c>
    </row>
    <row r="1885" spans="37:37" x14ac:dyDescent="0.2">
      <c r="AK1885" s="725">
        <f t="shared" si="44"/>
        <v>0</v>
      </c>
    </row>
    <row r="1886" spans="37:37" x14ac:dyDescent="0.2">
      <c r="AK1886" s="725">
        <f t="shared" si="44"/>
        <v>0</v>
      </c>
    </row>
    <row r="1887" spans="37:37" x14ac:dyDescent="0.2">
      <c r="AK1887" s="725">
        <f t="shared" si="44"/>
        <v>0</v>
      </c>
    </row>
    <row r="1888" spans="37:37" x14ac:dyDescent="0.2">
      <c r="AK1888" s="725">
        <f t="shared" si="44"/>
        <v>0</v>
      </c>
    </row>
    <row r="1889" spans="37:37" x14ac:dyDescent="0.2">
      <c r="AK1889" s="725">
        <f t="shared" si="44"/>
        <v>0</v>
      </c>
    </row>
    <row r="1890" spans="37:37" x14ac:dyDescent="0.2">
      <c r="AK1890" s="725">
        <f t="shared" si="44"/>
        <v>0</v>
      </c>
    </row>
    <row r="1891" spans="37:37" x14ac:dyDescent="0.2">
      <c r="AK1891" s="725">
        <f t="shared" si="44"/>
        <v>0</v>
      </c>
    </row>
    <row r="1892" spans="37:37" x14ac:dyDescent="0.2">
      <c r="AK1892" s="725">
        <f t="shared" si="44"/>
        <v>0</v>
      </c>
    </row>
    <row r="1893" spans="37:37" x14ac:dyDescent="0.2">
      <c r="AK1893" s="725">
        <f t="shared" si="44"/>
        <v>0</v>
      </c>
    </row>
    <row r="1894" spans="37:37" x14ac:dyDescent="0.2">
      <c r="AK1894" s="725">
        <f t="shared" si="44"/>
        <v>0</v>
      </c>
    </row>
    <row r="1895" spans="37:37" x14ac:dyDescent="0.2">
      <c r="AK1895" s="725">
        <f t="shared" si="44"/>
        <v>0</v>
      </c>
    </row>
    <row r="1896" spans="37:37" x14ac:dyDescent="0.2">
      <c r="AK1896" s="725">
        <f t="shared" si="44"/>
        <v>0</v>
      </c>
    </row>
    <row r="1897" spans="37:37" x14ac:dyDescent="0.2">
      <c r="AK1897" s="725">
        <f t="shared" si="44"/>
        <v>0</v>
      </c>
    </row>
    <row r="1898" spans="37:37" x14ac:dyDescent="0.2">
      <c r="AK1898" s="725">
        <f t="shared" si="44"/>
        <v>0</v>
      </c>
    </row>
    <row r="1899" spans="37:37" x14ac:dyDescent="0.2">
      <c r="AK1899" s="725">
        <f t="shared" si="44"/>
        <v>0</v>
      </c>
    </row>
    <row r="1900" spans="37:37" x14ac:dyDescent="0.2">
      <c r="AK1900" s="725">
        <f t="shared" si="44"/>
        <v>0</v>
      </c>
    </row>
    <row r="1901" spans="37:37" x14ac:dyDescent="0.2">
      <c r="AK1901" s="725">
        <f t="shared" si="44"/>
        <v>0</v>
      </c>
    </row>
    <row r="1902" spans="37:37" x14ac:dyDescent="0.2">
      <c r="AK1902" s="725">
        <f t="shared" si="44"/>
        <v>0</v>
      </c>
    </row>
    <row r="1903" spans="37:37" x14ac:dyDescent="0.2">
      <c r="AK1903" s="725">
        <f t="shared" si="44"/>
        <v>0</v>
      </c>
    </row>
    <row r="1904" spans="37:37" x14ac:dyDescent="0.2">
      <c r="AK1904" s="725">
        <f t="shared" si="44"/>
        <v>0</v>
      </c>
    </row>
    <row r="1905" spans="37:37" x14ac:dyDescent="0.2">
      <c r="AK1905" s="725">
        <f t="shared" si="44"/>
        <v>0</v>
      </c>
    </row>
    <row r="1906" spans="37:37" x14ac:dyDescent="0.2">
      <c r="AK1906" s="725">
        <f t="shared" si="44"/>
        <v>0</v>
      </c>
    </row>
    <row r="1907" spans="37:37" x14ac:dyDescent="0.2">
      <c r="AK1907" s="725">
        <f t="shared" si="44"/>
        <v>0</v>
      </c>
    </row>
    <row r="1908" spans="37:37" x14ac:dyDescent="0.2">
      <c r="AK1908" s="725">
        <f t="shared" si="44"/>
        <v>0</v>
      </c>
    </row>
    <row r="1909" spans="37:37" x14ac:dyDescent="0.2">
      <c r="AK1909" s="725">
        <f t="shared" si="44"/>
        <v>0</v>
      </c>
    </row>
    <row r="1910" spans="37:37" x14ac:dyDescent="0.2">
      <c r="AK1910" s="725">
        <f t="shared" si="44"/>
        <v>0</v>
      </c>
    </row>
    <row r="1911" spans="37:37" x14ac:dyDescent="0.2">
      <c r="AK1911" s="725">
        <f t="shared" si="44"/>
        <v>0</v>
      </c>
    </row>
    <row r="1912" spans="37:37" x14ac:dyDescent="0.2">
      <c r="AK1912" s="725">
        <f t="shared" si="44"/>
        <v>0</v>
      </c>
    </row>
    <row r="1913" spans="37:37" x14ac:dyDescent="0.2">
      <c r="AK1913" s="725">
        <f t="shared" si="44"/>
        <v>0</v>
      </c>
    </row>
    <row r="1914" spans="37:37" x14ac:dyDescent="0.2">
      <c r="AK1914" s="725">
        <f t="shared" si="44"/>
        <v>0</v>
      </c>
    </row>
    <row r="1915" spans="37:37" x14ac:dyDescent="0.2">
      <c r="AK1915" s="725">
        <f t="shared" si="44"/>
        <v>0</v>
      </c>
    </row>
    <row r="1916" spans="37:37" x14ac:dyDescent="0.2">
      <c r="AK1916" s="725">
        <f t="shared" si="44"/>
        <v>0</v>
      </c>
    </row>
    <row r="1917" spans="37:37" x14ac:dyDescent="0.2">
      <c r="AK1917" s="725">
        <f t="shared" si="44"/>
        <v>0</v>
      </c>
    </row>
    <row r="1918" spans="37:37" x14ac:dyDescent="0.2">
      <c r="AK1918" s="725">
        <f t="shared" si="44"/>
        <v>0</v>
      </c>
    </row>
    <row r="1919" spans="37:37" x14ac:dyDescent="0.2">
      <c r="AK1919" s="725">
        <f t="shared" si="44"/>
        <v>0</v>
      </c>
    </row>
    <row r="1920" spans="37:37" x14ac:dyDescent="0.2">
      <c r="AK1920" s="725">
        <f t="shared" si="44"/>
        <v>0</v>
      </c>
    </row>
    <row r="1921" spans="37:37" x14ac:dyDescent="0.2">
      <c r="AK1921" s="725">
        <f t="shared" si="44"/>
        <v>0</v>
      </c>
    </row>
    <row r="1922" spans="37:37" x14ac:dyDescent="0.2">
      <c r="AK1922" s="725">
        <f t="shared" si="44"/>
        <v>0</v>
      </c>
    </row>
    <row r="1923" spans="37:37" x14ac:dyDescent="0.2">
      <c r="AK1923" s="725">
        <f t="shared" si="44"/>
        <v>0</v>
      </c>
    </row>
    <row r="1924" spans="37:37" x14ac:dyDescent="0.2">
      <c r="AK1924" s="725">
        <f t="shared" si="44"/>
        <v>0</v>
      </c>
    </row>
    <row r="1925" spans="37:37" x14ac:dyDescent="0.2">
      <c r="AK1925" s="725">
        <f t="shared" si="44"/>
        <v>0</v>
      </c>
    </row>
    <row r="1926" spans="37:37" x14ac:dyDescent="0.2">
      <c r="AK1926" s="725">
        <f t="shared" si="44"/>
        <v>0</v>
      </c>
    </row>
    <row r="1927" spans="37:37" x14ac:dyDescent="0.2">
      <c r="AK1927" s="725">
        <f t="shared" si="44"/>
        <v>0</v>
      </c>
    </row>
    <row r="1928" spans="37:37" x14ac:dyDescent="0.2">
      <c r="AK1928" s="725">
        <f t="shared" si="44"/>
        <v>0</v>
      </c>
    </row>
    <row r="1929" spans="37:37" x14ac:dyDescent="0.2">
      <c r="AK1929" s="725">
        <f t="shared" si="44"/>
        <v>0</v>
      </c>
    </row>
    <row r="1930" spans="37:37" x14ac:dyDescent="0.2">
      <c r="AK1930" s="725">
        <f t="shared" si="44"/>
        <v>0</v>
      </c>
    </row>
    <row r="1931" spans="37:37" x14ac:dyDescent="0.2">
      <c r="AK1931" s="725">
        <f t="shared" si="44"/>
        <v>0</v>
      </c>
    </row>
    <row r="1932" spans="37:37" x14ac:dyDescent="0.2">
      <c r="AK1932" s="725">
        <f t="shared" si="44"/>
        <v>0</v>
      </c>
    </row>
    <row r="1933" spans="37:37" x14ac:dyDescent="0.2">
      <c r="AK1933" s="725">
        <f t="shared" si="44"/>
        <v>0</v>
      </c>
    </row>
    <row r="1934" spans="37:37" x14ac:dyDescent="0.2">
      <c r="AK1934" s="725">
        <f t="shared" si="44"/>
        <v>0</v>
      </c>
    </row>
    <row r="1935" spans="37:37" x14ac:dyDescent="0.2">
      <c r="AK1935" s="725">
        <f t="shared" si="44"/>
        <v>0</v>
      </c>
    </row>
    <row r="1936" spans="37:37" x14ac:dyDescent="0.2">
      <c r="AK1936" s="725">
        <f t="shared" si="44"/>
        <v>0</v>
      </c>
    </row>
    <row r="1937" spans="37:37" x14ac:dyDescent="0.2">
      <c r="AK1937" s="725">
        <f t="shared" si="44"/>
        <v>0</v>
      </c>
    </row>
    <row r="1938" spans="37:37" x14ac:dyDescent="0.2">
      <c r="AK1938" s="725">
        <f t="shared" si="44"/>
        <v>0</v>
      </c>
    </row>
    <row r="1939" spans="37:37" x14ac:dyDescent="0.2">
      <c r="AK1939" s="725">
        <f t="shared" si="44"/>
        <v>0</v>
      </c>
    </row>
    <row r="1940" spans="37:37" x14ac:dyDescent="0.2">
      <c r="AK1940" s="725">
        <f t="shared" si="44"/>
        <v>0</v>
      </c>
    </row>
    <row r="1941" spans="37:37" x14ac:dyDescent="0.2">
      <c r="AK1941" s="725">
        <f t="shared" si="44"/>
        <v>0</v>
      </c>
    </row>
    <row r="1942" spans="37:37" x14ac:dyDescent="0.2">
      <c r="AK1942" s="725">
        <f t="shared" si="44"/>
        <v>0</v>
      </c>
    </row>
    <row r="1943" spans="37:37" x14ac:dyDescent="0.2">
      <c r="AK1943" s="725">
        <f t="shared" si="44"/>
        <v>0</v>
      </c>
    </row>
    <row r="1944" spans="37:37" x14ac:dyDescent="0.2">
      <c r="AK1944" s="725">
        <f t="shared" ref="AK1944:AK2007" si="45">SUM(O1944:AJ1944)</f>
        <v>0</v>
      </c>
    </row>
    <row r="1945" spans="37:37" x14ac:dyDescent="0.2">
      <c r="AK1945" s="725">
        <f t="shared" si="45"/>
        <v>0</v>
      </c>
    </row>
    <row r="1946" spans="37:37" x14ac:dyDescent="0.2">
      <c r="AK1946" s="725">
        <f t="shared" si="45"/>
        <v>0</v>
      </c>
    </row>
    <row r="1947" spans="37:37" x14ac:dyDescent="0.2">
      <c r="AK1947" s="725">
        <f t="shared" si="45"/>
        <v>0</v>
      </c>
    </row>
    <row r="1948" spans="37:37" x14ac:dyDescent="0.2">
      <c r="AK1948" s="725">
        <f t="shared" si="45"/>
        <v>0</v>
      </c>
    </row>
    <row r="1949" spans="37:37" x14ac:dyDescent="0.2">
      <c r="AK1949" s="725">
        <f t="shared" si="45"/>
        <v>0</v>
      </c>
    </row>
    <row r="1950" spans="37:37" x14ac:dyDescent="0.2">
      <c r="AK1950" s="725">
        <f t="shared" si="45"/>
        <v>0</v>
      </c>
    </row>
    <row r="1951" spans="37:37" x14ac:dyDescent="0.2">
      <c r="AK1951" s="725">
        <f t="shared" si="45"/>
        <v>0</v>
      </c>
    </row>
    <row r="1952" spans="37:37" x14ac:dyDescent="0.2">
      <c r="AK1952" s="725">
        <f t="shared" si="45"/>
        <v>0</v>
      </c>
    </row>
    <row r="1953" spans="37:37" x14ac:dyDescent="0.2">
      <c r="AK1953" s="725">
        <f t="shared" si="45"/>
        <v>0</v>
      </c>
    </row>
    <row r="1954" spans="37:37" x14ac:dyDescent="0.2">
      <c r="AK1954" s="725">
        <f t="shared" si="45"/>
        <v>0</v>
      </c>
    </row>
    <row r="1955" spans="37:37" x14ac:dyDescent="0.2">
      <c r="AK1955" s="725">
        <f t="shared" si="45"/>
        <v>0</v>
      </c>
    </row>
    <row r="1956" spans="37:37" x14ac:dyDescent="0.2">
      <c r="AK1956" s="725">
        <f t="shared" si="45"/>
        <v>0</v>
      </c>
    </row>
    <row r="1957" spans="37:37" x14ac:dyDescent="0.2">
      <c r="AK1957" s="725">
        <f t="shared" si="45"/>
        <v>0</v>
      </c>
    </row>
    <row r="1958" spans="37:37" x14ac:dyDescent="0.2">
      <c r="AK1958" s="725">
        <f t="shared" si="45"/>
        <v>0</v>
      </c>
    </row>
    <row r="1959" spans="37:37" x14ac:dyDescent="0.2">
      <c r="AK1959" s="725">
        <f t="shared" si="45"/>
        <v>0</v>
      </c>
    </row>
    <row r="1960" spans="37:37" x14ac:dyDescent="0.2">
      <c r="AK1960" s="725">
        <f t="shared" si="45"/>
        <v>0</v>
      </c>
    </row>
    <row r="1961" spans="37:37" x14ac:dyDescent="0.2">
      <c r="AK1961" s="725">
        <f t="shared" si="45"/>
        <v>0</v>
      </c>
    </row>
    <row r="1962" spans="37:37" x14ac:dyDescent="0.2">
      <c r="AK1962" s="725">
        <f t="shared" si="45"/>
        <v>0</v>
      </c>
    </row>
    <row r="1963" spans="37:37" x14ac:dyDescent="0.2">
      <c r="AK1963" s="725">
        <f t="shared" si="45"/>
        <v>0</v>
      </c>
    </row>
    <row r="1964" spans="37:37" x14ac:dyDescent="0.2">
      <c r="AK1964" s="725">
        <f t="shared" si="45"/>
        <v>0</v>
      </c>
    </row>
    <row r="1965" spans="37:37" x14ac:dyDescent="0.2">
      <c r="AK1965" s="725">
        <f t="shared" si="45"/>
        <v>0</v>
      </c>
    </row>
    <row r="1966" spans="37:37" x14ac:dyDescent="0.2">
      <c r="AK1966" s="725">
        <f t="shared" si="45"/>
        <v>0</v>
      </c>
    </row>
    <row r="1967" spans="37:37" x14ac:dyDescent="0.2">
      <c r="AK1967" s="725">
        <f t="shared" si="45"/>
        <v>0</v>
      </c>
    </row>
    <row r="1968" spans="37:37" x14ac:dyDescent="0.2">
      <c r="AK1968" s="725">
        <f t="shared" si="45"/>
        <v>0</v>
      </c>
    </row>
    <row r="1969" spans="37:37" x14ac:dyDescent="0.2">
      <c r="AK1969" s="725">
        <f t="shared" si="45"/>
        <v>0</v>
      </c>
    </row>
    <row r="1970" spans="37:37" x14ac:dyDescent="0.2">
      <c r="AK1970" s="725">
        <f t="shared" si="45"/>
        <v>0</v>
      </c>
    </row>
    <row r="1971" spans="37:37" x14ac:dyDescent="0.2">
      <c r="AK1971" s="725">
        <f t="shared" si="45"/>
        <v>0</v>
      </c>
    </row>
    <row r="1972" spans="37:37" x14ac:dyDescent="0.2">
      <c r="AK1972" s="725">
        <f t="shared" si="45"/>
        <v>0</v>
      </c>
    </row>
    <row r="1973" spans="37:37" x14ac:dyDescent="0.2">
      <c r="AK1973" s="725">
        <f t="shared" si="45"/>
        <v>0</v>
      </c>
    </row>
    <row r="1974" spans="37:37" x14ac:dyDescent="0.2">
      <c r="AK1974" s="725">
        <f t="shared" si="45"/>
        <v>0</v>
      </c>
    </row>
    <row r="1975" spans="37:37" x14ac:dyDescent="0.2">
      <c r="AK1975" s="725">
        <f t="shared" si="45"/>
        <v>0</v>
      </c>
    </row>
    <row r="1976" spans="37:37" x14ac:dyDescent="0.2">
      <c r="AK1976" s="725">
        <f t="shared" si="45"/>
        <v>0</v>
      </c>
    </row>
    <row r="1977" spans="37:37" x14ac:dyDescent="0.2">
      <c r="AK1977" s="725">
        <f t="shared" si="45"/>
        <v>0</v>
      </c>
    </row>
    <row r="1978" spans="37:37" x14ac:dyDescent="0.2">
      <c r="AK1978" s="725">
        <f t="shared" si="45"/>
        <v>0</v>
      </c>
    </row>
    <row r="1979" spans="37:37" x14ac:dyDescent="0.2">
      <c r="AK1979" s="725">
        <f t="shared" si="45"/>
        <v>0</v>
      </c>
    </row>
    <row r="1980" spans="37:37" x14ac:dyDescent="0.2">
      <c r="AK1980" s="725">
        <f t="shared" si="45"/>
        <v>0</v>
      </c>
    </row>
    <row r="1981" spans="37:37" x14ac:dyDescent="0.2">
      <c r="AK1981" s="725">
        <f t="shared" si="45"/>
        <v>0</v>
      </c>
    </row>
    <row r="1982" spans="37:37" x14ac:dyDescent="0.2">
      <c r="AK1982" s="725">
        <f t="shared" si="45"/>
        <v>0</v>
      </c>
    </row>
    <row r="1983" spans="37:37" x14ac:dyDescent="0.2">
      <c r="AK1983" s="725">
        <f t="shared" si="45"/>
        <v>0</v>
      </c>
    </row>
    <row r="1984" spans="37:37" x14ac:dyDescent="0.2">
      <c r="AK1984" s="725">
        <f t="shared" si="45"/>
        <v>0</v>
      </c>
    </row>
    <row r="1985" spans="37:37" x14ac:dyDescent="0.2">
      <c r="AK1985" s="725">
        <f t="shared" si="45"/>
        <v>0</v>
      </c>
    </row>
    <row r="1986" spans="37:37" x14ac:dyDescent="0.2">
      <c r="AK1986" s="725">
        <f t="shared" si="45"/>
        <v>0</v>
      </c>
    </row>
    <row r="1987" spans="37:37" x14ac:dyDescent="0.2">
      <c r="AK1987" s="725">
        <f t="shared" si="45"/>
        <v>0</v>
      </c>
    </row>
    <row r="1988" spans="37:37" x14ac:dyDescent="0.2">
      <c r="AK1988" s="725">
        <f t="shared" si="45"/>
        <v>0</v>
      </c>
    </row>
    <row r="1989" spans="37:37" x14ac:dyDescent="0.2">
      <c r="AK1989" s="725">
        <f t="shared" si="45"/>
        <v>0</v>
      </c>
    </row>
    <row r="1990" spans="37:37" x14ac:dyDescent="0.2">
      <c r="AK1990" s="725">
        <f t="shared" si="45"/>
        <v>0</v>
      </c>
    </row>
    <row r="1991" spans="37:37" x14ac:dyDescent="0.2">
      <c r="AK1991" s="725">
        <f t="shared" si="45"/>
        <v>0</v>
      </c>
    </row>
    <row r="1992" spans="37:37" x14ac:dyDescent="0.2">
      <c r="AK1992" s="725">
        <f t="shared" si="45"/>
        <v>0</v>
      </c>
    </row>
    <row r="1993" spans="37:37" x14ac:dyDescent="0.2">
      <c r="AK1993" s="725">
        <f t="shared" si="45"/>
        <v>0</v>
      </c>
    </row>
    <row r="1994" spans="37:37" x14ac:dyDescent="0.2">
      <c r="AK1994" s="725">
        <f t="shared" si="45"/>
        <v>0</v>
      </c>
    </row>
    <row r="1995" spans="37:37" x14ac:dyDescent="0.2">
      <c r="AK1995" s="725">
        <f t="shared" si="45"/>
        <v>0</v>
      </c>
    </row>
    <row r="1996" spans="37:37" x14ac:dyDescent="0.2">
      <c r="AK1996" s="725">
        <f t="shared" si="45"/>
        <v>0</v>
      </c>
    </row>
    <row r="1997" spans="37:37" x14ac:dyDescent="0.2">
      <c r="AK1997" s="725">
        <f t="shared" si="45"/>
        <v>0</v>
      </c>
    </row>
    <row r="1998" spans="37:37" x14ac:dyDescent="0.2">
      <c r="AK1998" s="725">
        <f t="shared" si="45"/>
        <v>0</v>
      </c>
    </row>
    <row r="1999" spans="37:37" x14ac:dyDescent="0.2">
      <c r="AK1999" s="725">
        <f t="shared" si="45"/>
        <v>0</v>
      </c>
    </row>
    <row r="2000" spans="37:37" x14ac:dyDescent="0.2">
      <c r="AK2000" s="725">
        <f t="shared" si="45"/>
        <v>0</v>
      </c>
    </row>
    <row r="2001" spans="37:37" x14ac:dyDescent="0.2">
      <c r="AK2001" s="725">
        <f t="shared" si="45"/>
        <v>0</v>
      </c>
    </row>
    <row r="2002" spans="37:37" x14ac:dyDescent="0.2">
      <c r="AK2002" s="725">
        <f t="shared" si="45"/>
        <v>0</v>
      </c>
    </row>
    <row r="2003" spans="37:37" x14ac:dyDescent="0.2">
      <c r="AK2003" s="725">
        <f t="shared" si="45"/>
        <v>0</v>
      </c>
    </row>
    <row r="2004" spans="37:37" x14ac:dyDescent="0.2">
      <c r="AK2004" s="725">
        <f t="shared" si="45"/>
        <v>0</v>
      </c>
    </row>
    <row r="2005" spans="37:37" x14ac:dyDescent="0.2">
      <c r="AK2005" s="725">
        <f t="shared" si="45"/>
        <v>0</v>
      </c>
    </row>
    <row r="2006" spans="37:37" x14ac:dyDescent="0.2">
      <c r="AK2006" s="725">
        <f t="shared" si="45"/>
        <v>0</v>
      </c>
    </row>
    <row r="2007" spans="37:37" x14ac:dyDescent="0.2">
      <c r="AK2007" s="725">
        <f t="shared" si="45"/>
        <v>0</v>
      </c>
    </row>
    <row r="2008" spans="37:37" x14ac:dyDescent="0.2">
      <c r="AK2008" s="725">
        <f t="shared" ref="AK2008:AK2071" si="46">SUM(O2008:AJ2008)</f>
        <v>0</v>
      </c>
    </row>
    <row r="2009" spans="37:37" x14ac:dyDescent="0.2">
      <c r="AK2009" s="725">
        <f t="shared" si="46"/>
        <v>0</v>
      </c>
    </row>
    <row r="2010" spans="37:37" x14ac:dyDescent="0.2">
      <c r="AK2010" s="725">
        <f t="shared" si="46"/>
        <v>0</v>
      </c>
    </row>
    <row r="2011" spans="37:37" x14ac:dyDescent="0.2">
      <c r="AK2011" s="725">
        <f t="shared" si="46"/>
        <v>0</v>
      </c>
    </row>
    <row r="2012" spans="37:37" x14ac:dyDescent="0.2">
      <c r="AK2012" s="725">
        <f t="shared" si="46"/>
        <v>0</v>
      </c>
    </row>
    <row r="2013" spans="37:37" x14ac:dyDescent="0.2">
      <c r="AK2013" s="725">
        <f t="shared" si="46"/>
        <v>0</v>
      </c>
    </row>
    <row r="2014" spans="37:37" x14ac:dyDescent="0.2">
      <c r="AK2014" s="725">
        <f t="shared" si="46"/>
        <v>0</v>
      </c>
    </row>
    <row r="2015" spans="37:37" x14ac:dyDescent="0.2">
      <c r="AK2015" s="725">
        <f t="shared" si="46"/>
        <v>0</v>
      </c>
    </row>
    <row r="2016" spans="37:37" x14ac:dyDescent="0.2">
      <c r="AK2016" s="725">
        <f t="shared" si="46"/>
        <v>0</v>
      </c>
    </row>
    <row r="2017" spans="37:37" x14ac:dyDescent="0.2">
      <c r="AK2017" s="725">
        <f t="shared" si="46"/>
        <v>0</v>
      </c>
    </row>
    <row r="2018" spans="37:37" x14ac:dyDescent="0.2">
      <c r="AK2018" s="725">
        <f t="shared" si="46"/>
        <v>0</v>
      </c>
    </row>
    <row r="2019" spans="37:37" x14ac:dyDescent="0.2">
      <c r="AK2019" s="725">
        <f t="shared" si="46"/>
        <v>0</v>
      </c>
    </row>
    <row r="2020" spans="37:37" x14ac:dyDescent="0.2">
      <c r="AK2020" s="725">
        <f t="shared" si="46"/>
        <v>0</v>
      </c>
    </row>
    <row r="2021" spans="37:37" x14ac:dyDescent="0.2">
      <c r="AK2021" s="725">
        <f t="shared" si="46"/>
        <v>0</v>
      </c>
    </row>
    <row r="2022" spans="37:37" x14ac:dyDescent="0.2">
      <c r="AK2022" s="725">
        <f t="shared" si="46"/>
        <v>0</v>
      </c>
    </row>
    <row r="2023" spans="37:37" x14ac:dyDescent="0.2">
      <c r="AK2023" s="725">
        <f t="shared" si="46"/>
        <v>0</v>
      </c>
    </row>
    <row r="2024" spans="37:37" x14ac:dyDescent="0.2">
      <c r="AK2024" s="725">
        <f t="shared" si="46"/>
        <v>0</v>
      </c>
    </row>
    <row r="2025" spans="37:37" x14ac:dyDescent="0.2">
      <c r="AK2025" s="725">
        <f t="shared" si="46"/>
        <v>0</v>
      </c>
    </row>
    <row r="2026" spans="37:37" x14ac:dyDescent="0.2">
      <c r="AK2026" s="725">
        <f t="shared" si="46"/>
        <v>0</v>
      </c>
    </row>
    <row r="2027" spans="37:37" x14ac:dyDescent="0.2">
      <c r="AK2027" s="725">
        <f t="shared" si="46"/>
        <v>0</v>
      </c>
    </row>
    <row r="2028" spans="37:37" x14ac:dyDescent="0.2">
      <c r="AK2028" s="725">
        <f t="shared" si="46"/>
        <v>0</v>
      </c>
    </row>
    <row r="2029" spans="37:37" x14ac:dyDescent="0.2">
      <c r="AK2029" s="725">
        <f t="shared" si="46"/>
        <v>0</v>
      </c>
    </row>
    <row r="2030" spans="37:37" x14ac:dyDescent="0.2">
      <c r="AK2030" s="725">
        <f t="shared" si="46"/>
        <v>0</v>
      </c>
    </row>
    <row r="2031" spans="37:37" x14ac:dyDescent="0.2">
      <c r="AK2031" s="725">
        <f t="shared" si="46"/>
        <v>0</v>
      </c>
    </row>
    <row r="2032" spans="37:37" x14ac:dyDescent="0.2">
      <c r="AK2032" s="725">
        <f t="shared" si="46"/>
        <v>0</v>
      </c>
    </row>
    <row r="2033" spans="37:37" x14ac:dyDescent="0.2">
      <c r="AK2033" s="725">
        <f t="shared" si="46"/>
        <v>0</v>
      </c>
    </row>
    <row r="2034" spans="37:37" x14ac:dyDescent="0.2">
      <c r="AK2034" s="725">
        <f t="shared" si="46"/>
        <v>0</v>
      </c>
    </row>
    <row r="2035" spans="37:37" x14ac:dyDescent="0.2">
      <c r="AK2035" s="725">
        <f t="shared" si="46"/>
        <v>0</v>
      </c>
    </row>
    <row r="2036" spans="37:37" x14ac:dyDescent="0.2">
      <c r="AK2036" s="725">
        <f t="shared" si="46"/>
        <v>0</v>
      </c>
    </row>
    <row r="2037" spans="37:37" x14ac:dyDescent="0.2">
      <c r="AK2037" s="725">
        <f t="shared" si="46"/>
        <v>0</v>
      </c>
    </row>
    <row r="2038" spans="37:37" x14ac:dyDescent="0.2">
      <c r="AK2038" s="725">
        <f t="shared" si="46"/>
        <v>0</v>
      </c>
    </row>
    <row r="2039" spans="37:37" x14ac:dyDescent="0.2">
      <c r="AK2039" s="725">
        <f t="shared" si="46"/>
        <v>0</v>
      </c>
    </row>
    <row r="2040" spans="37:37" x14ac:dyDescent="0.2">
      <c r="AK2040" s="725">
        <f t="shared" si="46"/>
        <v>0</v>
      </c>
    </row>
    <row r="2041" spans="37:37" x14ac:dyDescent="0.2">
      <c r="AK2041" s="725">
        <f t="shared" si="46"/>
        <v>0</v>
      </c>
    </row>
    <row r="2042" spans="37:37" x14ac:dyDescent="0.2">
      <c r="AK2042" s="725">
        <f t="shared" si="46"/>
        <v>0</v>
      </c>
    </row>
    <row r="2043" spans="37:37" x14ac:dyDescent="0.2">
      <c r="AK2043" s="725">
        <f t="shared" si="46"/>
        <v>0</v>
      </c>
    </row>
    <row r="2044" spans="37:37" x14ac:dyDescent="0.2">
      <c r="AK2044" s="725">
        <f t="shared" si="46"/>
        <v>0</v>
      </c>
    </row>
    <row r="2045" spans="37:37" x14ac:dyDescent="0.2">
      <c r="AK2045" s="725">
        <f t="shared" si="46"/>
        <v>0</v>
      </c>
    </row>
    <row r="2046" spans="37:37" x14ac:dyDescent="0.2">
      <c r="AK2046" s="725">
        <f t="shared" si="46"/>
        <v>0</v>
      </c>
    </row>
    <row r="2047" spans="37:37" x14ac:dyDescent="0.2">
      <c r="AK2047" s="725">
        <f t="shared" si="46"/>
        <v>0</v>
      </c>
    </row>
    <row r="2048" spans="37:37" x14ac:dyDescent="0.2">
      <c r="AK2048" s="725">
        <f t="shared" si="46"/>
        <v>0</v>
      </c>
    </row>
    <row r="2049" spans="37:37" x14ac:dyDescent="0.2">
      <c r="AK2049" s="725">
        <f t="shared" si="46"/>
        <v>0</v>
      </c>
    </row>
    <row r="2050" spans="37:37" x14ac:dyDescent="0.2">
      <c r="AK2050" s="725">
        <f t="shared" si="46"/>
        <v>0</v>
      </c>
    </row>
    <row r="2051" spans="37:37" x14ac:dyDescent="0.2">
      <c r="AK2051" s="725">
        <f t="shared" si="46"/>
        <v>0</v>
      </c>
    </row>
    <row r="2052" spans="37:37" x14ac:dyDescent="0.2">
      <c r="AK2052" s="725">
        <f t="shared" si="46"/>
        <v>0</v>
      </c>
    </row>
    <row r="2053" spans="37:37" x14ac:dyDescent="0.2">
      <c r="AK2053" s="725">
        <f t="shared" si="46"/>
        <v>0</v>
      </c>
    </row>
    <row r="2054" spans="37:37" x14ac:dyDescent="0.2">
      <c r="AK2054" s="725">
        <f t="shared" si="46"/>
        <v>0</v>
      </c>
    </row>
    <row r="2055" spans="37:37" x14ac:dyDescent="0.2">
      <c r="AK2055" s="725">
        <f t="shared" si="46"/>
        <v>0</v>
      </c>
    </row>
    <row r="2056" spans="37:37" x14ac:dyDescent="0.2">
      <c r="AK2056" s="725">
        <f t="shared" si="46"/>
        <v>0</v>
      </c>
    </row>
    <row r="2057" spans="37:37" x14ac:dyDescent="0.2">
      <c r="AK2057" s="725">
        <f t="shared" si="46"/>
        <v>0</v>
      </c>
    </row>
    <row r="2058" spans="37:37" x14ac:dyDescent="0.2">
      <c r="AK2058" s="725">
        <f t="shared" si="46"/>
        <v>0</v>
      </c>
    </row>
    <row r="2059" spans="37:37" x14ac:dyDescent="0.2">
      <c r="AK2059" s="725">
        <f t="shared" si="46"/>
        <v>0</v>
      </c>
    </row>
    <row r="2060" spans="37:37" x14ac:dyDescent="0.2">
      <c r="AK2060" s="725">
        <f t="shared" si="46"/>
        <v>0</v>
      </c>
    </row>
    <row r="2061" spans="37:37" x14ac:dyDescent="0.2">
      <c r="AK2061" s="725">
        <f t="shared" si="46"/>
        <v>0</v>
      </c>
    </row>
    <row r="2062" spans="37:37" x14ac:dyDescent="0.2">
      <c r="AK2062" s="725">
        <f t="shared" si="46"/>
        <v>0</v>
      </c>
    </row>
    <row r="2063" spans="37:37" x14ac:dyDescent="0.2">
      <c r="AK2063" s="725">
        <f t="shared" si="46"/>
        <v>0</v>
      </c>
    </row>
    <row r="2064" spans="37:37" x14ac:dyDescent="0.2">
      <c r="AK2064" s="725">
        <f t="shared" si="46"/>
        <v>0</v>
      </c>
    </row>
    <row r="2065" spans="37:37" x14ac:dyDescent="0.2">
      <c r="AK2065" s="725">
        <f t="shared" si="46"/>
        <v>0</v>
      </c>
    </row>
    <row r="2066" spans="37:37" x14ac:dyDescent="0.2">
      <c r="AK2066" s="725">
        <f t="shared" si="46"/>
        <v>0</v>
      </c>
    </row>
    <row r="2067" spans="37:37" x14ac:dyDescent="0.2">
      <c r="AK2067" s="725">
        <f t="shared" si="46"/>
        <v>0</v>
      </c>
    </row>
    <row r="2068" spans="37:37" x14ac:dyDescent="0.2">
      <c r="AK2068" s="725">
        <f t="shared" si="46"/>
        <v>0</v>
      </c>
    </row>
    <row r="2069" spans="37:37" x14ac:dyDescent="0.2">
      <c r="AK2069" s="725">
        <f t="shared" si="46"/>
        <v>0</v>
      </c>
    </row>
    <row r="2070" spans="37:37" x14ac:dyDescent="0.2">
      <c r="AK2070" s="725">
        <f t="shared" si="46"/>
        <v>0</v>
      </c>
    </row>
    <row r="2071" spans="37:37" x14ac:dyDescent="0.2">
      <c r="AK2071" s="725">
        <f t="shared" si="46"/>
        <v>0</v>
      </c>
    </row>
    <row r="2072" spans="37:37" x14ac:dyDescent="0.2">
      <c r="AK2072" s="725">
        <f t="shared" ref="AK2072:AK2135" si="47">SUM(O2072:AJ2072)</f>
        <v>0</v>
      </c>
    </row>
    <row r="2073" spans="37:37" x14ac:dyDescent="0.2">
      <c r="AK2073" s="725">
        <f t="shared" si="47"/>
        <v>0</v>
      </c>
    </row>
    <row r="2074" spans="37:37" x14ac:dyDescent="0.2">
      <c r="AK2074" s="725">
        <f t="shared" si="47"/>
        <v>0</v>
      </c>
    </row>
    <row r="2075" spans="37:37" x14ac:dyDescent="0.2">
      <c r="AK2075" s="725">
        <f t="shared" si="47"/>
        <v>0</v>
      </c>
    </row>
    <row r="2076" spans="37:37" x14ac:dyDescent="0.2">
      <c r="AK2076" s="725">
        <f t="shared" si="47"/>
        <v>0</v>
      </c>
    </row>
    <row r="2077" spans="37:37" x14ac:dyDescent="0.2">
      <c r="AK2077" s="725">
        <f t="shared" si="47"/>
        <v>0</v>
      </c>
    </row>
    <row r="2078" spans="37:37" x14ac:dyDescent="0.2">
      <c r="AK2078" s="725">
        <f t="shared" si="47"/>
        <v>0</v>
      </c>
    </row>
    <row r="2079" spans="37:37" x14ac:dyDescent="0.2">
      <c r="AK2079" s="725">
        <f t="shared" si="47"/>
        <v>0</v>
      </c>
    </row>
    <row r="2080" spans="37:37" x14ac:dyDescent="0.2">
      <c r="AK2080" s="725">
        <f t="shared" si="47"/>
        <v>0</v>
      </c>
    </row>
    <row r="2081" spans="37:37" x14ac:dyDescent="0.2">
      <c r="AK2081" s="725">
        <f t="shared" si="47"/>
        <v>0</v>
      </c>
    </row>
    <row r="2082" spans="37:37" x14ac:dyDescent="0.2">
      <c r="AK2082" s="725">
        <f t="shared" si="47"/>
        <v>0</v>
      </c>
    </row>
    <row r="2083" spans="37:37" x14ac:dyDescent="0.2">
      <c r="AK2083" s="725">
        <f t="shared" si="47"/>
        <v>0</v>
      </c>
    </row>
    <row r="2084" spans="37:37" x14ac:dyDescent="0.2">
      <c r="AK2084" s="725">
        <f t="shared" si="47"/>
        <v>0</v>
      </c>
    </row>
    <row r="2085" spans="37:37" x14ac:dyDescent="0.2">
      <c r="AK2085" s="725">
        <f t="shared" si="47"/>
        <v>0</v>
      </c>
    </row>
    <row r="2086" spans="37:37" x14ac:dyDescent="0.2">
      <c r="AK2086" s="725">
        <f t="shared" si="47"/>
        <v>0</v>
      </c>
    </row>
    <row r="2087" spans="37:37" x14ac:dyDescent="0.2">
      <c r="AK2087" s="725">
        <f t="shared" si="47"/>
        <v>0</v>
      </c>
    </row>
    <row r="2088" spans="37:37" x14ac:dyDescent="0.2">
      <c r="AK2088" s="725">
        <f t="shared" si="47"/>
        <v>0</v>
      </c>
    </row>
    <row r="2089" spans="37:37" x14ac:dyDescent="0.2">
      <c r="AK2089" s="725">
        <f t="shared" si="47"/>
        <v>0</v>
      </c>
    </row>
    <row r="2090" spans="37:37" x14ac:dyDescent="0.2">
      <c r="AK2090" s="725">
        <f t="shared" si="47"/>
        <v>0</v>
      </c>
    </row>
    <row r="2091" spans="37:37" x14ac:dyDescent="0.2">
      <c r="AK2091" s="725">
        <f t="shared" si="47"/>
        <v>0</v>
      </c>
    </row>
    <row r="2092" spans="37:37" x14ac:dyDescent="0.2">
      <c r="AK2092" s="725">
        <f t="shared" si="47"/>
        <v>0</v>
      </c>
    </row>
    <row r="2093" spans="37:37" x14ac:dyDescent="0.2">
      <c r="AK2093" s="725">
        <f t="shared" si="47"/>
        <v>0</v>
      </c>
    </row>
    <row r="2094" spans="37:37" x14ac:dyDescent="0.2">
      <c r="AK2094" s="725">
        <f t="shared" si="47"/>
        <v>0</v>
      </c>
    </row>
    <row r="2095" spans="37:37" x14ac:dyDescent="0.2">
      <c r="AK2095" s="725">
        <f t="shared" si="47"/>
        <v>0</v>
      </c>
    </row>
    <row r="2096" spans="37:37" x14ac:dyDescent="0.2">
      <c r="AK2096" s="725">
        <f t="shared" si="47"/>
        <v>0</v>
      </c>
    </row>
    <row r="2097" spans="37:37" x14ac:dyDescent="0.2">
      <c r="AK2097" s="725">
        <f t="shared" si="47"/>
        <v>0</v>
      </c>
    </row>
    <row r="2098" spans="37:37" x14ac:dyDescent="0.2">
      <c r="AK2098" s="725">
        <f t="shared" si="47"/>
        <v>0</v>
      </c>
    </row>
    <row r="2099" spans="37:37" x14ac:dyDescent="0.2">
      <c r="AK2099" s="725">
        <f t="shared" si="47"/>
        <v>0</v>
      </c>
    </row>
    <row r="2100" spans="37:37" x14ac:dyDescent="0.2">
      <c r="AK2100" s="725">
        <f t="shared" si="47"/>
        <v>0</v>
      </c>
    </row>
    <row r="2101" spans="37:37" x14ac:dyDescent="0.2">
      <c r="AK2101" s="725">
        <f t="shared" si="47"/>
        <v>0</v>
      </c>
    </row>
    <row r="2102" spans="37:37" x14ac:dyDescent="0.2">
      <c r="AK2102" s="725">
        <f t="shared" si="47"/>
        <v>0</v>
      </c>
    </row>
    <row r="2103" spans="37:37" x14ac:dyDescent="0.2">
      <c r="AK2103" s="725">
        <f t="shared" si="47"/>
        <v>0</v>
      </c>
    </row>
    <row r="2104" spans="37:37" x14ac:dyDescent="0.2">
      <c r="AK2104" s="725">
        <f t="shared" si="47"/>
        <v>0</v>
      </c>
    </row>
    <row r="2105" spans="37:37" x14ac:dyDescent="0.2">
      <c r="AK2105" s="725">
        <f t="shared" si="47"/>
        <v>0</v>
      </c>
    </row>
    <row r="2106" spans="37:37" x14ac:dyDescent="0.2">
      <c r="AK2106" s="725">
        <f t="shared" si="47"/>
        <v>0</v>
      </c>
    </row>
    <row r="2107" spans="37:37" x14ac:dyDescent="0.2">
      <c r="AK2107" s="725">
        <f t="shared" si="47"/>
        <v>0</v>
      </c>
    </row>
    <row r="2108" spans="37:37" x14ac:dyDescent="0.2">
      <c r="AK2108" s="725">
        <f t="shared" si="47"/>
        <v>0</v>
      </c>
    </row>
    <row r="2109" spans="37:37" x14ac:dyDescent="0.2">
      <c r="AK2109" s="725">
        <f t="shared" si="47"/>
        <v>0</v>
      </c>
    </row>
    <row r="2110" spans="37:37" x14ac:dyDescent="0.2">
      <c r="AK2110" s="725">
        <f t="shared" si="47"/>
        <v>0</v>
      </c>
    </row>
    <row r="2111" spans="37:37" x14ac:dyDescent="0.2">
      <c r="AK2111" s="725">
        <f t="shared" si="47"/>
        <v>0</v>
      </c>
    </row>
    <row r="2112" spans="37:37" x14ac:dyDescent="0.2">
      <c r="AK2112" s="725">
        <f t="shared" si="47"/>
        <v>0</v>
      </c>
    </row>
    <row r="2113" spans="37:37" x14ac:dyDescent="0.2">
      <c r="AK2113" s="725">
        <f t="shared" si="47"/>
        <v>0</v>
      </c>
    </row>
    <row r="2114" spans="37:37" x14ac:dyDescent="0.2">
      <c r="AK2114" s="725">
        <f t="shared" si="47"/>
        <v>0</v>
      </c>
    </row>
    <row r="2115" spans="37:37" x14ac:dyDescent="0.2">
      <c r="AK2115" s="725">
        <f t="shared" si="47"/>
        <v>0</v>
      </c>
    </row>
    <row r="2116" spans="37:37" x14ac:dyDescent="0.2">
      <c r="AK2116" s="725">
        <f t="shared" si="47"/>
        <v>0</v>
      </c>
    </row>
    <row r="2117" spans="37:37" x14ac:dyDescent="0.2">
      <c r="AK2117" s="725">
        <f t="shared" si="47"/>
        <v>0</v>
      </c>
    </row>
    <row r="2118" spans="37:37" x14ac:dyDescent="0.2">
      <c r="AK2118" s="725">
        <f t="shared" si="47"/>
        <v>0</v>
      </c>
    </row>
    <row r="2119" spans="37:37" x14ac:dyDescent="0.2">
      <c r="AK2119" s="725">
        <f t="shared" si="47"/>
        <v>0</v>
      </c>
    </row>
    <row r="2120" spans="37:37" x14ac:dyDescent="0.2">
      <c r="AK2120" s="725">
        <f t="shared" si="47"/>
        <v>0</v>
      </c>
    </row>
    <row r="2121" spans="37:37" x14ac:dyDescent="0.2">
      <c r="AK2121" s="725">
        <f t="shared" si="47"/>
        <v>0</v>
      </c>
    </row>
    <row r="2122" spans="37:37" x14ac:dyDescent="0.2">
      <c r="AK2122" s="725">
        <f t="shared" si="47"/>
        <v>0</v>
      </c>
    </row>
    <row r="2123" spans="37:37" x14ac:dyDescent="0.2">
      <c r="AK2123" s="725">
        <f t="shared" si="47"/>
        <v>0</v>
      </c>
    </row>
    <row r="2124" spans="37:37" x14ac:dyDescent="0.2">
      <c r="AK2124" s="725">
        <f t="shared" si="47"/>
        <v>0</v>
      </c>
    </row>
    <row r="2125" spans="37:37" x14ac:dyDescent="0.2">
      <c r="AK2125" s="725">
        <f t="shared" si="47"/>
        <v>0</v>
      </c>
    </row>
    <row r="2126" spans="37:37" x14ac:dyDescent="0.2">
      <c r="AK2126" s="725">
        <f t="shared" si="47"/>
        <v>0</v>
      </c>
    </row>
    <row r="2127" spans="37:37" x14ac:dyDescent="0.2">
      <c r="AK2127" s="725">
        <f t="shared" si="47"/>
        <v>0</v>
      </c>
    </row>
    <row r="2128" spans="37:37" x14ac:dyDescent="0.2">
      <c r="AK2128" s="725">
        <f t="shared" si="47"/>
        <v>0</v>
      </c>
    </row>
    <row r="2129" spans="37:37" x14ac:dyDescent="0.2">
      <c r="AK2129" s="725">
        <f t="shared" si="47"/>
        <v>0</v>
      </c>
    </row>
    <row r="2130" spans="37:37" x14ac:dyDescent="0.2">
      <c r="AK2130" s="725">
        <f t="shared" si="47"/>
        <v>0</v>
      </c>
    </row>
    <row r="2131" spans="37:37" x14ac:dyDescent="0.2">
      <c r="AK2131" s="725">
        <f t="shared" si="47"/>
        <v>0</v>
      </c>
    </row>
    <row r="2132" spans="37:37" x14ac:dyDescent="0.2">
      <c r="AK2132" s="725">
        <f t="shared" si="47"/>
        <v>0</v>
      </c>
    </row>
    <row r="2133" spans="37:37" x14ac:dyDescent="0.2">
      <c r="AK2133" s="725">
        <f t="shared" si="47"/>
        <v>0</v>
      </c>
    </row>
    <row r="2134" spans="37:37" x14ac:dyDescent="0.2">
      <c r="AK2134" s="725">
        <f t="shared" si="47"/>
        <v>0</v>
      </c>
    </row>
    <row r="2135" spans="37:37" x14ac:dyDescent="0.2">
      <c r="AK2135" s="725">
        <f t="shared" si="47"/>
        <v>0</v>
      </c>
    </row>
    <row r="2136" spans="37:37" x14ac:dyDescent="0.2">
      <c r="AK2136" s="725">
        <f t="shared" ref="AK2136:AK2199" si="48">SUM(O2136:AJ2136)</f>
        <v>0</v>
      </c>
    </row>
    <row r="2137" spans="37:37" x14ac:dyDescent="0.2">
      <c r="AK2137" s="725">
        <f t="shared" si="48"/>
        <v>0</v>
      </c>
    </row>
    <row r="2138" spans="37:37" x14ac:dyDescent="0.2">
      <c r="AK2138" s="725">
        <f t="shared" si="48"/>
        <v>0</v>
      </c>
    </row>
    <row r="2139" spans="37:37" x14ac:dyDescent="0.2">
      <c r="AK2139" s="725">
        <f t="shared" si="48"/>
        <v>0</v>
      </c>
    </row>
    <row r="2140" spans="37:37" x14ac:dyDescent="0.2">
      <c r="AK2140" s="725">
        <f t="shared" si="48"/>
        <v>0</v>
      </c>
    </row>
    <row r="2141" spans="37:37" x14ac:dyDescent="0.2">
      <c r="AK2141" s="725">
        <f t="shared" si="48"/>
        <v>0</v>
      </c>
    </row>
    <row r="2142" spans="37:37" x14ac:dyDescent="0.2">
      <c r="AK2142" s="725">
        <f t="shared" si="48"/>
        <v>0</v>
      </c>
    </row>
    <row r="2143" spans="37:37" x14ac:dyDescent="0.2">
      <c r="AK2143" s="725">
        <f t="shared" si="48"/>
        <v>0</v>
      </c>
    </row>
    <row r="2144" spans="37:37" x14ac:dyDescent="0.2">
      <c r="AK2144" s="725">
        <f t="shared" si="48"/>
        <v>0</v>
      </c>
    </row>
    <row r="2145" spans="37:37" x14ac:dyDescent="0.2">
      <c r="AK2145" s="725">
        <f t="shared" si="48"/>
        <v>0</v>
      </c>
    </row>
    <row r="2146" spans="37:37" x14ac:dyDescent="0.2">
      <c r="AK2146" s="725">
        <f t="shared" si="48"/>
        <v>0</v>
      </c>
    </row>
    <row r="2147" spans="37:37" x14ac:dyDescent="0.2">
      <c r="AK2147" s="725">
        <f t="shared" si="48"/>
        <v>0</v>
      </c>
    </row>
    <row r="2148" spans="37:37" x14ac:dyDescent="0.2">
      <c r="AK2148" s="725">
        <f t="shared" si="48"/>
        <v>0</v>
      </c>
    </row>
    <row r="2149" spans="37:37" x14ac:dyDescent="0.2">
      <c r="AK2149" s="725">
        <f t="shared" si="48"/>
        <v>0</v>
      </c>
    </row>
    <row r="2150" spans="37:37" x14ac:dyDescent="0.2">
      <c r="AK2150" s="725">
        <f t="shared" si="48"/>
        <v>0</v>
      </c>
    </row>
    <row r="2151" spans="37:37" x14ac:dyDescent="0.2">
      <c r="AK2151" s="725">
        <f t="shared" si="48"/>
        <v>0</v>
      </c>
    </row>
    <row r="2152" spans="37:37" x14ac:dyDescent="0.2">
      <c r="AK2152" s="725">
        <f t="shared" si="48"/>
        <v>0</v>
      </c>
    </row>
    <row r="2153" spans="37:37" x14ac:dyDescent="0.2">
      <c r="AK2153" s="725">
        <f t="shared" si="48"/>
        <v>0</v>
      </c>
    </row>
    <row r="2154" spans="37:37" x14ac:dyDescent="0.2">
      <c r="AK2154" s="725">
        <f t="shared" si="48"/>
        <v>0</v>
      </c>
    </row>
    <row r="2155" spans="37:37" x14ac:dyDescent="0.2">
      <c r="AK2155" s="725">
        <f t="shared" si="48"/>
        <v>0</v>
      </c>
    </row>
    <row r="2156" spans="37:37" x14ac:dyDescent="0.2">
      <c r="AK2156" s="725">
        <f t="shared" si="48"/>
        <v>0</v>
      </c>
    </row>
    <row r="2157" spans="37:37" x14ac:dyDescent="0.2">
      <c r="AK2157" s="725">
        <f t="shared" si="48"/>
        <v>0</v>
      </c>
    </row>
    <row r="2158" spans="37:37" x14ac:dyDescent="0.2">
      <c r="AK2158" s="725">
        <f t="shared" si="48"/>
        <v>0</v>
      </c>
    </row>
    <row r="2159" spans="37:37" x14ac:dyDescent="0.2">
      <c r="AK2159" s="725">
        <f t="shared" si="48"/>
        <v>0</v>
      </c>
    </row>
    <row r="2160" spans="37:37" x14ac:dyDescent="0.2">
      <c r="AK2160" s="725">
        <f t="shared" si="48"/>
        <v>0</v>
      </c>
    </row>
    <row r="2161" spans="37:37" x14ac:dyDescent="0.2">
      <c r="AK2161" s="725">
        <f t="shared" si="48"/>
        <v>0</v>
      </c>
    </row>
    <row r="2162" spans="37:37" x14ac:dyDescent="0.2">
      <c r="AK2162" s="725">
        <f t="shared" si="48"/>
        <v>0</v>
      </c>
    </row>
    <row r="2163" spans="37:37" x14ac:dyDescent="0.2">
      <c r="AK2163" s="725">
        <f t="shared" si="48"/>
        <v>0</v>
      </c>
    </row>
    <row r="2164" spans="37:37" x14ac:dyDescent="0.2">
      <c r="AK2164" s="725">
        <f t="shared" si="48"/>
        <v>0</v>
      </c>
    </row>
    <row r="2165" spans="37:37" x14ac:dyDescent="0.2">
      <c r="AK2165" s="725">
        <f t="shared" si="48"/>
        <v>0</v>
      </c>
    </row>
    <row r="2166" spans="37:37" x14ac:dyDescent="0.2">
      <c r="AK2166" s="725">
        <f t="shared" si="48"/>
        <v>0</v>
      </c>
    </row>
    <row r="2167" spans="37:37" x14ac:dyDescent="0.2">
      <c r="AK2167" s="725">
        <f t="shared" si="48"/>
        <v>0</v>
      </c>
    </row>
    <row r="2168" spans="37:37" x14ac:dyDescent="0.2">
      <c r="AK2168" s="725">
        <f t="shared" si="48"/>
        <v>0</v>
      </c>
    </row>
    <row r="2169" spans="37:37" x14ac:dyDescent="0.2">
      <c r="AK2169" s="725">
        <f t="shared" si="48"/>
        <v>0</v>
      </c>
    </row>
    <row r="2170" spans="37:37" x14ac:dyDescent="0.2">
      <c r="AK2170" s="725">
        <f t="shared" si="48"/>
        <v>0</v>
      </c>
    </row>
    <row r="2171" spans="37:37" x14ac:dyDescent="0.2">
      <c r="AK2171" s="725">
        <f t="shared" si="48"/>
        <v>0</v>
      </c>
    </row>
    <row r="2172" spans="37:37" x14ac:dyDescent="0.2">
      <c r="AK2172" s="725">
        <f t="shared" si="48"/>
        <v>0</v>
      </c>
    </row>
    <row r="2173" spans="37:37" x14ac:dyDescent="0.2">
      <c r="AK2173" s="725">
        <f t="shared" si="48"/>
        <v>0</v>
      </c>
    </row>
    <row r="2174" spans="37:37" x14ac:dyDescent="0.2">
      <c r="AK2174" s="725">
        <f t="shared" si="48"/>
        <v>0</v>
      </c>
    </row>
    <row r="2175" spans="37:37" x14ac:dyDescent="0.2">
      <c r="AK2175" s="725">
        <f t="shared" si="48"/>
        <v>0</v>
      </c>
    </row>
    <row r="2176" spans="37:37" x14ac:dyDescent="0.2">
      <c r="AK2176" s="725">
        <f t="shared" si="48"/>
        <v>0</v>
      </c>
    </row>
    <row r="2177" spans="37:37" x14ac:dyDescent="0.2">
      <c r="AK2177" s="725">
        <f t="shared" si="48"/>
        <v>0</v>
      </c>
    </row>
    <row r="2178" spans="37:37" x14ac:dyDescent="0.2">
      <c r="AK2178" s="725">
        <f t="shared" si="48"/>
        <v>0</v>
      </c>
    </row>
    <row r="2179" spans="37:37" x14ac:dyDescent="0.2">
      <c r="AK2179" s="725">
        <f t="shared" si="48"/>
        <v>0</v>
      </c>
    </row>
    <row r="2180" spans="37:37" x14ac:dyDescent="0.2">
      <c r="AK2180" s="725">
        <f t="shared" si="48"/>
        <v>0</v>
      </c>
    </row>
    <row r="2181" spans="37:37" x14ac:dyDescent="0.2">
      <c r="AK2181" s="725">
        <f t="shared" si="48"/>
        <v>0</v>
      </c>
    </row>
    <row r="2182" spans="37:37" x14ac:dyDescent="0.2">
      <c r="AK2182" s="725">
        <f t="shared" si="48"/>
        <v>0</v>
      </c>
    </row>
    <row r="2183" spans="37:37" x14ac:dyDescent="0.2">
      <c r="AK2183" s="725">
        <f t="shared" si="48"/>
        <v>0</v>
      </c>
    </row>
    <row r="2184" spans="37:37" x14ac:dyDescent="0.2">
      <c r="AK2184" s="725">
        <f t="shared" si="48"/>
        <v>0</v>
      </c>
    </row>
    <row r="2185" spans="37:37" x14ac:dyDescent="0.2">
      <c r="AK2185" s="725">
        <f t="shared" si="48"/>
        <v>0</v>
      </c>
    </row>
    <row r="2186" spans="37:37" x14ac:dyDescent="0.2">
      <c r="AK2186" s="725">
        <f t="shared" si="48"/>
        <v>0</v>
      </c>
    </row>
    <row r="2187" spans="37:37" x14ac:dyDescent="0.2">
      <c r="AK2187" s="725">
        <f t="shared" si="48"/>
        <v>0</v>
      </c>
    </row>
    <row r="2188" spans="37:37" x14ac:dyDescent="0.2">
      <c r="AK2188" s="725">
        <f t="shared" si="48"/>
        <v>0</v>
      </c>
    </row>
    <row r="2189" spans="37:37" x14ac:dyDescent="0.2">
      <c r="AK2189" s="725">
        <f t="shared" si="48"/>
        <v>0</v>
      </c>
    </row>
    <row r="2190" spans="37:37" x14ac:dyDescent="0.2">
      <c r="AK2190" s="725">
        <f t="shared" si="48"/>
        <v>0</v>
      </c>
    </row>
    <row r="2191" spans="37:37" x14ac:dyDescent="0.2">
      <c r="AK2191" s="725">
        <f t="shared" si="48"/>
        <v>0</v>
      </c>
    </row>
    <row r="2192" spans="37:37" x14ac:dyDescent="0.2">
      <c r="AK2192" s="725">
        <f t="shared" si="48"/>
        <v>0</v>
      </c>
    </row>
    <row r="2193" spans="37:37" x14ac:dyDescent="0.2">
      <c r="AK2193" s="725">
        <f t="shared" si="48"/>
        <v>0</v>
      </c>
    </row>
    <row r="2194" spans="37:37" x14ac:dyDescent="0.2">
      <c r="AK2194" s="725">
        <f t="shared" si="48"/>
        <v>0</v>
      </c>
    </row>
    <row r="2195" spans="37:37" x14ac:dyDescent="0.2">
      <c r="AK2195" s="725">
        <f t="shared" si="48"/>
        <v>0</v>
      </c>
    </row>
    <row r="2196" spans="37:37" x14ac:dyDescent="0.2">
      <c r="AK2196" s="725">
        <f t="shared" si="48"/>
        <v>0</v>
      </c>
    </row>
    <row r="2197" spans="37:37" x14ac:dyDescent="0.2">
      <c r="AK2197" s="725">
        <f t="shared" si="48"/>
        <v>0</v>
      </c>
    </row>
    <row r="2198" spans="37:37" x14ac:dyDescent="0.2">
      <c r="AK2198" s="725">
        <f t="shared" si="48"/>
        <v>0</v>
      </c>
    </row>
    <row r="2199" spans="37:37" x14ac:dyDescent="0.2">
      <c r="AK2199" s="725">
        <f t="shared" si="48"/>
        <v>0</v>
      </c>
    </row>
    <row r="2200" spans="37:37" x14ac:dyDescent="0.2">
      <c r="AK2200" s="725">
        <f t="shared" ref="AK2200:AK2263" si="49">SUM(O2200:AJ2200)</f>
        <v>0</v>
      </c>
    </row>
    <row r="2201" spans="37:37" x14ac:dyDescent="0.2">
      <c r="AK2201" s="725">
        <f t="shared" si="49"/>
        <v>0</v>
      </c>
    </row>
    <row r="2202" spans="37:37" x14ac:dyDescent="0.2">
      <c r="AK2202" s="725">
        <f t="shared" si="49"/>
        <v>0</v>
      </c>
    </row>
    <row r="2203" spans="37:37" x14ac:dyDescent="0.2">
      <c r="AK2203" s="725">
        <f t="shared" si="49"/>
        <v>0</v>
      </c>
    </row>
    <row r="2204" spans="37:37" x14ac:dyDescent="0.2">
      <c r="AK2204" s="725">
        <f t="shared" si="49"/>
        <v>0</v>
      </c>
    </row>
    <row r="2205" spans="37:37" x14ac:dyDescent="0.2">
      <c r="AK2205" s="725">
        <f t="shared" si="49"/>
        <v>0</v>
      </c>
    </row>
    <row r="2206" spans="37:37" x14ac:dyDescent="0.2">
      <c r="AK2206" s="725">
        <f t="shared" si="49"/>
        <v>0</v>
      </c>
    </row>
    <row r="2207" spans="37:37" x14ac:dyDescent="0.2">
      <c r="AK2207" s="725">
        <f t="shared" si="49"/>
        <v>0</v>
      </c>
    </row>
    <row r="2208" spans="37:37" x14ac:dyDescent="0.2">
      <c r="AK2208" s="725">
        <f t="shared" si="49"/>
        <v>0</v>
      </c>
    </row>
    <row r="2209" spans="37:37" x14ac:dyDescent="0.2">
      <c r="AK2209" s="725">
        <f t="shared" si="49"/>
        <v>0</v>
      </c>
    </row>
    <row r="2210" spans="37:37" x14ac:dyDescent="0.2">
      <c r="AK2210" s="725">
        <f t="shared" si="49"/>
        <v>0</v>
      </c>
    </row>
    <row r="2211" spans="37:37" x14ac:dyDescent="0.2">
      <c r="AK2211" s="725">
        <f t="shared" si="49"/>
        <v>0</v>
      </c>
    </row>
    <row r="2212" spans="37:37" x14ac:dyDescent="0.2">
      <c r="AK2212" s="725">
        <f t="shared" si="49"/>
        <v>0</v>
      </c>
    </row>
    <row r="2213" spans="37:37" x14ac:dyDescent="0.2">
      <c r="AK2213" s="725">
        <f t="shared" si="49"/>
        <v>0</v>
      </c>
    </row>
    <row r="2214" spans="37:37" x14ac:dyDescent="0.2">
      <c r="AK2214" s="725">
        <f t="shared" si="49"/>
        <v>0</v>
      </c>
    </row>
    <row r="2215" spans="37:37" x14ac:dyDescent="0.2">
      <c r="AK2215" s="725">
        <f t="shared" si="49"/>
        <v>0</v>
      </c>
    </row>
    <row r="2216" spans="37:37" x14ac:dyDescent="0.2">
      <c r="AK2216" s="725">
        <f t="shared" si="49"/>
        <v>0</v>
      </c>
    </row>
    <row r="2217" spans="37:37" x14ac:dyDescent="0.2">
      <c r="AK2217" s="725">
        <f t="shared" si="49"/>
        <v>0</v>
      </c>
    </row>
    <row r="2218" spans="37:37" x14ac:dyDescent="0.2">
      <c r="AK2218" s="725">
        <f t="shared" si="49"/>
        <v>0</v>
      </c>
    </row>
    <row r="2219" spans="37:37" x14ac:dyDescent="0.2">
      <c r="AK2219" s="725">
        <f t="shared" si="49"/>
        <v>0</v>
      </c>
    </row>
    <row r="2220" spans="37:37" x14ac:dyDescent="0.2">
      <c r="AK2220" s="725">
        <f t="shared" si="49"/>
        <v>0</v>
      </c>
    </row>
    <row r="2221" spans="37:37" x14ac:dyDescent="0.2">
      <c r="AK2221" s="725">
        <f t="shared" si="49"/>
        <v>0</v>
      </c>
    </row>
    <row r="2222" spans="37:37" x14ac:dyDescent="0.2">
      <c r="AK2222" s="725">
        <f t="shared" si="49"/>
        <v>0</v>
      </c>
    </row>
    <row r="2223" spans="37:37" x14ac:dyDescent="0.2">
      <c r="AK2223" s="725">
        <f t="shared" si="49"/>
        <v>0</v>
      </c>
    </row>
    <row r="2224" spans="37:37" x14ac:dyDescent="0.2">
      <c r="AK2224" s="725">
        <f t="shared" si="49"/>
        <v>0</v>
      </c>
    </row>
    <row r="2225" spans="37:37" x14ac:dyDescent="0.2">
      <c r="AK2225" s="725">
        <f t="shared" si="49"/>
        <v>0</v>
      </c>
    </row>
    <row r="2226" spans="37:37" x14ac:dyDescent="0.2">
      <c r="AK2226" s="725">
        <f t="shared" si="49"/>
        <v>0</v>
      </c>
    </row>
    <row r="2227" spans="37:37" x14ac:dyDescent="0.2">
      <c r="AK2227" s="725">
        <f t="shared" si="49"/>
        <v>0</v>
      </c>
    </row>
    <row r="2228" spans="37:37" x14ac:dyDescent="0.2">
      <c r="AK2228" s="725">
        <f t="shared" si="49"/>
        <v>0</v>
      </c>
    </row>
    <row r="2229" spans="37:37" x14ac:dyDescent="0.2">
      <c r="AK2229" s="725">
        <f t="shared" si="49"/>
        <v>0</v>
      </c>
    </row>
    <row r="2230" spans="37:37" x14ac:dyDescent="0.2">
      <c r="AK2230" s="725">
        <f t="shared" si="49"/>
        <v>0</v>
      </c>
    </row>
    <row r="2231" spans="37:37" x14ac:dyDescent="0.2">
      <c r="AK2231" s="725">
        <f t="shared" si="49"/>
        <v>0</v>
      </c>
    </row>
    <row r="2232" spans="37:37" x14ac:dyDescent="0.2">
      <c r="AK2232" s="725">
        <f t="shared" si="49"/>
        <v>0</v>
      </c>
    </row>
    <row r="2233" spans="37:37" x14ac:dyDescent="0.2">
      <c r="AK2233" s="725">
        <f t="shared" si="49"/>
        <v>0</v>
      </c>
    </row>
    <row r="2234" spans="37:37" x14ac:dyDescent="0.2">
      <c r="AK2234" s="725">
        <f t="shared" si="49"/>
        <v>0</v>
      </c>
    </row>
    <row r="2235" spans="37:37" x14ac:dyDescent="0.2">
      <c r="AK2235" s="725">
        <f t="shared" si="49"/>
        <v>0</v>
      </c>
    </row>
    <row r="2236" spans="37:37" x14ac:dyDescent="0.2">
      <c r="AK2236" s="725">
        <f t="shared" si="49"/>
        <v>0</v>
      </c>
    </row>
    <row r="2237" spans="37:37" x14ac:dyDescent="0.2">
      <c r="AK2237" s="725">
        <f t="shared" si="49"/>
        <v>0</v>
      </c>
    </row>
    <row r="2238" spans="37:37" x14ac:dyDescent="0.2">
      <c r="AK2238" s="725">
        <f t="shared" si="49"/>
        <v>0</v>
      </c>
    </row>
    <row r="2239" spans="37:37" x14ac:dyDescent="0.2">
      <c r="AK2239" s="725">
        <f t="shared" si="49"/>
        <v>0</v>
      </c>
    </row>
    <row r="2240" spans="37:37" x14ac:dyDescent="0.2">
      <c r="AK2240" s="725">
        <f t="shared" si="49"/>
        <v>0</v>
      </c>
    </row>
    <row r="2241" spans="37:37" x14ac:dyDescent="0.2">
      <c r="AK2241" s="725">
        <f t="shared" si="49"/>
        <v>0</v>
      </c>
    </row>
    <row r="2242" spans="37:37" x14ac:dyDescent="0.2">
      <c r="AK2242" s="725">
        <f t="shared" si="49"/>
        <v>0</v>
      </c>
    </row>
    <row r="2243" spans="37:37" x14ac:dyDescent="0.2">
      <c r="AK2243" s="725">
        <f t="shared" si="49"/>
        <v>0</v>
      </c>
    </row>
    <row r="2244" spans="37:37" x14ac:dyDescent="0.2">
      <c r="AK2244" s="725">
        <f t="shared" si="49"/>
        <v>0</v>
      </c>
    </row>
    <row r="2245" spans="37:37" x14ac:dyDescent="0.2">
      <c r="AK2245" s="725">
        <f t="shared" si="49"/>
        <v>0</v>
      </c>
    </row>
    <row r="2246" spans="37:37" x14ac:dyDescent="0.2">
      <c r="AK2246" s="725">
        <f t="shared" si="49"/>
        <v>0</v>
      </c>
    </row>
    <row r="2247" spans="37:37" x14ac:dyDescent="0.2">
      <c r="AK2247" s="725">
        <f t="shared" si="49"/>
        <v>0</v>
      </c>
    </row>
    <row r="2248" spans="37:37" x14ac:dyDescent="0.2">
      <c r="AK2248" s="725">
        <f t="shared" si="49"/>
        <v>0</v>
      </c>
    </row>
    <row r="2249" spans="37:37" x14ac:dyDescent="0.2">
      <c r="AK2249" s="725">
        <f t="shared" si="49"/>
        <v>0</v>
      </c>
    </row>
    <row r="2250" spans="37:37" x14ac:dyDescent="0.2">
      <c r="AK2250" s="725">
        <f t="shared" si="49"/>
        <v>0</v>
      </c>
    </row>
    <row r="2251" spans="37:37" x14ac:dyDescent="0.2">
      <c r="AK2251" s="725">
        <f t="shared" si="49"/>
        <v>0</v>
      </c>
    </row>
    <row r="2252" spans="37:37" x14ac:dyDescent="0.2">
      <c r="AK2252" s="725">
        <f t="shared" si="49"/>
        <v>0</v>
      </c>
    </row>
    <row r="2253" spans="37:37" x14ac:dyDescent="0.2">
      <c r="AK2253" s="725">
        <f t="shared" si="49"/>
        <v>0</v>
      </c>
    </row>
    <row r="2254" spans="37:37" x14ac:dyDescent="0.2">
      <c r="AK2254" s="725">
        <f t="shared" si="49"/>
        <v>0</v>
      </c>
    </row>
    <row r="2255" spans="37:37" x14ac:dyDescent="0.2">
      <c r="AK2255" s="725">
        <f t="shared" si="49"/>
        <v>0</v>
      </c>
    </row>
    <row r="2256" spans="37:37" x14ac:dyDescent="0.2">
      <c r="AK2256" s="725">
        <f t="shared" si="49"/>
        <v>0</v>
      </c>
    </row>
    <row r="2257" spans="37:37" x14ac:dyDescent="0.2">
      <c r="AK2257" s="725">
        <f t="shared" si="49"/>
        <v>0</v>
      </c>
    </row>
    <row r="2258" spans="37:37" x14ac:dyDescent="0.2">
      <c r="AK2258" s="725">
        <f t="shared" si="49"/>
        <v>0</v>
      </c>
    </row>
    <row r="2259" spans="37:37" x14ac:dyDescent="0.2">
      <c r="AK2259" s="725">
        <f t="shared" si="49"/>
        <v>0</v>
      </c>
    </row>
    <row r="2260" spans="37:37" x14ac:dyDescent="0.2">
      <c r="AK2260" s="725">
        <f t="shared" si="49"/>
        <v>0</v>
      </c>
    </row>
    <row r="2261" spans="37:37" x14ac:dyDescent="0.2">
      <c r="AK2261" s="725">
        <f t="shared" si="49"/>
        <v>0</v>
      </c>
    </row>
    <row r="2262" spans="37:37" x14ac:dyDescent="0.2">
      <c r="AK2262" s="725">
        <f t="shared" si="49"/>
        <v>0</v>
      </c>
    </row>
    <row r="2263" spans="37:37" x14ac:dyDescent="0.2">
      <c r="AK2263" s="725">
        <f t="shared" si="49"/>
        <v>0</v>
      </c>
    </row>
    <row r="2264" spans="37:37" x14ac:dyDescent="0.2">
      <c r="AK2264" s="725">
        <f t="shared" ref="AK2264:AK2327" si="50">SUM(O2264:AJ2264)</f>
        <v>0</v>
      </c>
    </row>
    <row r="2265" spans="37:37" x14ac:dyDescent="0.2">
      <c r="AK2265" s="725">
        <f t="shared" si="50"/>
        <v>0</v>
      </c>
    </row>
    <row r="2266" spans="37:37" x14ac:dyDescent="0.2">
      <c r="AK2266" s="725">
        <f t="shared" si="50"/>
        <v>0</v>
      </c>
    </row>
    <row r="2267" spans="37:37" x14ac:dyDescent="0.2">
      <c r="AK2267" s="725">
        <f t="shared" si="50"/>
        <v>0</v>
      </c>
    </row>
    <row r="2268" spans="37:37" x14ac:dyDescent="0.2">
      <c r="AK2268" s="725">
        <f t="shared" si="50"/>
        <v>0</v>
      </c>
    </row>
    <row r="2269" spans="37:37" x14ac:dyDescent="0.2">
      <c r="AK2269" s="725">
        <f t="shared" si="50"/>
        <v>0</v>
      </c>
    </row>
    <row r="2270" spans="37:37" x14ac:dyDescent="0.2">
      <c r="AK2270" s="725">
        <f t="shared" si="50"/>
        <v>0</v>
      </c>
    </row>
    <row r="2271" spans="37:37" x14ac:dyDescent="0.2">
      <c r="AK2271" s="725">
        <f t="shared" si="50"/>
        <v>0</v>
      </c>
    </row>
    <row r="2272" spans="37:37" x14ac:dyDescent="0.2">
      <c r="AK2272" s="725">
        <f t="shared" si="50"/>
        <v>0</v>
      </c>
    </row>
    <row r="2273" spans="37:37" x14ac:dyDescent="0.2">
      <c r="AK2273" s="725">
        <f t="shared" si="50"/>
        <v>0</v>
      </c>
    </row>
    <row r="2274" spans="37:37" x14ac:dyDescent="0.2">
      <c r="AK2274" s="725">
        <f t="shared" si="50"/>
        <v>0</v>
      </c>
    </row>
    <row r="2275" spans="37:37" x14ac:dyDescent="0.2">
      <c r="AK2275" s="725">
        <f t="shared" si="50"/>
        <v>0</v>
      </c>
    </row>
    <row r="2276" spans="37:37" x14ac:dyDescent="0.2">
      <c r="AK2276" s="725">
        <f t="shared" si="50"/>
        <v>0</v>
      </c>
    </row>
    <row r="2277" spans="37:37" x14ac:dyDescent="0.2">
      <c r="AK2277" s="725">
        <f t="shared" si="50"/>
        <v>0</v>
      </c>
    </row>
    <row r="2278" spans="37:37" x14ac:dyDescent="0.2">
      <c r="AK2278" s="725">
        <f t="shared" si="50"/>
        <v>0</v>
      </c>
    </row>
    <row r="2279" spans="37:37" x14ac:dyDescent="0.2">
      <c r="AK2279" s="725">
        <f t="shared" si="50"/>
        <v>0</v>
      </c>
    </row>
    <row r="2280" spans="37:37" x14ac:dyDescent="0.2">
      <c r="AK2280" s="725">
        <f t="shared" si="50"/>
        <v>0</v>
      </c>
    </row>
    <row r="2281" spans="37:37" x14ac:dyDescent="0.2">
      <c r="AK2281" s="725">
        <f t="shared" si="50"/>
        <v>0</v>
      </c>
    </row>
    <row r="2282" spans="37:37" x14ac:dyDescent="0.2">
      <c r="AK2282" s="725">
        <f t="shared" si="50"/>
        <v>0</v>
      </c>
    </row>
    <row r="2283" spans="37:37" x14ac:dyDescent="0.2">
      <c r="AK2283" s="725">
        <f t="shared" si="50"/>
        <v>0</v>
      </c>
    </row>
    <row r="2284" spans="37:37" x14ac:dyDescent="0.2">
      <c r="AK2284" s="725">
        <f t="shared" si="50"/>
        <v>0</v>
      </c>
    </row>
    <row r="2285" spans="37:37" x14ac:dyDescent="0.2">
      <c r="AK2285" s="725">
        <f t="shared" si="50"/>
        <v>0</v>
      </c>
    </row>
    <row r="2286" spans="37:37" x14ac:dyDescent="0.2">
      <c r="AK2286" s="725">
        <f t="shared" si="50"/>
        <v>0</v>
      </c>
    </row>
    <row r="2287" spans="37:37" x14ac:dyDescent="0.2">
      <c r="AK2287" s="725">
        <f t="shared" si="50"/>
        <v>0</v>
      </c>
    </row>
    <row r="2288" spans="37:37" x14ac:dyDescent="0.2">
      <c r="AK2288" s="725">
        <f t="shared" si="50"/>
        <v>0</v>
      </c>
    </row>
    <row r="2289" spans="37:37" x14ac:dyDescent="0.2">
      <c r="AK2289" s="725">
        <f t="shared" si="50"/>
        <v>0</v>
      </c>
    </row>
    <row r="2290" spans="37:37" x14ac:dyDescent="0.2">
      <c r="AK2290" s="725">
        <f t="shared" si="50"/>
        <v>0</v>
      </c>
    </row>
    <row r="2291" spans="37:37" x14ac:dyDescent="0.2">
      <c r="AK2291" s="725">
        <f t="shared" si="50"/>
        <v>0</v>
      </c>
    </row>
    <row r="2292" spans="37:37" x14ac:dyDescent="0.2">
      <c r="AK2292" s="725">
        <f t="shared" si="50"/>
        <v>0</v>
      </c>
    </row>
    <row r="2293" spans="37:37" x14ac:dyDescent="0.2">
      <c r="AK2293" s="725">
        <f t="shared" si="50"/>
        <v>0</v>
      </c>
    </row>
    <row r="2294" spans="37:37" x14ac:dyDescent="0.2">
      <c r="AK2294" s="725">
        <f t="shared" si="50"/>
        <v>0</v>
      </c>
    </row>
    <row r="2295" spans="37:37" x14ac:dyDescent="0.2">
      <c r="AK2295" s="725">
        <f t="shared" si="50"/>
        <v>0</v>
      </c>
    </row>
    <row r="2296" spans="37:37" x14ac:dyDescent="0.2">
      <c r="AK2296" s="725">
        <f t="shared" si="50"/>
        <v>0</v>
      </c>
    </row>
    <row r="2297" spans="37:37" x14ac:dyDescent="0.2">
      <c r="AK2297" s="725">
        <f t="shared" si="50"/>
        <v>0</v>
      </c>
    </row>
    <row r="2298" spans="37:37" x14ac:dyDescent="0.2">
      <c r="AK2298" s="725">
        <f t="shared" si="50"/>
        <v>0</v>
      </c>
    </row>
    <row r="2299" spans="37:37" x14ac:dyDescent="0.2">
      <c r="AK2299" s="725">
        <f t="shared" si="50"/>
        <v>0</v>
      </c>
    </row>
    <row r="2300" spans="37:37" x14ac:dyDescent="0.2">
      <c r="AK2300" s="725">
        <f t="shared" si="50"/>
        <v>0</v>
      </c>
    </row>
    <row r="2301" spans="37:37" x14ac:dyDescent="0.2">
      <c r="AK2301" s="725">
        <f t="shared" si="50"/>
        <v>0</v>
      </c>
    </row>
    <row r="2302" spans="37:37" x14ac:dyDescent="0.2">
      <c r="AK2302" s="725">
        <f t="shared" si="50"/>
        <v>0</v>
      </c>
    </row>
    <row r="2303" spans="37:37" x14ac:dyDescent="0.2">
      <c r="AK2303" s="725">
        <f t="shared" si="50"/>
        <v>0</v>
      </c>
    </row>
    <row r="2304" spans="37:37" x14ac:dyDescent="0.2">
      <c r="AK2304" s="725">
        <f t="shared" si="50"/>
        <v>0</v>
      </c>
    </row>
    <row r="2305" spans="37:37" x14ac:dyDescent="0.2">
      <c r="AK2305" s="725">
        <f t="shared" si="50"/>
        <v>0</v>
      </c>
    </row>
    <row r="2306" spans="37:37" x14ac:dyDescent="0.2">
      <c r="AK2306" s="725">
        <f t="shared" si="50"/>
        <v>0</v>
      </c>
    </row>
    <row r="2307" spans="37:37" x14ac:dyDescent="0.2">
      <c r="AK2307" s="725">
        <f t="shared" si="50"/>
        <v>0</v>
      </c>
    </row>
    <row r="2308" spans="37:37" x14ac:dyDescent="0.2">
      <c r="AK2308" s="725">
        <f t="shared" si="50"/>
        <v>0</v>
      </c>
    </row>
    <row r="2309" spans="37:37" x14ac:dyDescent="0.2">
      <c r="AK2309" s="725">
        <f t="shared" si="50"/>
        <v>0</v>
      </c>
    </row>
    <row r="2310" spans="37:37" x14ac:dyDescent="0.2">
      <c r="AK2310" s="725">
        <f t="shared" si="50"/>
        <v>0</v>
      </c>
    </row>
    <row r="2311" spans="37:37" x14ac:dyDescent="0.2">
      <c r="AK2311" s="725">
        <f t="shared" si="50"/>
        <v>0</v>
      </c>
    </row>
    <row r="2312" spans="37:37" x14ac:dyDescent="0.2">
      <c r="AK2312" s="725">
        <f t="shared" si="50"/>
        <v>0</v>
      </c>
    </row>
    <row r="2313" spans="37:37" x14ac:dyDescent="0.2">
      <c r="AK2313" s="725">
        <f t="shared" si="50"/>
        <v>0</v>
      </c>
    </row>
    <row r="2314" spans="37:37" x14ac:dyDescent="0.2">
      <c r="AK2314" s="725">
        <f t="shared" si="50"/>
        <v>0</v>
      </c>
    </row>
    <row r="2315" spans="37:37" x14ac:dyDescent="0.2">
      <c r="AK2315" s="725">
        <f t="shared" si="50"/>
        <v>0</v>
      </c>
    </row>
    <row r="2316" spans="37:37" x14ac:dyDescent="0.2">
      <c r="AK2316" s="725">
        <f t="shared" si="50"/>
        <v>0</v>
      </c>
    </row>
    <row r="2317" spans="37:37" x14ac:dyDescent="0.2">
      <c r="AK2317" s="725">
        <f t="shared" si="50"/>
        <v>0</v>
      </c>
    </row>
    <row r="2318" spans="37:37" x14ac:dyDescent="0.2">
      <c r="AK2318" s="725">
        <f t="shared" si="50"/>
        <v>0</v>
      </c>
    </row>
    <row r="2319" spans="37:37" x14ac:dyDescent="0.2">
      <c r="AK2319" s="725">
        <f t="shared" si="50"/>
        <v>0</v>
      </c>
    </row>
    <row r="2320" spans="37:37" x14ac:dyDescent="0.2">
      <c r="AK2320" s="725">
        <f t="shared" si="50"/>
        <v>0</v>
      </c>
    </row>
    <row r="2321" spans="37:37" x14ac:dyDescent="0.2">
      <c r="AK2321" s="725">
        <f t="shared" si="50"/>
        <v>0</v>
      </c>
    </row>
    <row r="2322" spans="37:37" x14ac:dyDescent="0.2">
      <c r="AK2322" s="725">
        <f t="shared" si="50"/>
        <v>0</v>
      </c>
    </row>
    <row r="2323" spans="37:37" x14ac:dyDescent="0.2">
      <c r="AK2323" s="725">
        <f t="shared" si="50"/>
        <v>0</v>
      </c>
    </row>
    <row r="2324" spans="37:37" x14ac:dyDescent="0.2">
      <c r="AK2324" s="725">
        <f t="shared" si="50"/>
        <v>0</v>
      </c>
    </row>
    <row r="2325" spans="37:37" x14ac:dyDescent="0.2">
      <c r="AK2325" s="725">
        <f t="shared" si="50"/>
        <v>0</v>
      </c>
    </row>
    <row r="2326" spans="37:37" x14ac:dyDescent="0.2">
      <c r="AK2326" s="725">
        <f t="shared" si="50"/>
        <v>0</v>
      </c>
    </row>
    <row r="2327" spans="37:37" x14ac:dyDescent="0.2">
      <c r="AK2327" s="725">
        <f t="shared" si="50"/>
        <v>0</v>
      </c>
    </row>
    <row r="2328" spans="37:37" x14ac:dyDescent="0.2">
      <c r="AK2328" s="725">
        <f t="shared" ref="AK2328:AK2391" si="51">SUM(O2328:AJ2328)</f>
        <v>0</v>
      </c>
    </row>
    <row r="2329" spans="37:37" x14ac:dyDescent="0.2">
      <c r="AK2329" s="725">
        <f t="shared" si="51"/>
        <v>0</v>
      </c>
    </row>
    <row r="2330" spans="37:37" x14ac:dyDescent="0.2">
      <c r="AK2330" s="725">
        <f t="shared" si="51"/>
        <v>0</v>
      </c>
    </row>
    <row r="2331" spans="37:37" x14ac:dyDescent="0.2">
      <c r="AK2331" s="725">
        <f t="shared" si="51"/>
        <v>0</v>
      </c>
    </row>
    <row r="2332" spans="37:37" x14ac:dyDescent="0.2">
      <c r="AK2332" s="725">
        <f t="shared" si="51"/>
        <v>0</v>
      </c>
    </row>
    <row r="2333" spans="37:37" x14ac:dyDescent="0.2">
      <c r="AK2333" s="725">
        <f t="shared" si="51"/>
        <v>0</v>
      </c>
    </row>
    <row r="2334" spans="37:37" x14ac:dyDescent="0.2">
      <c r="AK2334" s="725">
        <f t="shared" si="51"/>
        <v>0</v>
      </c>
    </row>
    <row r="2335" spans="37:37" x14ac:dyDescent="0.2">
      <c r="AK2335" s="725">
        <f t="shared" si="51"/>
        <v>0</v>
      </c>
    </row>
    <row r="2336" spans="37:37" x14ac:dyDescent="0.2">
      <c r="AK2336" s="725">
        <f t="shared" si="51"/>
        <v>0</v>
      </c>
    </row>
    <row r="2337" spans="37:37" x14ac:dyDescent="0.2">
      <c r="AK2337" s="725">
        <f t="shared" si="51"/>
        <v>0</v>
      </c>
    </row>
    <row r="2338" spans="37:37" x14ac:dyDescent="0.2">
      <c r="AK2338" s="725">
        <f t="shared" si="51"/>
        <v>0</v>
      </c>
    </row>
    <row r="2339" spans="37:37" x14ac:dyDescent="0.2">
      <c r="AK2339" s="725">
        <f t="shared" si="51"/>
        <v>0</v>
      </c>
    </row>
    <row r="2340" spans="37:37" x14ac:dyDescent="0.2">
      <c r="AK2340" s="725">
        <f t="shared" si="51"/>
        <v>0</v>
      </c>
    </row>
    <row r="2341" spans="37:37" x14ac:dyDescent="0.2">
      <c r="AK2341" s="725">
        <f t="shared" si="51"/>
        <v>0</v>
      </c>
    </row>
    <row r="2342" spans="37:37" x14ac:dyDescent="0.2">
      <c r="AK2342" s="725">
        <f t="shared" si="51"/>
        <v>0</v>
      </c>
    </row>
    <row r="2343" spans="37:37" x14ac:dyDescent="0.2">
      <c r="AK2343" s="725">
        <f t="shared" si="51"/>
        <v>0</v>
      </c>
    </row>
    <row r="2344" spans="37:37" x14ac:dyDescent="0.2">
      <c r="AK2344" s="725">
        <f t="shared" si="51"/>
        <v>0</v>
      </c>
    </row>
    <row r="2345" spans="37:37" x14ac:dyDescent="0.2">
      <c r="AK2345" s="725">
        <f t="shared" si="51"/>
        <v>0</v>
      </c>
    </row>
    <row r="2346" spans="37:37" x14ac:dyDescent="0.2">
      <c r="AK2346" s="725">
        <f t="shared" si="51"/>
        <v>0</v>
      </c>
    </row>
    <row r="2347" spans="37:37" x14ac:dyDescent="0.2">
      <c r="AK2347" s="725">
        <f t="shared" si="51"/>
        <v>0</v>
      </c>
    </row>
    <row r="2348" spans="37:37" x14ac:dyDescent="0.2">
      <c r="AK2348" s="725">
        <f t="shared" si="51"/>
        <v>0</v>
      </c>
    </row>
    <row r="2349" spans="37:37" x14ac:dyDescent="0.2">
      <c r="AK2349" s="725">
        <f t="shared" si="51"/>
        <v>0</v>
      </c>
    </row>
    <row r="2350" spans="37:37" x14ac:dyDescent="0.2">
      <c r="AK2350" s="725">
        <f t="shared" si="51"/>
        <v>0</v>
      </c>
    </row>
    <row r="2351" spans="37:37" x14ac:dyDescent="0.2">
      <c r="AK2351" s="725">
        <f t="shared" si="51"/>
        <v>0</v>
      </c>
    </row>
    <row r="2352" spans="37:37" x14ac:dyDescent="0.2">
      <c r="AK2352" s="725">
        <f t="shared" si="51"/>
        <v>0</v>
      </c>
    </row>
    <row r="2353" spans="37:37" x14ac:dyDescent="0.2">
      <c r="AK2353" s="725">
        <f t="shared" si="51"/>
        <v>0</v>
      </c>
    </row>
    <row r="2354" spans="37:37" x14ac:dyDescent="0.2">
      <c r="AK2354" s="725">
        <f t="shared" si="51"/>
        <v>0</v>
      </c>
    </row>
    <row r="2355" spans="37:37" x14ac:dyDescent="0.2">
      <c r="AK2355" s="725">
        <f t="shared" si="51"/>
        <v>0</v>
      </c>
    </row>
    <row r="2356" spans="37:37" x14ac:dyDescent="0.2">
      <c r="AK2356" s="725">
        <f t="shared" si="51"/>
        <v>0</v>
      </c>
    </row>
    <row r="2357" spans="37:37" x14ac:dyDescent="0.2">
      <c r="AK2357" s="725">
        <f t="shared" si="51"/>
        <v>0</v>
      </c>
    </row>
    <row r="2358" spans="37:37" x14ac:dyDescent="0.2">
      <c r="AK2358" s="725">
        <f t="shared" si="51"/>
        <v>0</v>
      </c>
    </row>
    <row r="2359" spans="37:37" x14ac:dyDescent="0.2">
      <c r="AK2359" s="725">
        <f t="shared" si="51"/>
        <v>0</v>
      </c>
    </row>
    <row r="2360" spans="37:37" x14ac:dyDescent="0.2">
      <c r="AK2360" s="725">
        <f t="shared" si="51"/>
        <v>0</v>
      </c>
    </row>
    <row r="2361" spans="37:37" x14ac:dyDescent="0.2">
      <c r="AK2361" s="725">
        <f t="shared" si="51"/>
        <v>0</v>
      </c>
    </row>
    <row r="2362" spans="37:37" x14ac:dyDescent="0.2">
      <c r="AK2362" s="725">
        <f t="shared" si="51"/>
        <v>0</v>
      </c>
    </row>
    <row r="2363" spans="37:37" x14ac:dyDescent="0.2">
      <c r="AK2363" s="725">
        <f t="shared" si="51"/>
        <v>0</v>
      </c>
    </row>
    <row r="2364" spans="37:37" x14ac:dyDescent="0.2">
      <c r="AK2364" s="725">
        <f t="shared" si="51"/>
        <v>0</v>
      </c>
    </row>
    <row r="2365" spans="37:37" x14ac:dyDescent="0.2">
      <c r="AK2365" s="725">
        <f t="shared" si="51"/>
        <v>0</v>
      </c>
    </row>
    <row r="2366" spans="37:37" x14ac:dyDescent="0.2">
      <c r="AK2366" s="725">
        <f t="shared" si="51"/>
        <v>0</v>
      </c>
    </row>
    <row r="2367" spans="37:37" x14ac:dyDescent="0.2">
      <c r="AK2367" s="725">
        <f t="shared" si="51"/>
        <v>0</v>
      </c>
    </row>
    <row r="2368" spans="37:37" x14ac:dyDescent="0.2">
      <c r="AK2368" s="725">
        <f t="shared" si="51"/>
        <v>0</v>
      </c>
    </row>
    <row r="2369" spans="37:37" x14ac:dyDescent="0.2">
      <c r="AK2369" s="725">
        <f t="shared" si="51"/>
        <v>0</v>
      </c>
    </row>
    <row r="2370" spans="37:37" x14ac:dyDescent="0.2">
      <c r="AK2370" s="725">
        <f t="shared" si="51"/>
        <v>0</v>
      </c>
    </row>
    <row r="2371" spans="37:37" x14ac:dyDescent="0.2">
      <c r="AK2371" s="725">
        <f t="shared" si="51"/>
        <v>0</v>
      </c>
    </row>
    <row r="2372" spans="37:37" x14ac:dyDescent="0.2">
      <c r="AK2372" s="725">
        <f t="shared" si="51"/>
        <v>0</v>
      </c>
    </row>
    <row r="2373" spans="37:37" x14ac:dyDescent="0.2">
      <c r="AK2373" s="725">
        <f t="shared" si="51"/>
        <v>0</v>
      </c>
    </row>
    <row r="2374" spans="37:37" x14ac:dyDescent="0.2">
      <c r="AK2374" s="725">
        <f t="shared" si="51"/>
        <v>0</v>
      </c>
    </row>
    <row r="2375" spans="37:37" x14ac:dyDescent="0.2">
      <c r="AK2375" s="725">
        <f t="shared" si="51"/>
        <v>0</v>
      </c>
    </row>
    <row r="2376" spans="37:37" x14ac:dyDescent="0.2">
      <c r="AK2376" s="725">
        <f t="shared" si="51"/>
        <v>0</v>
      </c>
    </row>
    <row r="2377" spans="37:37" x14ac:dyDescent="0.2">
      <c r="AK2377" s="725">
        <f t="shared" si="51"/>
        <v>0</v>
      </c>
    </row>
    <row r="2378" spans="37:37" x14ac:dyDescent="0.2">
      <c r="AK2378" s="725">
        <f t="shared" si="51"/>
        <v>0</v>
      </c>
    </row>
    <row r="2379" spans="37:37" x14ac:dyDescent="0.2">
      <c r="AK2379" s="725">
        <f t="shared" si="51"/>
        <v>0</v>
      </c>
    </row>
    <row r="2380" spans="37:37" x14ac:dyDescent="0.2">
      <c r="AK2380" s="725">
        <f t="shared" si="51"/>
        <v>0</v>
      </c>
    </row>
    <row r="2381" spans="37:37" x14ac:dyDescent="0.2">
      <c r="AK2381" s="725">
        <f t="shared" si="51"/>
        <v>0</v>
      </c>
    </row>
    <row r="2382" spans="37:37" x14ac:dyDescent="0.2">
      <c r="AK2382" s="725">
        <f t="shared" si="51"/>
        <v>0</v>
      </c>
    </row>
    <row r="2383" spans="37:37" x14ac:dyDescent="0.2">
      <c r="AK2383" s="725">
        <f t="shared" si="51"/>
        <v>0</v>
      </c>
    </row>
    <row r="2384" spans="37:37" x14ac:dyDescent="0.2">
      <c r="AK2384" s="725">
        <f t="shared" si="51"/>
        <v>0</v>
      </c>
    </row>
    <row r="2385" spans="37:37" x14ac:dyDescent="0.2">
      <c r="AK2385" s="725">
        <f t="shared" si="51"/>
        <v>0</v>
      </c>
    </row>
    <row r="2386" spans="37:37" x14ac:dyDescent="0.2">
      <c r="AK2386" s="725">
        <f t="shared" si="51"/>
        <v>0</v>
      </c>
    </row>
    <row r="2387" spans="37:37" x14ac:dyDescent="0.2">
      <c r="AK2387" s="725">
        <f t="shared" si="51"/>
        <v>0</v>
      </c>
    </row>
    <row r="2388" spans="37:37" x14ac:dyDescent="0.2">
      <c r="AK2388" s="725">
        <f t="shared" si="51"/>
        <v>0</v>
      </c>
    </row>
    <row r="2389" spans="37:37" x14ac:dyDescent="0.2">
      <c r="AK2389" s="725">
        <f t="shared" si="51"/>
        <v>0</v>
      </c>
    </row>
    <row r="2390" spans="37:37" x14ac:dyDescent="0.2">
      <c r="AK2390" s="725">
        <f t="shared" si="51"/>
        <v>0</v>
      </c>
    </row>
    <row r="2391" spans="37:37" x14ac:dyDescent="0.2">
      <c r="AK2391" s="725">
        <f t="shared" si="51"/>
        <v>0</v>
      </c>
    </row>
    <row r="2392" spans="37:37" x14ac:dyDescent="0.2">
      <c r="AK2392" s="725">
        <f t="shared" ref="AK2392:AK2455" si="52">SUM(O2392:AJ2392)</f>
        <v>0</v>
      </c>
    </row>
    <row r="2393" spans="37:37" x14ac:dyDescent="0.2">
      <c r="AK2393" s="725">
        <f t="shared" si="52"/>
        <v>0</v>
      </c>
    </row>
    <row r="2394" spans="37:37" x14ac:dyDescent="0.2">
      <c r="AK2394" s="725">
        <f t="shared" si="52"/>
        <v>0</v>
      </c>
    </row>
    <row r="2395" spans="37:37" x14ac:dyDescent="0.2">
      <c r="AK2395" s="725">
        <f t="shared" si="52"/>
        <v>0</v>
      </c>
    </row>
    <row r="2396" spans="37:37" x14ac:dyDescent="0.2">
      <c r="AK2396" s="725">
        <f t="shared" si="52"/>
        <v>0</v>
      </c>
    </row>
    <row r="2397" spans="37:37" x14ac:dyDescent="0.2">
      <c r="AK2397" s="725">
        <f t="shared" si="52"/>
        <v>0</v>
      </c>
    </row>
    <row r="2398" spans="37:37" x14ac:dyDescent="0.2">
      <c r="AK2398" s="725">
        <f t="shared" si="52"/>
        <v>0</v>
      </c>
    </row>
    <row r="2399" spans="37:37" x14ac:dyDescent="0.2">
      <c r="AK2399" s="725">
        <f t="shared" si="52"/>
        <v>0</v>
      </c>
    </row>
    <row r="2400" spans="37:37" x14ac:dyDescent="0.2">
      <c r="AK2400" s="725">
        <f t="shared" si="52"/>
        <v>0</v>
      </c>
    </row>
    <row r="2401" spans="37:37" x14ac:dyDescent="0.2">
      <c r="AK2401" s="725">
        <f t="shared" si="52"/>
        <v>0</v>
      </c>
    </row>
    <row r="2402" spans="37:37" x14ac:dyDescent="0.2">
      <c r="AK2402" s="725">
        <f t="shared" si="52"/>
        <v>0</v>
      </c>
    </row>
    <row r="2403" spans="37:37" x14ac:dyDescent="0.2">
      <c r="AK2403" s="725">
        <f t="shared" si="52"/>
        <v>0</v>
      </c>
    </row>
    <row r="2404" spans="37:37" x14ac:dyDescent="0.2">
      <c r="AK2404" s="725">
        <f t="shared" si="52"/>
        <v>0</v>
      </c>
    </row>
    <row r="2405" spans="37:37" x14ac:dyDescent="0.2">
      <c r="AK2405" s="725">
        <f t="shared" si="52"/>
        <v>0</v>
      </c>
    </row>
    <row r="2406" spans="37:37" x14ac:dyDescent="0.2">
      <c r="AK2406" s="725">
        <f t="shared" si="52"/>
        <v>0</v>
      </c>
    </row>
    <row r="2407" spans="37:37" x14ac:dyDescent="0.2">
      <c r="AK2407" s="725">
        <f t="shared" si="52"/>
        <v>0</v>
      </c>
    </row>
    <row r="2408" spans="37:37" x14ac:dyDescent="0.2">
      <c r="AK2408" s="725">
        <f t="shared" si="52"/>
        <v>0</v>
      </c>
    </row>
    <row r="2409" spans="37:37" x14ac:dyDescent="0.2">
      <c r="AK2409" s="725">
        <f t="shared" si="52"/>
        <v>0</v>
      </c>
    </row>
    <row r="2410" spans="37:37" x14ac:dyDescent="0.2">
      <c r="AK2410" s="725">
        <f t="shared" si="52"/>
        <v>0</v>
      </c>
    </row>
    <row r="2411" spans="37:37" x14ac:dyDescent="0.2">
      <c r="AK2411" s="725">
        <f t="shared" si="52"/>
        <v>0</v>
      </c>
    </row>
    <row r="2412" spans="37:37" x14ac:dyDescent="0.2">
      <c r="AK2412" s="725">
        <f t="shared" si="52"/>
        <v>0</v>
      </c>
    </row>
    <row r="2413" spans="37:37" x14ac:dyDescent="0.2">
      <c r="AK2413" s="725">
        <f t="shared" si="52"/>
        <v>0</v>
      </c>
    </row>
    <row r="2414" spans="37:37" x14ac:dyDescent="0.2">
      <c r="AK2414" s="725">
        <f t="shared" si="52"/>
        <v>0</v>
      </c>
    </row>
    <row r="2415" spans="37:37" x14ac:dyDescent="0.2">
      <c r="AK2415" s="725">
        <f t="shared" si="52"/>
        <v>0</v>
      </c>
    </row>
    <row r="2416" spans="37:37" x14ac:dyDescent="0.2">
      <c r="AK2416" s="725">
        <f t="shared" si="52"/>
        <v>0</v>
      </c>
    </row>
    <row r="2417" spans="37:37" x14ac:dyDescent="0.2">
      <c r="AK2417" s="725">
        <f t="shared" si="52"/>
        <v>0</v>
      </c>
    </row>
    <row r="2418" spans="37:37" x14ac:dyDescent="0.2">
      <c r="AK2418" s="725">
        <f t="shared" si="52"/>
        <v>0</v>
      </c>
    </row>
    <row r="2419" spans="37:37" x14ac:dyDescent="0.2">
      <c r="AK2419" s="725">
        <f t="shared" si="52"/>
        <v>0</v>
      </c>
    </row>
    <row r="2420" spans="37:37" x14ac:dyDescent="0.2">
      <c r="AK2420" s="725">
        <f t="shared" si="52"/>
        <v>0</v>
      </c>
    </row>
    <row r="2421" spans="37:37" x14ac:dyDescent="0.2">
      <c r="AK2421" s="725">
        <f t="shared" si="52"/>
        <v>0</v>
      </c>
    </row>
    <row r="2422" spans="37:37" x14ac:dyDescent="0.2">
      <c r="AK2422" s="725">
        <f t="shared" si="52"/>
        <v>0</v>
      </c>
    </row>
    <row r="2423" spans="37:37" x14ac:dyDescent="0.2">
      <c r="AK2423" s="725">
        <f t="shared" si="52"/>
        <v>0</v>
      </c>
    </row>
    <row r="2424" spans="37:37" x14ac:dyDescent="0.2">
      <c r="AK2424" s="725">
        <f t="shared" si="52"/>
        <v>0</v>
      </c>
    </row>
    <row r="2425" spans="37:37" x14ac:dyDescent="0.2">
      <c r="AK2425" s="725">
        <f t="shared" si="52"/>
        <v>0</v>
      </c>
    </row>
    <row r="2426" spans="37:37" x14ac:dyDescent="0.2">
      <c r="AK2426" s="725">
        <f t="shared" si="52"/>
        <v>0</v>
      </c>
    </row>
    <row r="2427" spans="37:37" x14ac:dyDescent="0.2">
      <c r="AK2427" s="725">
        <f t="shared" si="52"/>
        <v>0</v>
      </c>
    </row>
    <row r="2428" spans="37:37" x14ac:dyDescent="0.2">
      <c r="AK2428" s="725">
        <f t="shared" si="52"/>
        <v>0</v>
      </c>
    </row>
    <row r="2429" spans="37:37" x14ac:dyDescent="0.2">
      <c r="AK2429" s="725">
        <f t="shared" si="52"/>
        <v>0</v>
      </c>
    </row>
    <row r="2430" spans="37:37" x14ac:dyDescent="0.2">
      <c r="AK2430" s="725">
        <f t="shared" si="52"/>
        <v>0</v>
      </c>
    </row>
    <row r="2431" spans="37:37" x14ac:dyDescent="0.2">
      <c r="AK2431" s="725">
        <f t="shared" si="52"/>
        <v>0</v>
      </c>
    </row>
    <row r="2432" spans="37:37" x14ac:dyDescent="0.2">
      <c r="AK2432" s="725">
        <f t="shared" si="52"/>
        <v>0</v>
      </c>
    </row>
    <row r="2433" spans="37:37" x14ac:dyDescent="0.2">
      <c r="AK2433" s="725">
        <f t="shared" si="52"/>
        <v>0</v>
      </c>
    </row>
    <row r="2434" spans="37:37" x14ac:dyDescent="0.2">
      <c r="AK2434" s="725">
        <f t="shared" si="52"/>
        <v>0</v>
      </c>
    </row>
    <row r="2435" spans="37:37" x14ac:dyDescent="0.2">
      <c r="AK2435" s="725">
        <f t="shared" si="52"/>
        <v>0</v>
      </c>
    </row>
    <row r="2436" spans="37:37" x14ac:dyDescent="0.2">
      <c r="AK2436" s="725">
        <f t="shared" si="52"/>
        <v>0</v>
      </c>
    </row>
    <row r="2437" spans="37:37" x14ac:dyDescent="0.2">
      <c r="AK2437" s="725">
        <f t="shared" si="52"/>
        <v>0</v>
      </c>
    </row>
    <row r="2438" spans="37:37" x14ac:dyDescent="0.2">
      <c r="AK2438" s="725">
        <f t="shared" si="52"/>
        <v>0</v>
      </c>
    </row>
    <row r="2439" spans="37:37" x14ac:dyDescent="0.2">
      <c r="AK2439" s="725">
        <f t="shared" si="52"/>
        <v>0</v>
      </c>
    </row>
    <row r="2440" spans="37:37" x14ac:dyDescent="0.2">
      <c r="AK2440" s="725">
        <f t="shared" si="52"/>
        <v>0</v>
      </c>
    </row>
    <row r="2441" spans="37:37" x14ac:dyDescent="0.2">
      <c r="AK2441" s="725">
        <f t="shared" si="52"/>
        <v>0</v>
      </c>
    </row>
    <row r="2442" spans="37:37" x14ac:dyDescent="0.2">
      <c r="AK2442" s="725">
        <f t="shared" si="52"/>
        <v>0</v>
      </c>
    </row>
    <row r="2443" spans="37:37" x14ac:dyDescent="0.2">
      <c r="AK2443" s="725">
        <f t="shared" si="52"/>
        <v>0</v>
      </c>
    </row>
    <row r="2444" spans="37:37" x14ac:dyDescent="0.2">
      <c r="AK2444" s="725">
        <f t="shared" si="52"/>
        <v>0</v>
      </c>
    </row>
    <row r="2445" spans="37:37" x14ac:dyDescent="0.2">
      <c r="AK2445" s="725">
        <f t="shared" si="52"/>
        <v>0</v>
      </c>
    </row>
    <row r="2446" spans="37:37" x14ac:dyDescent="0.2">
      <c r="AK2446" s="725">
        <f t="shared" si="52"/>
        <v>0</v>
      </c>
    </row>
    <row r="2447" spans="37:37" x14ac:dyDescent="0.2">
      <c r="AK2447" s="725">
        <f t="shared" si="52"/>
        <v>0</v>
      </c>
    </row>
    <row r="2448" spans="37:37" x14ac:dyDescent="0.2">
      <c r="AK2448" s="725">
        <f t="shared" si="52"/>
        <v>0</v>
      </c>
    </row>
    <row r="2449" spans="37:37" x14ac:dyDescent="0.2">
      <c r="AK2449" s="725">
        <f t="shared" si="52"/>
        <v>0</v>
      </c>
    </row>
    <row r="2450" spans="37:37" x14ac:dyDescent="0.2">
      <c r="AK2450" s="725">
        <f t="shared" si="52"/>
        <v>0</v>
      </c>
    </row>
    <row r="2451" spans="37:37" x14ac:dyDescent="0.2">
      <c r="AK2451" s="725">
        <f t="shared" si="52"/>
        <v>0</v>
      </c>
    </row>
    <row r="2452" spans="37:37" x14ac:dyDescent="0.2">
      <c r="AK2452" s="725">
        <f t="shared" si="52"/>
        <v>0</v>
      </c>
    </row>
    <row r="2453" spans="37:37" x14ac:dyDescent="0.2">
      <c r="AK2453" s="725">
        <f t="shared" si="52"/>
        <v>0</v>
      </c>
    </row>
    <row r="2454" spans="37:37" x14ac:dyDescent="0.2">
      <c r="AK2454" s="725">
        <f t="shared" si="52"/>
        <v>0</v>
      </c>
    </row>
    <row r="2455" spans="37:37" x14ac:dyDescent="0.2">
      <c r="AK2455" s="725">
        <f t="shared" si="52"/>
        <v>0</v>
      </c>
    </row>
    <row r="2456" spans="37:37" x14ac:dyDescent="0.2">
      <c r="AK2456" s="725">
        <f t="shared" ref="AK2456:AK2519" si="53">SUM(O2456:AJ2456)</f>
        <v>0</v>
      </c>
    </row>
    <row r="2457" spans="37:37" x14ac:dyDescent="0.2">
      <c r="AK2457" s="725">
        <f t="shared" si="53"/>
        <v>0</v>
      </c>
    </row>
    <row r="2458" spans="37:37" x14ac:dyDescent="0.2">
      <c r="AK2458" s="725">
        <f t="shared" si="53"/>
        <v>0</v>
      </c>
    </row>
    <row r="2459" spans="37:37" x14ac:dyDescent="0.2">
      <c r="AK2459" s="725">
        <f t="shared" si="53"/>
        <v>0</v>
      </c>
    </row>
    <row r="2460" spans="37:37" x14ac:dyDescent="0.2">
      <c r="AK2460" s="725">
        <f t="shared" si="53"/>
        <v>0</v>
      </c>
    </row>
    <row r="2461" spans="37:37" x14ac:dyDescent="0.2">
      <c r="AK2461" s="725">
        <f t="shared" si="53"/>
        <v>0</v>
      </c>
    </row>
    <row r="2462" spans="37:37" x14ac:dyDescent="0.2">
      <c r="AK2462" s="725">
        <f t="shared" si="53"/>
        <v>0</v>
      </c>
    </row>
    <row r="2463" spans="37:37" x14ac:dyDescent="0.2">
      <c r="AK2463" s="725">
        <f t="shared" si="53"/>
        <v>0</v>
      </c>
    </row>
    <row r="2464" spans="37:37" x14ac:dyDescent="0.2">
      <c r="AK2464" s="725">
        <f t="shared" si="53"/>
        <v>0</v>
      </c>
    </row>
    <row r="2465" spans="37:37" x14ac:dyDescent="0.2">
      <c r="AK2465" s="725">
        <f t="shared" si="53"/>
        <v>0</v>
      </c>
    </row>
    <row r="2466" spans="37:37" x14ac:dyDescent="0.2">
      <c r="AK2466" s="725">
        <f t="shared" si="53"/>
        <v>0</v>
      </c>
    </row>
    <row r="2467" spans="37:37" x14ac:dyDescent="0.2">
      <c r="AK2467" s="725">
        <f t="shared" si="53"/>
        <v>0</v>
      </c>
    </row>
    <row r="2468" spans="37:37" x14ac:dyDescent="0.2">
      <c r="AK2468" s="725">
        <f t="shared" si="53"/>
        <v>0</v>
      </c>
    </row>
    <row r="2469" spans="37:37" x14ac:dyDescent="0.2">
      <c r="AK2469" s="725">
        <f t="shared" si="53"/>
        <v>0</v>
      </c>
    </row>
    <row r="2470" spans="37:37" x14ac:dyDescent="0.2">
      <c r="AK2470" s="725">
        <f t="shared" si="53"/>
        <v>0</v>
      </c>
    </row>
    <row r="2471" spans="37:37" x14ac:dyDescent="0.2">
      <c r="AK2471" s="725">
        <f t="shared" si="53"/>
        <v>0</v>
      </c>
    </row>
    <row r="2472" spans="37:37" x14ac:dyDescent="0.2">
      <c r="AK2472" s="725">
        <f t="shared" si="53"/>
        <v>0</v>
      </c>
    </row>
    <row r="2473" spans="37:37" x14ac:dyDescent="0.2">
      <c r="AK2473" s="725">
        <f t="shared" si="53"/>
        <v>0</v>
      </c>
    </row>
    <row r="2474" spans="37:37" x14ac:dyDescent="0.2">
      <c r="AK2474" s="725">
        <f t="shared" si="53"/>
        <v>0</v>
      </c>
    </row>
    <row r="2475" spans="37:37" x14ac:dyDescent="0.2">
      <c r="AK2475" s="725">
        <f t="shared" si="53"/>
        <v>0</v>
      </c>
    </row>
    <row r="2476" spans="37:37" x14ac:dyDescent="0.2">
      <c r="AK2476" s="725">
        <f t="shared" si="53"/>
        <v>0</v>
      </c>
    </row>
    <row r="2477" spans="37:37" x14ac:dyDescent="0.2">
      <c r="AK2477" s="725">
        <f t="shared" si="53"/>
        <v>0</v>
      </c>
    </row>
    <row r="2478" spans="37:37" x14ac:dyDescent="0.2">
      <c r="AK2478" s="725">
        <f t="shared" si="53"/>
        <v>0</v>
      </c>
    </row>
    <row r="2479" spans="37:37" x14ac:dyDescent="0.2">
      <c r="AK2479" s="725">
        <f t="shared" si="53"/>
        <v>0</v>
      </c>
    </row>
    <row r="2480" spans="37:37" x14ac:dyDescent="0.2">
      <c r="AK2480" s="725">
        <f t="shared" si="53"/>
        <v>0</v>
      </c>
    </row>
    <row r="2481" spans="37:37" x14ac:dyDescent="0.2">
      <c r="AK2481" s="725">
        <f t="shared" si="53"/>
        <v>0</v>
      </c>
    </row>
    <row r="2482" spans="37:37" x14ac:dyDescent="0.2">
      <c r="AK2482" s="725">
        <f t="shared" si="53"/>
        <v>0</v>
      </c>
    </row>
    <row r="2483" spans="37:37" x14ac:dyDescent="0.2">
      <c r="AK2483" s="725">
        <f t="shared" si="53"/>
        <v>0</v>
      </c>
    </row>
    <row r="2484" spans="37:37" x14ac:dyDescent="0.2">
      <c r="AK2484" s="725">
        <f t="shared" si="53"/>
        <v>0</v>
      </c>
    </row>
    <row r="2485" spans="37:37" x14ac:dyDescent="0.2">
      <c r="AK2485" s="725">
        <f t="shared" si="53"/>
        <v>0</v>
      </c>
    </row>
    <row r="2486" spans="37:37" x14ac:dyDescent="0.2">
      <c r="AK2486" s="725">
        <f t="shared" si="53"/>
        <v>0</v>
      </c>
    </row>
    <row r="2487" spans="37:37" x14ac:dyDescent="0.2">
      <c r="AK2487" s="725">
        <f t="shared" si="53"/>
        <v>0</v>
      </c>
    </row>
    <row r="2488" spans="37:37" x14ac:dyDescent="0.2">
      <c r="AK2488" s="725">
        <f t="shared" si="53"/>
        <v>0</v>
      </c>
    </row>
    <row r="2489" spans="37:37" x14ac:dyDescent="0.2">
      <c r="AK2489" s="725">
        <f t="shared" si="53"/>
        <v>0</v>
      </c>
    </row>
    <row r="2490" spans="37:37" x14ac:dyDescent="0.2">
      <c r="AK2490" s="725">
        <f t="shared" si="53"/>
        <v>0</v>
      </c>
    </row>
    <row r="2491" spans="37:37" x14ac:dyDescent="0.2">
      <c r="AK2491" s="725">
        <f t="shared" si="53"/>
        <v>0</v>
      </c>
    </row>
    <row r="2492" spans="37:37" x14ac:dyDescent="0.2">
      <c r="AK2492" s="725">
        <f t="shared" si="53"/>
        <v>0</v>
      </c>
    </row>
    <row r="2493" spans="37:37" x14ac:dyDescent="0.2">
      <c r="AK2493" s="725">
        <f t="shared" si="53"/>
        <v>0</v>
      </c>
    </row>
    <row r="2494" spans="37:37" x14ac:dyDescent="0.2">
      <c r="AK2494" s="725">
        <f t="shared" si="53"/>
        <v>0</v>
      </c>
    </row>
    <row r="2495" spans="37:37" x14ac:dyDescent="0.2">
      <c r="AK2495" s="725">
        <f t="shared" si="53"/>
        <v>0</v>
      </c>
    </row>
    <row r="2496" spans="37:37" x14ac:dyDescent="0.2">
      <c r="AK2496" s="725">
        <f t="shared" si="53"/>
        <v>0</v>
      </c>
    </row>
    <row r="2497" spans="37:37" x14ac:dyDescent="0.2">
      <c r="AK2497" s="725">
        <f t="shared" si="53"/>
        <v>0</v>
      </c>
    </row>
    <row r="2498" spans="37:37" x14ac:dyDescent="0.2">
      <c r="AK2498" s="725">
        <f t="shared" si="53"/>
        <v>0</v>
      </c>
    </row>
    <row r="2499" spans="37:37" x14ac:dyDescent="0.2">
      <c r="AK2499" s="725">
        <f t="shared" si="53"/>
        <v>0</v>
      </c>
    </row>
    <row r="2500" spans="37:37" x14ac:dyDescent="0.2">
      <c r="AK2500" s="725">
        <f t="shared" si="53"/>
        <v>0</v>
      </c>
    </row>
    <row r="2501" spans="37:37" x14ac:dyDescent="0.2">
      <c r="AK2501" s="725">
        <f t="shared" si="53"/>
        <v>0</v>
      </c>
    </row>
    <row r="2502" spans="37:37" x14ac:dyDescent="0.2">
      <c r="AK2502" s="725">
        <f t="shared" si="53"/>
        <v>0</v>
      </c>
    </row>
    <row r="2503" spans="37:37" x14ac:dyDescent="0.2">
      <c r="AK2503" s="725">
        <f t="shared" si="53"/>
        <v>0</v>
      </c>
    </row>
    <row r="2504" spans="37:37" x14ac:dyDescent="0.2">
      <c r="AK2504" s="725">
        <f t="shared" si="53"/>
        <v>0</v>
      </c>
    </row>
    <row r="2505" spans="37:37" x14ac:dyDescent="0.2">
      <c r="AK2505" s="725">
        <f t="shared" si="53"/>
        <v>0</v>
      </c>
    </row>
    <row r="2506" spans="37:37" x14ac:dyDescent="0.2">
      <c r="AK2506" s="725">
        <f t="shared" si="53"/>
        <v>0</v>
      </c>
    </row>
    <row r="2507" spans="37:37" x14ac:dyDescent="0.2">
      <c r="AK2507" s="725">
        <f t="shared" si="53"/>
        <v>0</v>
      </c>
    </row>
    <row r="2508" spans="37:37" x14ac:dyDescent="0.2">
      <c r="AK2508" s="725">
        <f t="shared" si="53"/>
        <v>0</v>
      </c>
    </row>
    <row r="2509" spans="37:37" x14ac:dyDescent="0.2">
      <c r="AK2509" s="725">
        <f t="shared" si="53"/>
        <v>0</v>
      </c>
    </row>
    <row r="2510" spans="37:37" x14ac:dyDescent="0.2">
      <c r="AK2510" s="725">
        <f t="shared" si="53"/>
        <v>0</v>
      </c>
    </row>
    <row r="2511" spans="37:37" x14ac:dyDescent="0.2">
      <c r="AK2511" s="725">
        <f t="shared" si="53"/>
        <v>0</v>
      </c>
    </row>
    <row r="2512" spans="37:37" x14ac:dyDescent="0.2">
      <c r="AK2512" s="725">
        <f t="shared" si="53"/>
        <v>0</v>
      </c>
    </row>
    <row r="2513" spans="37:37" x14ac:dyDescent="0.2">
      <c r="AK2513" s="725">
        <f t="shared" si="53"/>
        <v>0</v>
      </c>
    </row>
    <row r="2514" spans="37:37" x14ac:dyDescent="0.2">
      <c r="AK2514" s="725">
        <f t="shared" si="53"/>
        <v>0</v>
      </c>
    </row>
    <row r="2515" spans="37:37" x14ac:dyDescent="0.2">
      <c r="AK2515" s="725">
        <f t="shared" si="53"/>
        <v>0</v>
      </c>
    </row>
    <row r="2516" spans="37:37" x14ac:dyDescent="0.2">
      <c r="AK2516" s="725">
        <f t="shared" si="53"/>
        <v>0</v>
      </c>
    </row>
    <row r="2517" spans="37:37" x14ac:dyDescent="0.2">
      <c r="AK2517" s="725">
        <f t="shared" si="53"/>
        <v>0</v>
      </c>
    </row>
    <row r="2518" spans="37:37" x14ac:dyDescent="0.2">
      <c r="AK2518" s="725">
        <f t="shared" si="53"/>
        <v>0</v>
      </c>
    </row>
    <row r="2519" spans="37:37" x14ac:dyDescent="0.2">
      <c r="AK2519" s="725">
        <f t="shared" si="53"/>
        <v>0</v>
      </c>
    </row>
    <row r="2520" spans="37:37" x14ac:dyDescent="0.2">
      <c r="AK2520" s="725">
        <f t="shared" ref="AK2520:AK2583" si="54">SUM(O2520:AJ2520)</f>
        <v>0</v>
      </c>
    </row>
    <row r="2521" spans="37:37" x14ac:dyDescent="0.2">
      <c r="AK2521" s="725">
        <f t="shared" si="54"/>
        <v>0</v>
      </c>
    </row>
    <row r="2522" spans="37:37" x14ac:dyDescent="0.2">
      <c r="AK2522" s="725">
        <f t="shared" si="54"/>
        <v>0</v>
      </c>
    </row>
    <row r="2523" spans="37:37" x14ac:dyDescent="0.2">
      <c r="AK2523" s="725">
        <f t="shared" si="54"/>
        <v>0</v>
      </c>
    </row>
    <row r="2524" spans="37:37" x14ac:dyDescent="0.2">
      <c r="AK2524" s="725">
        <f t="shared" si="54"/>
        <v>0</v>
      </c>
    </row>
    <row r="2525" spans="37:37" x14ac:dyDescent="0.2">
      <c r="AK2525" s="725">
        <f t="shared" si="54"/>
        <v>0</v>
      </c>
    </row>
    <row r="2526" spans="37:37" x14ac:dyDescent="0.2">
      <c r="AK2526" s="725">
        <f t="shared" si="54"/>
        <v>0</v>
      </c>
    </row>
    <row r="2527" spans="37:37" x14ac:dyDescent="0.2">
      <c r="AK2527" s="725">
        <f t="shared" si="54"/>
        <v>0</v>
      </c>
    </row>
    <row r="2528" spans="37:37" x14ac:dyDescent="0.2">
      <c r="AK2528" s="725">
        <f t="shared" si="54"/>
        <v>0</v>
      </c>
    </row>
    <row r="2529" spans="37:37" x14ac:dyDescent="0.2">
      <c r="AK2529" s="725">
        <f t="shared" si="54"/>
        <v>0</v>
      </c>
    </row>
    <row r="2530" spans="37:37" x14ac:dyDescent="0.2">
      <c r="AK2530" s="725">
        <f t="shared" si="54"/>
        <v>0</v>
      </c>
    </row>
    <row r="2531" spans="37:37" x14ac:dyDescent="0.2">
      <c r="AK2531" s="725">
        <f t="shared" si="54"/>
        <v>0</v>
      </c>
    </row>
    <row r="2532" spans="37:37" x14ac:dyDescent="0.2">
      <c r="AK2532" s="725">
        <f t="shared" si="54"/>
        <v>0</v>
      </c>
    </row>
    <row r="2533" spans="37:37" x14ac:dyDescent="0.2">
      <c r="AK2533" s="725">
        <f t="shared" si="54"/>
        <v>0</v>
      </c>
    </row>
    <row r="2534" spans="37:37" x14ac:dyDescent="0.2">
      <c r="AK2534" s="725">
        <f t="shared" si="54"/>
        <v>0</v>
      </c>
    </row>
    <row r="2535" spans="37:37" x14ac:dyDescent="0.2">
      <c r="AK2535" s="725">
        <f t="shared" si="54"/>
        <v>0</v>
      </c>
    </row>
    <row r="2536" spans="37:37" x14ac:dyDescent="0.2">
      <c r="AK2536" s="725">
        <f t="shared" si="54"/>
        <v>0</v>
      </c>
    </row>
    <row r="2537" spans="37:37" x14ac:dyDescent="0.2">
      <c r="AK2537" s="725">
        <f t="shared" si="54"/>
        <v>0</v>
      </c>
    </row>
    <row r="2538" spans="37:37" x14ac:dyDescent="0.2">
      <c r="AK2538" s="725">
        <f t="shared" si="54"/>
        <v>0</v>
      </c>
    </row>
    <row r="2539" spans="37:37" x14ac:dyDescent="0.2">
      <c r="AK2539" s="725">
        <f t="shared" si="54"/>
        <v>0</v>
      </c>
    </row>
    <row r="2540" spans="37:37" x14ac:dyDescent="0.2">
      <c r="AK2540" s="725">
        <f t="shared" si="54"/>
        <v>0</v>
      </c>
    </row>
    <row r="2541" spans="37:37" x14ac:dyDescent="0.2">
      <c r="AK2541" s="725">
        <f t="shared" si="54"/>
        <v>0</v>
      </c>
    </row>
    <row r="2542" spans="37:37" x14ac:dyDescent="0.2">
      <c r="AK2542" s="725">
        <f t="shared" si="54"/>
        <v>0</v>
      </c>
    </row>
    <row r="2543" spans="37:37" x14ac:dyDescent="0.2">
      <c r="AK2543" s="725">
        <f t="shared" si="54"/>
        <v>0</v>
      </c>
    </row>
    <row r="2544" spans="37:37" x14ac:dyDescent="0.2">
      <c r="AK2544" s="725">
        <f t="shared" si="54"/>
        <v>0</v>
      </c>
    </row>
    <row r="2545" spans="37:37" x14ac:dyDescent="0.2">
      <c r="AK2545" s="725">
        <f t="shared" si="54"/>
        <v>0</v>
      </c>
    </row>
    <row r="2546" spans="37:37" x14ac:dyDescent="0.2">
      <c r="AK2546" s="725">
        <f t="shared" si="54"/>
        <v>0</v>
      </c>
    </row>
    <row r="2547" spans="37:37" x14ac:dyDescent="0.2">
      <c r="AK2547" s="725">
        <f t="shared" si="54"/>
        <v>0</v>
      </c>
    </row>
    <row r="2548" spans="37:37" x14ac:dyDescent="0.2">
      <c r="AK2548" s="725">
        <f t="shared" si="54"/>
        <v>0</v>
      </c>
    </row>
    <row r="2549" spans="37:37" x14ac:dyDescent="0.2">
      <c r="AK2549" s="725">
        <f t="shared" si="54"/>
        <v>0</v>
      </c>
    </row>
    <row r="2550" spans="37:37" x14ac:dyDescent="0.2">
      <c r="AK2550" s="725">
        <f t="shared" si="54"/>
        <v>0</v>
      </c>
    </row>
    <row r="2551" spans="37:37" x14ac:dyDescent="0.2">
      <c r="AK2551" s="725">
        <f t="shared" si="54"/>
        <v>0</v>
      </c>
    </row>
    <row r="2552" spans="37:37" x14ac:dyDescent="0.2">
      <c r="AK2552" s="725">
        <f t="shared" si="54"/>
        <v>0</v>
      </c>
    </row>
    <row r="2553" spans="37:37" x14ac:dyDescent="0.2">
      <c r="AK2553" s="725">
        <f t="shared" si="54"/>
        <v>0</v>
      </c>
    </row>
    <row r="2554" spans="37:37" x14ac:dyDescent="0.2">
      <c r="AK2554" s="725">
        <f t="shared" si="54"/>
        <v>0</v>
      </c>
    </row>
    <row r="2555" spans="37:37" x14ac:dyDescent="0.2">
      <c r="AK2555" s="725">
        <f t="shared" si="54"/>
        <v>0</v>
      </c>
    </row>
    <row r="2556" spans="37:37" x14ac:dyDescent="0.2">
      <c r="AK2556" s="725">
        <f t="shared" si="54"/>
        <v>0</v>
      </c>
    </row>
    <row r="2557" spans="37:37" x14ac:dyDescent="0.2">
      <c r="AK2557" s="725">
        <f t="shared" si="54"/>
        <v>0</v>
      </c>
    </row>
    <row r="2558" spans="37:37" x14ac:dyDescent="0.2">
      <c r="AK2558" s="725">
        <f t="shared" si="54"/>
        <v>0</v>
      </c>
    </row>
    <row r="2559" spans="37:37" x14ac:dyDescent="0.2">
      <c r="AK2559" s="725">
        <f t="shared" si="54"/>
        <v>0</v>
      </c>
    </row>
    <row r="2560" spans="37:37" x14ac:dyDescent="0.2">
      <c r="AK2560" s="725">
        <f t="shared" si="54"/>
        <v>0</v>
      </c>
    </row>
    <row r="2561" spans="37:37" x14ac:dyDescent="0.2">
      <c r="AK2561" s="725">
        <f t="shared" si="54"/>
        <v>0</v>
      </c>
    </row>
    <row r="2562" spans="37:37" x14ac:dyDescent="0.2">
      <c r="AK2562" s="725">
        <f t="shared" si="54"/>
        <v>0</v>
      </c>
    </row>
    <row r="2563" spans="37:37" x14ac:dyDescent="0.2">
      <c r="AK2563" s="725">
        <f t="shared" si="54"/>
        <v>0</v>
      </c>
    </row>
    <row r="2564" spans="37:37" x14ac:dyDescent="0.2">
      <c r="AK2564" s="725">
        <f t="shared" si="54"/>
        <v>0</v>
      </c>
    </row>
    <row r="2565" spans="37:37" x14ac:dyDescent="0.2">
      <c r="AK2565" s="725">
        <f t="shared" si="54"/>
        <v>0</v>
      </c>
    </row>
    <row r="2566" spans="37:37" x14ac:dyDescent="0.2">
      <c r="AK2566" s="725">
        <f t="shared" si="54"/>
        <v>0</v>
      </c>
    </row>
    <row r="2567" spans="37:37" x14ac:dyDescent="0.2">
      <c r="AK2567" s="725">
        <f t="shared" si="54"/>
        <v>0</v>
      </c>
    </row>
    <row r="2568" spans="37:37" x14ac:dyDescent="0.2">
      <c r="AK2568" s="725">
        <f t="shared" si="54"/>
        <v>0</v>
      </c>
    </row>
    <row r="2569" spans="37:37" x14ac:dyDescent="0.2">
      <c r="AK2569" s="725">
        <f t="shared" si="54"/>
        <v>0</v>
      </c>
    </row>
    <row r="2570" spans="37:37" x14ac:dyDescent="0.2">
      <c r="AK2570" s="725">
        <f t="shared" si="54"/>
        <v>0</v>
      </c>
    </row>
    <row r="2571" spans="37:37" x14ac:dyDescent="0.2">
      <c r="AK2571" s="725">
        <f t="shared" si="54"/>
        <v>0</v>
      </c>
    </row>
    <row r="2572" spans="37:37" x14ac:dyDescent="0.2">
      <c r="AK2572" s="725">
        <f t="shared" si="54"/>
        <v>0</v>
      </c>
    </row>
    <row r="2573" spans="37:37" x14ac:dyDescent="0.2">
      <c r="AK2573" s="725">
        <f t="shared" si="54"/>
        <v>0</v>
      </c>
    </row>
    <row r="2574" spans="37:37" x14ac:dyDescent="0.2">
      <c r="AK2574" s="725">
        <f t="shared" si="54"/>
        <v>0</v>
      </c>
    </row>
    <row r="2575" spans="37:37" x14ac:dyDescent="0.2">
      <c r="AK2575" s="725">
        <f t="shared" si="54"/>
        <v>0</v>
      </c>
    </row>
    <row r="2576" spans="37:37" x14ac:dyDescent="0.2">
      <c r="AK2576" s="725">
        <f t="shared" si="54"/>
        <v>0</v>
      </c>
    </row>
    <row r="2577" spans="37:37" x14ac:dyDescent="0.2">
      <c r="AK2577" s="725">
        <f t="shared" si="54"/>
        <v>0</v>
      </c>
    </row>
    <row r="2578" spans="37:37" x14ac:dyDescent="0.2">
      <c r="AK2578" s="725">
        <f t="shared" si="54"/>
        <v>0</v>
      </c>
    </row>
    <row r="2579" spans="37:37" x14ac:dyDescent="0.2">
      <c r="AK2579" s="725">
        <f t="shared" si="54"/>
        <v>0</v>
      </c>
    </row>
    <row r="2580" spans="37:37" x14ac:dyDescent="0.2">
      <c r="AK2580" s="725">
        <f t="shared" si="54"/>
        <v>0</v>
      </c>
    </row>
    <row r="2581" spans="37:37" x14ac:dyDescent="0.2">
      <c r="AK2581" s="725">
        <f t="shared" si="54"/>
        <v>0</v>
      </c>
    </row>
    <row r="2582" spans="37:37" x14ac:dyDescent="0.2">
      <c r="AK2582" s="725">
        <f t="shared" si="54"/>
        <v>0</v>
      </c>
    </row>
    <row r="2583" spans="37:37" x14ac:dyDescent="0.2">
      <c r="AK2583" s="725">
        <f t="shared" si="54"/>
        <v>0</v>
      </c>
    </row>
    <row r="2584" spans="37:37" x14ac:dyDescent="0.2">
      <c r="AK2584" s="725">
        <f t="shared" ref="AK2584:AK2647" si="55">SUM(O2584:AJ2584)</f>
        <v>0</v>
      </c>
    </row>
    <row r="2585" spans="37:37" x14ac:dyDescent="0.2">
      <c r="AK2585" s="725">
        <f t="shared" si="55"/>
        <v>0</v>
      </c>
    </row>
    <row r="2586" spans="37:37" x14ac:dyDescent="0.2">
      <c r="AK2586" s="725">
        <f t="shared" si="55"/>
        <v>0</v>
      </c>
    </row>
    <row r="2587" spans="37:37" x14ac:dyDescent="0.2">
      <c r="AK2587" s="725">
        <f t="shared" si="55"/>
        <v>0</v>
      </c>
    </row>
    <row r="2588" spans="37:37" x14ac:dyDescent="0.2">
      <c r="AK2588" s="725">
        <f t="shared" si="55"/>
        <v>0</v>
      </c>
    </row>
    <row r="2589" spans="37:37" x14ac:dyDescent="0.2">
      <c r="AK2589" s="725">
        <f t="shared" si="55"/>
        <v>0</v>
      </c>
    </row>
    <row r="2590" spans="37:37" x14ac:dyDescent="0.2">
      <c r="AK2590" s="725">
        <f t="shared" si="55"/>
        <v>0</v>
      </c>
    </row>
    <row r="2591" spans="37:37" x14ac:dyDescent="0.2">
      <c r="AK2591" s="725">
        <f t="shared" si="55"/>
        <v>0</v>
      </c>
    </row>
    <row r="2592" spans="37:37" x14ac:dyDescent="0.2">
      <c r="AK2592" s="725">
        <f t="shared" si="55"/>
        <v>0</v>
      </c>
    </row>
    <row r="2593" spans="37:37" x14ac:dyDescent="0.2">
      <c r="AK2593" s="725">
        <f t="shared" si="55"/>
        <v>0</v>
      </c>
    </row>
    <row r="2594" spans="37:37" x14ac:dyDescent="0.2">
      <c r="AK2594" s="725">
        <f t="shared" si="55"/>
        <v>0</v>
      </c>
    </row>
    <row r="2595" spans="37:37" x14ac:dyDescent="0.2">
      <c r="AK2595" s="725">
        <f t="shared" si="55"/>
        <v>0</v>
      </c>
    </row>
    <row r="2596" spans="37:37" x14ac:dyDescent="0.2">
      <c r="AK2596" s="725">
        <f t="shared" si="55"/>
        <v>0</v>
      </c>
    </row>
    <row r="2597" spans="37:37" x14ac:dyDescent="0.2">
      <c r="AK2597" s="725">
        <f t="shared" si="55"/>
        <v>0</v>
      </c>
    </row>
    <row r="2598" spans="37:37" x14ac:dyDescent="0.2">
      <c r="AK2598" s="725">
        <f t="shared" si="55"/>
        <v>0</v>
      </c>
    </row>
    <row r="2599" spans="37:37" x14ac:dyDescent="0.2">
      <c r="AK2599" s="725">
        <f t="shared" si="55"/>
        <v>0</v>
      </c>
    </row>
    <row r="2600" spans="37:37" x14ac:dyDescent="0.2">
      <c r="AK2600" s="725">
        <f t="shared" si="55"/>
        <v>0</v>
      </c>
    </row>
    <row r="2601" spans="37:37" x14ac:dyDescent="0.2">
      <c r="AK2601" s="725">
        <f t="shared" si="55"/>
        <v>0</v>
      </c>
    </row>
    <row r="2602" spans="37:37" x14ac:dyDescent="0.2">
      <c r="AK2602" s="725">
        <f t="shared" si="55"/>
        <v>0</v>
      </c>
    </row>
    <row r="2603" spans="37:37" x14ac:dyDescent="0.2">
      <c r="AK2603" s="725">
        <f t="shared" si="55"/>
        <v>0</v>
      </c>
    </row>
    <row r="2604" spans="37:37" x14ac:dyDescent="0.2">
      <c r="AK2604" s="725">
        <f t="shared" si="55"/>
        <v>0</v>
      </c>
    </row>
    <row r="2605" spans="37:37" x14ac:dyDescent="0.2">
      <c r="AK2605" s="725">
        <f t="shared" si="55"/>
        <v>0</v>
      </c>
    </row>
    <row r="2606" spans="37:37" x14ac:dyDescent="0.2">
      <c r="AK2606" s="725">
        <f t="shared" si="55"/>
        <v>0</v>
      </c>
    </row>
    <row r="2607" spans="37:37" x14ac:dyDescent="0.2">
      <c r="AK2607" s="725">
        <f t="shared" si="55"/>
        <v>0</v>
      </c>
    </row>
    <row r="2608" spans="37:37" x14ac:dyDescent="0.2">
      <c r="AK2608" s="725">
        <f t="shared" si="55"/>
        <v>0</v>
      </c>
    </row>
    <row r="2609" spans="37:37" x14ac:dyDescent="0.2">
      <c r="AK2609" s="725">
        <f t="shared" si="55"/>
        <v>0</v>
      </c>
    </row>
    <row r="2610" spans="37:37" x14ac:dyDescent="0.2">
      <c r="AK2610" s="725">
        <f t="shared" si="55"/>
        <v>0</v>
      </c>
    </row>
    <row r="2611" spans="37:37" x14ac:dyDescent="0.2">
      <c r="AK2611" s="725">
        <f t="shared" si="55"/>
        <v>0</v>
      </c>
    </row>
    <row r="2612" spans="37:37" x14ac:dyDescent="0.2">
      <c r="AK2612" s="725">
        <f t="shared" si="55"/>
        <v>0</v>
      </c>
    </row>
    <row r="2613" spans="37:37" x14ac:dyDescent="0.2">
      <c r="AK2613" s="725">
        <f t="shared" si="55"/>
        <v>0</v>
      </c>
    </row>
    <row r="2614" spans="37:37" x14ac:dyDescent="0.2">
      <c r="AK2614" s="725">
        <f t="shared" si="55"/>
        <v>0</v>
      </c>
    </row>
    <row r="2615" spans="37:37" x14ac:dyDescent="0.2">
      <c r="AK2615" s="725">
        <f t="shared" si="55"/>
        <v>0</v>
      </c>
    </row>
    <row r="2616" spans="37:37" x14ac:dyDescent="0.2">
      <c r="AK2616" s="725">
        <f t="shared" si="55"/>
        <v>0</v>
      </c>
    </row>
    <row r="2617" spans="37:37" x14ac:dyDescent="0.2">
      <c r="AK2617" s="725">
        <f t="shared" si="55"/>
        <v>0</v>
      </c>
    </row>
    <row r="2618" spans="37:37" x14ac:dyDescent="0.2">
      <c r="AK2618" s="725">
        <f t="shared" si="55"/>
        <v>0</v>
      </c>
    </row>
    <row r="2619" spans="37:37" x14ac:dyDescent="0.2">
      <c r="AK2619" s="725">
        <f t="shared" si="55"/>
        <v>0</v>
      </c>
    </row>
    <row r="2620" spans="37:37" x14ac:dyDescent="0.2">
      <c r="AK2620" s="725">
        <f t="shared" si="55"/>
        <v>0</v>
      </c>
    </row>
    <row r="2621" spans="37:37" x14ac:dyDescent="0.2">
      <c r="AK2621" s="725">
        <f t="shared" si="55"/>
        <v>0</v>
      </c>
    </row>
    <row r="2622" spans="37:37" x14ac:dyDescent="0.2">
      <c r="AK2622" s="725">
        <f t="shared" si="55"/>
        <v>0</v>
      </c>
    </row>
    <row r="2623" spans="37:37" x14ac:dyDescent="0.2">
      <c r="AK2623" s="725">
        <f t="shared" si="55"/>
        <v>0</v>
      </c>
    </row>
    <row r="2624" spans="37:37" x14ac:dyDescent="0.2">
      <c r="AK2624" s="725">
        <f t="shared" si="55"/>
        <v>0</v>
      </c>
    </row>
    <row r="2625" spans="37:37" x14ac:dyDescent="0.2">
      <c r="AK2625" s="725">
        <f t="shared" si="55"/>
        <v>0</v>
      </c>
    </row>
    <row r="2626" spans="37:37" x14ac:dyDescent="0.2">
      <c r="AK2626" s="725">
        <f t="shared" si="55"/>
        <v>0</v>
      </c>
    </row>
    <row r="2627" spans="37:37" x14ac:dyDescent="0.2">
      <c r="AK2627" s="725">
        <f t="shared" si="55"/>
        <v>0</v>
      </c>
    </row>
    <row r="2628" spans="37:37" x14ac:dyDescent="0.2">
      <c r="AK2628" s="725">
        <f t="shared" si="55"/>
        <v>0</v>
      </c>
    </row>
    <row r="2629" spans="37:37" x14ac:dyDescent="0.2">
      <c r="AK2629" s="725">
        <f t="shared" si="55"/>
        <v>0</v>
      </c>
    </row>
    <row r="2630" spans="37:37" x14ac:dyDescent="0.2">
      <c r="AK2630" s="725">
        <f t="shared" si="55"/>
        <v>0</v>
      </c>
    </row>
    <row r="2631" spans="37:37" x14ac:dyDescent="0.2">
      <c r="AK2631" s="725">
        <f t="shared" si="55"/>
        <v>0</v>
      </c>
    </row>
    <row r="2632" spans="37:37" x14ac:dyDescent="0.2">
      <c r="AK2632" s="725">
        <f t="shared" si="55"/>
        <v>0</v>
      </c>
    </row>
    <row r="2633" spans="37:37" x14ac:dyDescent="0.2">
      <c r="AK2633" s="725">
        <f t="shared" si="55"/>
        <v>0</v>
      </c>
    </row>
    <row r="2634" spans="37:37" x14ac:dyDescent="0.2">
      <c r="AK2634" s="725">
        <f t="shared" si="55"/>
        <v>0</v>
      </c>
    </row>
    <row r="2635" spans="37:37" x14ac:dyDescent="0.2">
      <c r="AK2635" s="725">
        <f t="shared" si="55"/>
        <v>0</v>
      </c>
    </row>
    <row r="2636" spans="37:37" x14ac:dyDescent="0.2">
      <c r="AK2636" s="725">
        <f t="shared" si="55"/>
        <v>0</v>
      </c>
    </row>
    <row r="2637" spans="37:37" x14ac:dyDescent="0.2">
      <c r="AK2637" s="725">
        <f t="shared" si="55"/>
        <v>0</v>
      </c>
    </row>
    <row r="2638" spans="37:37" x14ac:dyDescent="0.2">
      <c r="AK2638" s="725">
        <f t="shared" si="55"/>
        <v>0</v>
      </c>
    </row>
    <row r="2639" spans="37:37" x14ac:dyDescent="0.2">
      <c r="AK2639" s="725">
        <f t="shared" si="55"/>
        <v>0</v>
      </c>
    </row>
    <row r="2640" spans="37:37" x14ac:dyDescent="0.2">
      <c r="AK2640" s="725">
        <f t="shared" si="55"/>
        <v>0</v>
      </c>
    </row>
    <row r="2641" spans="37:37" x14ac:dyDescent="0.2">
      <c r="AK2641" s="725">
        <f t="shared" si="55"/>
        <v>0</v>
      </c>
    </row>
    <row r="2642" spans="37:37" x14ac:dyDescent="0.2">
      <c r="AK2642" s="725">
        <f t="shared" si="55"/>
        <v>0</v>
      </c>
    </row>
    <row r="2643" spans="37:37" x14ac:dyDescent="0.2">
      <c r="AK2643" s="725">
        <f t="shared" si="55"/>
        <v>0</v>
      </c>
    </row>
    <row r="2644" spans="37:37" x14ac:dyDescent="0.2">
      <c r="AK2644" s="725">
        <f t="shared" si="55"/>
        <v>0</v>
      </c>
    </row>
    <row r="2645" spans="37:37" x14ac:dyDescent="0.2">
      <c r="AK2645" s="725">
        <f t="shared" si="55"/>
        <v>0</v>
      </c>
    </row>
    <row r="2646" spans="37:37" x14ac:dyDescent="0.2">
      <c r="AK2646" s="725">
        <f t="shared" si="55"/>
        <v>0</v>
      </c>
    </row>
    <row r="2647" spans="37:37" x14ac:dyDescent="0.2">
      <c r="AK2647" s="725">
        <f t="shared" si="55"/>
        <v>0</v>
      </c>
    </row>
    <row r="2648" spans="37:37" x14ac:dyDescent="0.2">
      <c r="AK2648" s="725">
        <f t="shared" ref="AK2648:AK2711" si="56">SUM(O2648:AJ2648)</f>
        <v>0</v>
      </c>
    </row>
    <row r="2649" spans="37:37" x14ac:dyDescent="0.2">
      <c r="AK2649" s="725">
        <f t="shared" si="56"/>
        <v>0</v>
      </c>
    </row>
    <row r="2650" spans="37:37" x14ac:dyDescent="0.2">
      <c r="AK2650" s="725">
        <f t="shared" si="56"/>
        <v>0</v>
      </c>
    </row>
    <row r="2651" spans="37:37" x14ac:dyDescent="0.2">
      <c r="AK2651" s="725">
        <f t="shared" si="56"/>
        <v>0</v>
      </c>
    </row>
    <row r="2652" spans="37:37" x14ac:dyDescent="0.2">
      <c r="AK2652" s="725">
        <f t="shared" si="56"/>
        <v>0</v>
      </c>
    </row>
    <row r="2653" spans="37:37" x14ac:dyDescent="0.2">
      <c r="AK2653" s="725">
        <f t="shared" si="56"/>
        <v>0</v>
      </c>
    </row>
    <row r="2654" spans="37:37" x14ac:dyDescent="0.2">
      <c r="AK2654" s="725">
        <f t="shared" si="56"/>
        <v>0</v>
      </c>
    </row>
    <row r="2655" spans="37:37" x14ac:dyDescent="0.2">
      <c r="AK2655" s="725">
        <f t="shared" si="56"/>
        <v>0</v>
      </c>
    </row>
    <row r="2656" spans="37:37" x14ac:dyDescent="0.2">
      <c r="AK2656" s="725">
        <f t="shared" si="56"/>
        <v>0</v>
      </c>
    </row>
    <row r="2657" spans="37:37" x14ac:dyDescent="0.2">
      <c r="AK2657" s="725">
        <f t="shared" si="56"/>
        <v>0</v>
      </c>
    </row>
    <row r="2658" spans="37:37" x14ac:dyDescent="0.2">
      <c r="AK2658" s="725">
        <f t="shared" si="56"/>
        <v>0</v>
      </c>
    </row>
    <row r="2659" spans="37:37" x14ac:dyDescent="0.2">
      <c r="AK2659" s="725">
        <f t="shared" si="56"/>
        <v>0</v>
      </c>
    </row>
    <row r="2660" spans="37:37" x14ac:dyDescent="0.2">
      <c r="AK2660" s="725">
        <f t="shared" si="56"/>
        <v>0</v>
      </c>
    </row>
    <row r="2661" spans="37:37" x14ac:dyDescent="0.2">
      <c r="AK2661" s="725">
        <f t="shared" si="56"/>
        <v>0</v>
      </c>
    </row>
    <row r="2662" spans="37:37" x14ac:dyDescent="0.2">
      <c r="AK2662" s="725">
        <f t="shared" si="56"/>
        <v>0</v>
      </c>
    </row>
    <row r="2663" spans="37:37" x14ac:dyDescent="0.2">
      <c r="AK2663" s="725">
        <f t="shared" si="56"/>
        <v>0</v>
      </c>
    </row>
    <row r="2664" spans="37:37" x14ac:dyDescent="0.2">
      <c r="AK2664" s="725">
        <f t="shared" si="56"/>
        <v>0</v>
      </c>
    </row>
    <row r="2665" spans="37:37" x14ac:dyDescent="0.2">
      <c r="AK2665" s="725">
        <f t="shared" si="56"/>
        <v>0</v>
      </c>
    </row>
    <row r="2666" spans="37:37" x14ac:dyDescent="0.2">
      <c r="AK2666" s="725">
        <f t="shared" si="56"/>
        <v>0</v>
      </c>
    </row>
    <row r="2667" spans="37:37" x14ac:dyDescent="0.2">
      <c r="AK2667" s="725">
        <f t="shared" si="56"/>
        <v>0</v>
      </c>
    </row>
    <row r="2668" spans="37:37" x14ac:dyDescent="0.2">
      <c r="AK2668" s="725">
        <f t="shared" si="56"/>
        <v>0</v>
      </c>
    </row>
    <row r="2669" spans="37:37" x14ac:dyDescent="0.2">
      <c r="AK2669" s="725">
        <f t="shared" si="56"/>
        <v>0</v>
      </c>
    </row>
    <row r="2670" spans="37:37" x14ac:dyDescent="0.2">
      <c r="AK2670" s="725">
        <f t="shared" si="56"/>
        <v>0</v>
      </c>
    </row>
    <row r="2671" spans="37:37" x14ac:dyDescent="0.2">
      <c r="AK2671" s="725">
        <f t="shared" si="56"/>
        <v>0</v>
      </c>
    </row>
    <row r="2672" spans="37:37" x14ac:dyDescent="0.2">
      <c r="AK2672" s="725">
        <f t="shared" si="56"/>
        <v>0</v>
      </c>
    </row>
    <row r="2673" spans="37:37" x14ac:dyDescent="0.2">
      <c r="AK2673" s="725">
        <f t="shared" si="56"/>
        <v>0</v>
      </c>
    </row>
    <row r="2674" spans="37:37" x14ac:dyDescent="0.2">
      <c r="AK2674" s="725">
        <f t="shared" si="56"/>
        <v>0</v>
      </c>
    </row>
    <row r="2675" spans="37:37" x14ac:dyDescent="0.2">
      <c r="AK2675" s="725">
        <f t="shared" si="56"/>
        <v>0</v>
      </c>
    </row>
    <row r="2676" spans="37:37" x14ac:dyDescent="0.2">
      <c r="AK2676" s="725">
        <f t="shared" si="56"/>
        <v>0</v>
      </c>
    </row>
    <row r="2677" spans="37:37" x14ac:dyDescent="0.2">
      <c r="AK2677" s="725">
        <f t="shared" si="56"/>
        <v>0</v>
      </c>
    </row>
    <row r="2678" spans="37:37" x14ac:dyDescent="0.2">
      <c r="AK2678" s="725">
        <f t="shared" si="56"/>
        <v>0</v>
      </c>
    </row>
    <row r="2679" spans="37:37" x14ac:dyDescent="0.2">
      <c r="AK2679" s="725">
        <f t="shared" si="56"/>
        <v>0</v>
      </c>
    </row>
    <row r="2680" spans="37:37" x14ac:dyDescent="0.2">
      <c r="AK2680" s="725">
        <f t="shared" si="56"/>
        <v>0</v>
      </c>
    </row>
    <row r="2681" spans="37:37" x14ac:dyDescent="0.2">
      <c r="AK2681" s="725">
        <f t="shared" si="56"/>
        <v>0</v>
      </c>
    </row>
    <row r="2682" spans="37:37" x14ac:dyDescent="0.2">
      <c r="AK2682" s="725">
        <f t="shared" si="56"/>
        <v>0</v>
      </c>
    </row>
    <row r="2683" spans="37:37" x14ac:dyDescent="0.2">
      <c r="AK2683" s="725">
        <f t="shared" si="56"/>
        <v>0</v>
      </c>
    </row>
    <row r="2684" spans="37:37" x14ac:dyDescent="0.2">
      <c r="AK2684" s="725">
        <f t="shared" si="56"/>
        <v>0</v>
      </c>
    </row>
    <row r="2685" spans="37:37" x14ac:dyDescent="0.2">
      <c r="AK2685" s="725">
        <f t="shared" si="56"/>
        <v>0</v>
      </c>
    </row>
    <row r="2686" spans="37:37" x14ac:dyDescent="0.2">
      <c r="AK2686" s="725">
        <f t="shared" si="56"/>
        <v>0</v>
      </c>
    </row>
    <row r="2687" spans="37:37" x14ac:dyDescent="0.2">
      <c r="AK2687" s="725">
        <f t="shared" si="56"/>
        <v>0</v>
      </c>
    </row>
    <row r="2688" spans="37:37" x14ac:dyDescent="0.2">
      <c r="AK2688" s="725">
        <f t="shared" si="56"/>
        <v>0</v>
      </c>
    </row>
    <row r="2689" spans="37:37" x14ac:dyDescent="0.2">
      <c r="AK2689" s="725">
        <f t="shared" si="56"/>
        <v>0</v>
      </c>
    </row>
    <row r="2690" spans="37:37" x14ac:dyDescent="0.2">
      <c r="AK2690" s="725">
        <f t="shared" si="56"/>
        <v>0</v>
      </c>
    </row>
    <row r="2691" spans="37:37" x14ac:dyDescent="0.2">
      <c r="AK2691" s="725">
        <f t="shared" si="56"/>
        <v>0</v>
      </c>
    </row>
    <row r="2692" spans="37:37" x14ac:dyDescent="0.2">
      <c r="AK2692" s="725">
        <f t="shared" si="56"/>
        <v>0</v>
      </c>
    </row>
    <row r="2693" spans="37:37" x14ac:dyDescent="0.2">
      <c r="AK2693" s="725">
        <f t="shared" si="56"/>
        <v>0</v>
      </c>
    </row>
    <row r="2694" spans="37:37" x14ac:dyDescent="0.2">
      <c r="AK2694" s="725">
        <f t="shared" si="56"/>
        <v>0</v>
      </c>
    </row>
    <row r="2695" spans="37:37" x14ac:dyDescent="0.2">
      <c r="AK2695" s="725">
        <f t="shared" si="56"/>
        <v>0</v>
      </c>
    </row>
    <row r="2696" spans="37:37" x14ac:dyDescent="0.2">
      <c r="AK2696" s="725">
        <f t="shared" si="56"/>
        <v>0</v>
      </c>
    </row>
    <row r="2697" spans="37:37" x14ac:dyDescent="0.2">
      <c r="AK2697" s="725">
        <f t="shared" si="56"/>
        <v>0</v>
      </c>
    </row>
    <row r="2698" spans="37:37" x14ac:dyDescent="0.2">
      <c r="AK2698" s="725">
        <f t="shared" si="56"/>
        <v>0</v>
      </c>
    </row>
    <row r="2699" spans="37:37" x14ac:dyDescent="0.2">
      <c r="AK2699" s="725">
        <f t="shared" si="56"/>
        <v>0</v>
      </c>
    </row>
    <row r="2700" spans="37:37" x14ac:dyDescent="0.2">
      <c r="AK2700" s="725">
        <f t="shared" si="56"/>
        <v>0</v>
      </c>
    </row>
    <row r="2701" spans="37:37" x14ac:dyDescent="0.2">
      <c r="AK2701" s="725">
        <f t="shared" si="56"/>
        <v>0</v>
      </c>
    </row>
    <row r="2702" spans="37:37" x14ac:dyDescent="0.2">
      <c r="AK2702" s="725">
        <f t="shared" si="56"/>
        <v>0</v>
      </c>
    </row>
    <row r="2703" spans="37:37" x14ac:dyDescent="0.2">
      <c r="AK2703" s="725">
        <f t="shared" si="56"/>
        <v>0</v>
      </c>
    </row>
    <row r="2704" spans="37:37" x14ac:dyDescent="0.2">
      <c r="AK2704" s="725">
        <f t="shared" si="56"/>
        <v>0</v>
      </c>
    </row>
    <row r="2705" spans="37:37" x14ac:dyDescent="0.2">
      <c r="AK2705" s="725">
        <f t="shared" si="56"/>
        <v>0</v>
      </c>
    </row>
    <row r="2706" spans="37:37" x14ac:dyDescent="0.2">
      <c r="AK2706" s="725">
        <f t="shared" si="56"/>
        <v>0</v>
      </c>
    </row>
    <row r="2707" spans="37:37" x14ac:dyDescent="0.2">
      <c r="AK2707" s="725">
        <f t="shared" si="56"/>
        <v>0</v>
      </c>
    </row>
    <row r="2708" spans="37:37" x14ac:dyDescent="0.2">
      <c r="AK2708" s="725">
        <f t="shared" si="56"/>
        <v>0</v>
      </c>
    </row>
    <row r="2709" spans="37:37" x14ac:dyDescent="0.2">
      <c r="AK2709" s="725">
        <f t="shared" si="56"/>
        <v>0</v>
      </c>
    </row>
    <row r="2710" spans="37:37" x14ac:dyDescent="0.2">
      <c r="AK2710" s="725">
        <f t="shared" si="56"/>
        <v>0</v>
      </c>
    </row>
    <row r="2711" spans="37:37" x14ac:dyDescent="0.2">
      <c r="AK2711" s="725">
        <f t="shared" si="56"/>
        <v>0</v>
      </c>
    </row>
    <row r="2712" spans="37:37" x14ac:dyDescent="0.2">
      <c r="AK2712" s="725">
        <f t="shared" ref="AK2712:AK2775" si="57">SUM(O2712:AJ2712)</f>
        <v>0</v>
      </c>
    </row>
    <row r="2713" spans="37:37" x14ac:dyDescent="0.2">
      <c r="AK2713" s="725">
        <f t="shared" si="57"/>
        <v>0</v>
      </c>
    </row>
    <row r="2714" spans="37:37" x14ac:dyDescent="0.2">
      <c r="AK2714" s="725">
        <f t="shared" si="57"/>
        <v>0</v>
      </c>
    </row>
    <row r="2715" spans="37:37" x14ac:dyDescent="0.2">
      <c r="AK2715" s="725">
        <f t="shared" si="57"/>
        <v>0</v>
      </c>
    </row>
    <row r="2716" spans="37:37" x14ac:dyDescent="0.2">
      <c r="AK2716" s="725">
        <f t="shared" si="57"/>
        <v>0</v>
      </c>
    </row>
    <row r="2717" spans="37:37" x14ac:dyDescent="0.2">
      <c r="AK2717" s="725">
        <f t="shared" si="57"/>
        <v>0</v>
      </c>
    </row>
    <row r="2718" spans="37:37" x14ac:dyDescent="0.2">
      <c r="AK2718" s="725">
        <f t="shared" si="57"/>
        <v>0</v>
      </c>
    </row>
    <row r="2719" spans="37:37" x14ac:dyDescent="0.2">
      <c r="AK2719" s="725">
        <f t="shared" si="57"/>
        <v>0</v>
      </c>
    </row>
    <row r="2720" spans="37:37" x14ac:dyDescent="0.2">
      <c r="AK2720" s="725">
        <f t="shared" si="57"/>
        <v>0</v>
      </c>
    </row>
    <row r="2721" spans="37:37" x14ac:dyDescent="0.2">
      <c r="AK2721" s="725">
        <f t="shared" si="57"/>
        <v>0</v>
      </c>
    </row>
    <row r="2722" spans="37:37" x14ac:dyDescent="0.2">
      <c r="AK2722" s="725">
        <f t="shared" si="57"/>
        <v>0</v>
      </c>
    </row>
    <row r="2723" spans="37:37" x14ac:dyDescent="0.2">
      <c r="AK2723" s="725">
        <f t="shared" si="57"/>
        <v>0</v>
      </c>
    </row>
    <row r="2724" spans="37:37" x14ac:dyDescent="0.2">
      <c r="AK2724" s="725">
        <f t="shared" si="57"/>
        <v>0</v>
      </c>
    </row>
    <row r="2725" spans="37:37" x14ac:dyDescent="0.2">
      <c r="AK2725" s="725">
        <f t="shared" si="57"/>
        <v>0</v>
      </c>
    </row>
    <row r="2726" spans="37:37" x14ac:dyDescent="0.2">
      <c r="AK2726" s="725">
        <f t="shared" si="57"/>
        <v>0</v>
      </c>
    </row>
    <row r="2727" spans="37:37" x14ac:dyDescent="0.2">
      <c r="AK2727" s="725">
        <f t="shared" si="57"/>
        <v>0</v>
      </c>
    </row>
    <row r="2728" spans="37:37" x14ac:dyDescent="0.2">
      <c r="AK2728" s="725">
        <f t="shared" si="57"/>
        <v>0</v>
      </c>
    </row>
    <row r="2729" spans="37:37" x14ac:dyDescent="0.2">
      <c r="AK2729" s="725">
        <f t="shared" si="57"/>
        <v>0</v>
      </c>
    </row>
    <row r="2730" spans="37:37" x14ac:dyDescent="0.2">
      <c r="AK2730" s="725">
        <f t="shared" si="57"/>
        <v>0</v>
      </c>
    </row>
    <row r="2731" spans="37:37" x14ac:dyDescent="0.2">
      <c r="AK2731" s="725">
        <f t="shared" si="57"/>
        <v>0</v>
      </c>
    </row>
    <row r="2732" spans="37:37" x14ac:dyDescent="0.2">
      <c r="AK2732" s="725">
        <f t="shared" si="57"/>
        <v>0</v>
      </c>
    </row>
    <row r="2733" spans="37:37" x14ac:dyDescent="0.2">
      <c r="AK2733" s="725">
        <f t="shared" si="57"/>
        <v>0</v>
      </c>
    </row>
    <row r="2734" spans="37:37" x14ac:dyDescent="0.2">
      <c r="AK2734" s="725">
        <f t="shared" si="57"/>
        <v>0</v>
      </c>
    </row>
    <row r="2735" spans="37:37" x14ac:dyDescent="0.2">
      <c r="AK2735" s="725">
        <f t="shared" si="57"/>
        <v>0</v>
      </c>
    </row>
    <row r="2736" spans="37:37" x14ac:dyDescent="0.2">
      <c r="AK2736" s="725">
        <f t="shared" si="57"/>
        <v>0</v>
      </c>
    </row>
    <row r="2737" spans="37:37" x14ac:dyDescent="0.2">
      <c r="AK2737" s="725">
        <f t="shared" si="57"/>
        <v>0</v>
      </c>
    </row>
    <row r="2738" spans="37:37" x14ac:dyDescent="0.2">
      <c r="AK2738" s="725">
        <f t="shared" si="57"/>
        <v>0</v>
      </c>
    </row>
    <row r="2739" spans="37:37" x14ac:dyDescent="0.2">
      <c r="AK2739" s="725">
        <f t="shared" si="57"/>
        <v>0</v>
      </c>
    </row>
    <row r="2740" spans="37:37" x14ac:dyDescent="0.2">
      <c r="AK2740" s="725">
        <f t="shared" si="57"/>
        <v>0</v>
      </c>
    </row>
    <row r="2741" spans="37:37" x14ac:dyDescent="0.2">
      <c r="AK2741" s="725">
        <f t="shared" si="57"/>
        <v>0</v>
      </c>
    </row>
    <row r="2742" spans="37:37" x14ac:dyDescent="0.2">
      <c r="AK2742" s="725">
        <f t="shared" si="57"/>
        <v>0</v>
      </c>
    </row>
    <row r="2743" spans="37:37" x14ac:dyDescent="0.2">
      <c r="AK2743" s="725">
        <f t="shared" si="57"/>
        <v>0</v>
      </c>
    </row>
    <row r="2744" spans="37:37" x14ac:dyDescent="0.2">
      <c r="AK2744" s="725">
        <f t="shared" si="57"/>
        <v>0</v>
      </c>
    </row>
    <row r="2745" spans="37:37" x14ac:dyDescent="0.2">
      <c r="AK2745" s="725">
        <f t="shared" si="57"/>
        <v>0</v>
      </c>
    </row>
    <row r="2746" spans="37:37" x14ac:dyDescent="0.2">
      <c r="AK2746" s="725">
        <f t="shared" si="57"/>
        <v>0</v>
      </c>
    </row>
    <row r="2747" spans="37:37" x14ac:dyDescent="0.2">
      <c r="AK2747" s="725">
        <f t="shared" si="57"/>
        <v>0</v>
      </c>
    </row>
    <row r="2748" spans="37:37" x14ac:dyDescent="0.2">
      <c r="AK2748" s="725">
        <f t="shared" si="57"/>
        <v>0</v>
      </c>
    </row>
    <row r="2749" spans="37:37" x14ac:dyDescent="0.2">
      <c r="AK2749" s="725">
        <f t="shared" si="57"/>
        <v>0</v>
      </c>
    </row>
    <row r="2750" spans="37:37" x14ac:dyDescent="0.2">
      <c r="AK2750" s="725">
        <f t="shared" si="57"/>
        <v>0</v>
      </c>
    </row>
    <row r="2751" spans="37:37" x14ac:dyDescent="0.2">
      <c r="AK2751" s="725">
        <f t="shared" si="57"/>
        <v>0</v>
      </c>
    </row>
    <row r="2752" spans="37:37" x14ac:dyDescent="0.2">
      <c r="AK2752" s="725">
        <f t="shared" si="57"/>
        <v>0</v>
      </c>
    </row>
    <row r="2753" spans="37:37" x14ac:dyDescent="0.2">
      <c r="AK2753" s="725">
        <f t="shared" si="57"/>
        <v>0</v>
      </c>
    </row>
    <row r="2754" spans="37:37" x14ac:dyDescent="0.2">
      <c r="AK2754" s="725">
        <f t="shared" si="57"/>
        <v>0</v>
      </c>
    </row>
    <row r="2755" spans="37:37" x14ac:dyDescent="0.2">
      <c r="AK2755" s="725">
        <f t="shared" si="57"/>
        <v>0</v>
      </c>
    </row>
    <row r="2756" spans="37:37" x14ac:dyDescent="0.2">
      <c r="AK2756" s="725">
        <f t="shared" si="57"/>
        <v>0</v>
      </c>
    </row>
    <row r="2757" spans="37:37" x14ac:dyDescent="0.2">
      <c r="AK2757" s="725">
        <f t="shared" si="57"/>
        <v>0</v>
      </c>
    </row>
    <row r="2758" spans="37:37" x14ac:dyDescent="0.2">
      <c r="AK2758" s="725">
        <f t="shared" si="57"/>
        <v>0</v>
      </c>
    </row>
    <row r="2759" spans="37:37" x14ac:dyDescent="0.2">
      <c r="AK2759" s="725">
        <f t="shared" si="57"/>
        <v>0</v>
      </c>
    </row>
    <row r="2760" spans="37:37" x14ac:dyDescent="0.2">
      <c r="AK2760" s="725">
        <f t="shared" si="57"/>
        <v>0</v>
      </c>
    </row>
    <row r="2761" spans="37:37" x14ac:dyDescent="0.2">
      <c r="AK2761" s="725">
        <f t="shared" si="57"/>
        <v>0</v>
      </c>
    </row>
    <row r="2762" spans="37:37" x14ac:dyDescent="0.2">
      <c r="AK2762" s="725">
        <f t="shared" si="57"/>
        <v>0</v>
      </c>
    </row>
    <row r="2763" spans="37:37" x14ac:dyDescent="0.2">
      <c r="AK2763" s="725">
        <f t="shared" si="57"/>
        <v>0</v>
      </c>
    </row>
    <row r="2764" spans="37:37" x14ac:dyDescent="0.2">
      <c r="AK2764" s="725">
        <f t="shared" si="57"/>
        <v>0</v>
      </c>
    </row>
    <row r="2765" spans="37:37" x14ac:dyDescent="0.2">
      <c r="AK2765" s="725">
        <f t="shared" si="57"/>
        <v>0</v>
      </c>
    </row>
    <row r="2766" spans="37:37" x14ac:dyDescent="0.2">
      <c r="AK2766" s="725">
        <f t="shared" si="57"/>
        <v>0</v>
      </c>
    </row>
    <row r="2767" spans="37:37" x14ac:dyDescent="0.2">
      <c r="AK2767" s="725">
        <f t="shared" si="57"/>
        <v>0</v>
      </c>
    </row>
    <row r="2768" spans="37:37" x14ac:dyDescent="0.2">
      <c r="AK2768" s="725">
        <f t="shared" si="57"/>
        <v>0</v>
      </c>
    </row>
    <row r="2769" spans="37:37" x14ac:dyDescent="0.2">
      <c r="AK2769" s="725">
        <f t="shared" si="57"/>
        <v>0</v>
      </c>
    </row>
    <row r="2770" spans="37:37" x14ac:dyDescent="0.2">
      <c r="AK2770" s="725">
        <f t="shared" si="57"/>
        <v>0</v>
      </c>
    </row>
    <row r="2771" spans="37:37" x14ac:dyDescent="0.2">
      <c r="AK2771" s="725">
        <f t="shared" si="57"/>
        <v>0</v>
      </c>
    </row>
    <row r="2772" spans="37:37" x14ac:dyDescent="0.2">
      <c r="AK2772" s="725">
        <f t="shared" si="57"/>
        <v>0</v>
      </c>
    </row>
    <row r="2773" spans="37:37" x14ac:dyDescent="0.2">
      <c r="AK2773" s="725">
        <f t="shared" si="57"/>
        <v>0</v>
      </c>
    </row>
    <row r="2774" spans="37:37" x14ac:dyDescent="0.2">
      <c r="AK2774" s="725">
        <f t="shared" si="57"/>
        <v>0</v>
      </c>
    </row>
    <row r="2775" spans="37:37" x14ac:dyDescent="0.2">
      <c r="AK2775" s="725">
        <f t="shared" si="57"/>
        <v>0</v>
      </c>
    </row>
    <row r="2776" spans="37:37" x14ac:dyDescent="0.2">
      <c r="AK2776" s="725">
        <f t="shared" ref="AK2776:AK2839" si="58">SUM(O2776:AJ2776)</f>
        <v>0</v>
      </c>
    </row>
    <row r="2777" spans="37:37" x14ac:dyDescent="0.2">
      <c r="AK2777" s="725">
        <f t="shared" si="58"/>
        <v>0</v>
      </c>
    </row>
    <row r="2778" spans="37:37" x14ac:dyDescent="0.2">
      <c r="AK2778" s="725">
        <f t="shared" si="58"/>
        <v>0</v>
      </c>
    </row>
    <row r="2779" spans="37:37" x14ac:dyDescent="0.2">
      <c r="AK2779" s="725">
        <f t="shared" si="58"/>
        <v>0</v>
      </c>
    </row>
    <row r="2780" spans="37:37" x14ac:dyDescent="0.2">
      <c r="AK2780" s="725">
        <f t="shared" si="58"/>
        <v>0</v>
      </c>
    </row>
    <row r="2781" spans="37:37" x14ac:dyDescent="0.2">
      <c r="AK2781" s="725">
        <f t="shared" si="58"/>
        <v>0</v>
      </c>
    </row>
    <row r="2782" spans="37:37" x14ac:dyDescent="0.2">
      <c r="AK2782" s="725">
        <f t="shared" si="58"/>
        <v>0</v>
      </c>
    </row>
    <row r="2783" spans="37:37" x14ac:dyDescent="0.2">
      <c r="AK2783" s="725">
        <f t="shared" si="58"/>
        <v>0</v>
      </c>
    </row>
    <row r="2784" spans="37:37" x14ac:dyDescent="0.2">
      <c r="AK2784" s="725">
        <f t="shared" si="58"/>
        <v>0</v>
      </c>
    </row>
    <row r="2785" spans="37:37" x14ac:dyDescent="0.2">
      <c r="AK2785" s="725">
        <f t="shared" si="58"/>
        <v>0</v>
      </c>
    </row>
    <row r="2786" spans="37:37" x14ac:dyDescent="0.2">
      <c r="AK2786" s="725">
        <f t="shared" si="58"/>
        <v>0</v>
      </c>
    </row>
    <row r="2787" spans="37:37" x14ac:dyDescent="0.2">
      <c r="AK2787" s="725">
        <f t="shared" si="58"/>
        <v>0</v>
      </c>
    </row>
    <row r="2788" spans="37:37" x14ac:dyDescent="0.2">
      <c r="AK2788" s="725">
        <f t="shared" si="58"/>
        <v>0</v>
      </c>
    </row>
    <row r="2789" spans="37:37" x14ac:dyDescent="0.2">
      <c r="AK2789" s="725">
        <f t="shared" si="58"/>
        <v>0</v>
      </c>
    </row>
    <row r="2790" spans="37:37" x14ac:dyDescent="0.2">
      <c r="AK2790" s="725">
        <f t="shared" si="58"/>
        <v>0</v>
      </c>
    </row>
    <row r="2791" spans="37:37" x14ac:dyDescent="0.2">
      <c r="AK2791" s="725">
        <f t="shared" si="58"/>
        <v>0</v>
      </c>
    </row>
    <row r="2792" spans="37:37" x14ac:dyDescent="0.2">
      <c r="AK2792" s="725">
        <f t="shared" si="58"/>
        <v>0</v>
      </c>
    </row>
    <row r="2793" spans="37:37" x14ac:dyDescent="0.2">
      <c r="AK2793" s="725">
        <f t="shared" si="58"/>
        <v>0</v>
      </c>
    </row>
    <row r="2794" spans="37:37" x14ac:dyDescent="0.2">
      <c r="AK2794" s="725">
        <f t="shared" si="58"/>
        <v>0</v>
      </c>
    </row>
    <row r="2795" spans="37:37" x14ac:dyDescent="0.2">
      <c r="AK2795" s="725">
        <f t="shared" si="58"/>
        <v>0</v>
      </c>
    </row>
    <row r="2796" spans="37:37" x14ac:dyDescent="0.2">
      <c r="AK2796" s="725">
        <f t="shared" si="58"/>
        <v>0</v>
      </c>
    </row>
    <row r="2797" spans="37:37" x14ac:dyDescent="0.2">
      <c r="AK2797" s="725">
        <f t="shared" si="58"/>
        <v>0</v>
      </c>
    </row>
    <row r="2798" spans="37:37" x14ac:dyDescent="0.2">
      <c r="AK2798" s="725">
        <f t="shared" si="58"/>
        <v>0</v>
      </c>
    </row>
    <row r="2799" spans="37:37" x14ac:dyDescent="0.2">
      <c r="AK2799" s="725">
        <f t="shared" si="58"/>
        <v>0</v>
      </c>
    </row>
    <row r="2800" spans="37:37" x14ac:dyDescent="0.2">
      <c r="AK2800" s="725">
        <f t="shared" si="58"/>
        <v>0</v>
      </c>
    </row>
    <row r="2801" spans="37:37" x14ac:dyDescent="0.2">
      <c r="AK2801" s="725">
        <f t="shared" si="58"/>
        <v>0</v>
      </c>
    </row>
    <row r="2802" spans="37:37" x14ac:dyDescent="0.2">
      <c r="AK2802" s="725">
        <f t="shared" si="58"/>
        <v>0</v>
      </c>
    </row>
    <row r="2803" spans="37:37" x14ac:dyDescent="0.2">
      <c r="AK2803" s="725">
        <f t="shared" si="58"/>
        <v>0</v>
      </c>
    </row>
    <row r="2804" spans="37:37" x14ac:dyDescent="0.2">
      <c r="AK2804" s="725">
        <f t="shared" si="58"/>
        <v>0</v>
      </c>
    </row>
    <row r="2805" spans="37:37" x14ac:dyDescent="0.2">
      <c r="AK2805" s="725">
        <f t="shared" si="58"/>
        <v>0</v>
      </c>
    </row>
    <row r="2806" spans="37:37" x14ac:dyDescent="0.2">
      <c r="AK2806" s="725">
        <f t="shared" si="58"/>
        <v>0</v>
      </c>
    </row>
    <row r="2807" spans="37:37" x14ac:dyDescent="0.2">
      <c r="AK2807" s="725">
        <f t="shared" si="58"/>
        <v>0</v>
      </c>
    </row>
    <row r="2808" spans="37:37" x14ac:dyDescent="0.2">
      <c r="AK2808" s="725">
        <f t="shared" si="58"/>
        <v>0</v>
      </c>
    </row>
    <row r="2809" spans="37:37" x14ac:dyDescent="0.2">
      <c r="AK2809" s="725">
        <f t="shared" si="58"/>
        <v>0</v>
      </c>
    </row>
    <row r="2810" spans="37:37" x14ac:dyDescent="0.2">
      <c r="AK2810" s="725">
        <f t="shared" si="58"/>
        <v>0</v>
      </c>
    </row>
    <row r="2811" spans="37:37" x14ac:dyDescent="0.2">
      <c r="AK2811" s="725">
        <f t="shared" si="58"/>
        <v>0</v>
      </c>
    </row>
    <row r="2812" spans="37:37" x14ac:dyDescent="0.2">
      <c r="AK2812" s="725">
        <f t="shared" si="58"/>
        <v>0</v>
      </c>
    </row>
    <row r="2813" spans="37:37" x14ac:dyDescent="0.2">
      <c r="AK2813" s="725">
        <f t="shared" si="58"/>
        <v>0</v>
      </c>
    </row>
    <row r="2814" spans="37:37" x14ac:dyDescent="0.2">
      <c r="AK2814" s="725">
        <f t="shared" si="58"/>
        <v>0</v>
      </c>
    </row>
    <row r="2815" spans="37:37" x14ac:dyDescent="0.2">
      <c r="AK2815" s="725">
        <f t="shared" si="58"/>
        <v>0</v>
      </c>
    </row>
    <row r="2816" spans="37:37" x14ac:dyDescent="0.2">
      <c r="AK2816" s="725">
        <f t="shared" si="58"/>
        <v>0</v>
      </c>
    </row>
    <row r="2817" spans="37:37" x14ac:dyDescent="0.2">
      <c r="AK2817" s="725">
        <f t="shared" si="58"/>
        <v>0</v>
      </c>
    </row>
    <row r="2818" spans="37:37" x14ac:dyDescent="0.2">
      <c r="AK2818" s="725">
        <f t="shared" si="58"/>
        <v>0</v>
      </c>
    </row>
    <row r="2819" spans="37:37" x14ac:dyDescent="0.2">
      <c r="AK2819" s="725">
        <f t="shared" si="58"/>
        <v>0</v>
      </c>
    </row>
    <row r="2820" spans="37:37" x14ac:dyDescent="0.2">
      <c r="AK2820" s="725">
        <f t="shared" si="58"/>
        <v>0</v>
      </c>
    </row>
    <row r="2821" spans="37:37" x14ac:dyDescent="0.2">
      <c r="AK2821" s="725">
        <f t="shared" si="58"/>
        <v>0</v>
      </c>
    </row>
    <row r="2822" spans="37:37" x14ac:dyDescent="0.2">
      <c r="AK2822" s="725">
        <f t="shared" si="58"/>
        <v>0</v>
      </c>
    </row>
    <row r="2823" spans="37:37" x14ac:dyDescent="0.2">
      <c r="AK2823" s="725">
        <f t="shared" si="58"/>
        <v>0</v>
      </c>
    </row>
    <row r="2824" spans="37:37" x14ac:dyDescent="0.2">
      <c r="AK2824" s="725">
        <f t="shared" si="58"/>
        <v>0</v>
      </c>
    </row>
    <row r="2825" spans="37:37" x14ac:dyDescent="0.2">
      <c r="AK2825" s="725">
        <f t="shared" si="58"/>
        <v>0</v>
      </c>
    </row>
    <row r="2826" spans="37:37" x14ac:dyDescent="0.2">
      <c r="AK2826" s="725">
        <f t="shared" si="58"/>
        <v>0</v>
      </c>
    </row>
    <row r="2827" spans="37:37" x14ac:dyDescent="0.2">
      <c r="AK2827" s="725">
        <f t="shared" si="58"/>
        <v>0</v>
      </c>
    </row>
    <row r="2828" spans="37:37" x14ac:dyDescent="0.2">
      <c r="AK2828" s="725">
        <f t="shared" si="58"/>
        <v>0</v>
      </c>
    </row>
    <row r="2829" spans="37:37" x14ac:dyDescent="0.2">
      <c r="AK2829" s="725">
        <f t="shared" si="58"/>
        <v>0</v>
      </c>
    </row>
    <row r="2830" spans="37:37" x14ac:dyDescent="0.2">
      <c r="AK2830" s="725">
        <f t="shared" si="58"/>
        <v>0</v>
      </c>
    </row>
    <row r="2831" spans="37:37" x14ac:dyDescent="0.2">
      <c r="AK2831" s="725">
        <f t="shared" si="58"/>
        <v>0</v>
      </c>
    </row>
    <row r="2832" spans="37:37" x14ac:dyDescent="0.2">
      <c r="AK2832" s="725">
        <f t="shared" si="58"/>
        <v>0</v>
      </c>
    </row>
    <row r="2833" spans="37:37" x14ac:dyDescent="0.2">
      <c r="AK2833" s="725">
        <f t="shared" si="58"/>
        <v>0</v>
      </c>
    </row>
    <row r="2834" spans="37:37" x14ac:dyDescent="0.2">
      <c r="AK2834" s="725">
        <f t="shared" si="58"/>
        <v>0</v>
      </c>
    </row>
    <row r="2835" spans="37:37" x14ac:dyDescent="0.2">
      <c r="AK2835" s="725">
        <f t="shared" si="58"/>
        <v>0</v>
      </c>
    </row>
    <row r="2836" spans="37:37" x14ac:dyDescent="0.2">
      <c r="AK2836" s="725">
        <f t="shared" si="58"/>
        <v>0</v>
      </c>
    </row>
    <row r="2837" spans="37:37" x14ac:dyDescent="0.2">
      <c r="AK2837" s="725">
        <f t="shared" si="58"/>
        <v>0</v>
      </c>
    </row>
    <row r="2838" spans="37:37" x14ac:dyDescent="0.2">
      <c r="AK2838" s="725">
        <f t="shared" si="58"/>
        <v>0</v>
      </c>
    </row>
    <row r="2839" spans="37:37" x14ac:dyDescent="0.2">
      <c r="AK2839" s="725">
        <f t="shared" si="58"/>
        <v>0</v>
      </c>
    </row>
    <row r="2840" spans="37:37" x14ac:dyDescent="0.2">
      <c r="AK2840" s="725">
        <f t="shared" ref="AK2840:AK2903" si="59">SUM(O2840:AJ2840)</f>
        <v>0</v>
      </c>
    </row>
    <row r="2841" spans="37:37" x14ac:dyDescent="0.2">
      <c r="AK2841" s="725">
        <f t="shared" si="59"/>
        <v>0</v>
      </c>
    </row>
    <row r="2842" spans="37:37" x14ac:dyDescent="0.2">
      <c r="AK2842" s="725">
        <f t="shared" si="59"/>
        <v>0</v>
      </c>
    </row>
    <row r="2843" spans="37:37" x14ac:dyDescent="0.2">
      <c r="AK2843" s="725">
        <f t="shared" si="59"/>
        <v>0</v>
      </c>
    </row>
    <row r="2844" spans="37:37" x14ac:dyDescent="0.2">
      <c r="AK2844" s="725">
        <f t="shared" si="59"/>
        <v>0</v>
      </c>
    </row>
    <row r="2845" spans="37:37" x14ac:dyDescent="0.2">
      <c r="AK2845" s="725">
        <f t="shared" si="59"/>
        <v>0</v>
      </c>
    </row>
    <row r="2846" spans="37:37" x14ac:dyDescent="0.2">
      <c r="AK2846" s="725">
        <f t="shared" si="59"/>
        <v>0</v>
      </c>
    </row>
    <row r="2847" spans="37:37" x14ac:dyDescent="0.2">
      <c r="AK2847" s="725">
        <f t="shared" si="59"/>
        <v>0</v>
      </c>
    </row>
    <row r="2848" spans="37:37" x14ac:dyDescent="0.2">
      <c r="AK2848" s="725">
        <f t="shared" si="59"/>
        <v>0</v>
      </c>
    </row>
    <row r="2849" spans="37:37" x14ac:dyDescent="0.2">
      <c r="AK2849" s="725">
        <f t="shared" si="59"/>
        <v>0</v>
      </c>
    </row>
    <row r="2850" spans="37:37" x14ac:dyDescent="0.2">
      <c r="AK2850" s="725">
        <f t="shared" si="59"/>
        <v>0</v>
      </c>
    </row>
    <row r="2851" spans="37:37" x14ac:dyDescent="0.2">
      <c r="AK2851" s="725">
        <f t="shared" si="59"/>
        <v>0</v>
      </c>
    </row>
    <row r="2852" spans="37:37" x14ac:dyDescent="0.2">
      <c r="AK2852" s="725">
        <f t="shared" si="59"/>
        <v>0</v>
      </c>
    </row>
    <row r="2853" spans="37:37" x14ac:dyDescent="0.2">
      <c r="AK2853" s="725">
        <f t="shared" si="59"/>
        <v>0</v>
      </c>
    </row>
    <row r="2854" spans="37:37" x14ac:dyDescent="0.2">
      <c r="AK2854" s="725">
        <f t="shared" si="59"/>
        <v>0</v>
      </c>
    </row>
    <row r="2855" spans="37:37" x14ac:dyDescent="0.2">
      <c r="AK2855" s="725">
        <f t="shared" si="59"/>
        <v>0</v>
      </c>
    </row>
    <row r="2856" spans="37:37" x14ac:dyDescent="0.2">
      <c r="AK2856" s="725">
        <f t="shared" si="59"/>
        <v>0</v>
      </c>
    </row>
    <row r="2857" spans="37:37" x14ac:dyDescent="0.2">
      <c r="AK2857" s="725">
        <f t="shared" si="59"/>
        <v>0</v>
      </c>
    </row>
    <row r="2858" spans="37:37" x14ac:dyDescent="0.2">
      <c r="AK2858" s="725">
        <f t="shared" si="59"/>
        <v>0</v>
      </c>
    </row>
    <row r="2859" spans="37:37" x14ac:dyDescent="0.2">
      <c r="AK2859" s="725">
        <f t="shared" si="59"/>
        <v>0</v>
      </c>
    </row>
    <row r="2860" spans="37:37" x14ac:dyDescent="0.2">
      <c r="AK2860" s="725">
        <f t="shared" si="59"/>
        <v>0</v>
      </c>
    </row>
    <row r="2861" spans="37:37" x14ac:dyDescent="0.2">
      <c r="AK2861" s="725">
        <f t="shared" si="59"/>
        <v>0</v>
      </c>
    </row>
    <row r="2862" spans="37:37" x14ac:dyDescent="0.2">
      <c r="AK2862" s="725">
        <f t="shared" si="59"/>
        <v>0</v>
      </c>
    </row>
    <row r="2863" spans="37:37" x14ac:dyDescent="0.2">
      <c r="AK2863" s="725">
        <f t="shared" si="59"/>
        <v>0</v>
      </c>
    </row>
    <row r="2864" spans="37:37" x14ac:dyDescent="0.2">
      <c r="AK2864" s="725">
        <f t="shared" si="59"/>
        <v>0</v>
      </c>
    </row>
    <row r="2865" spans="37:37" x14ac:dyDescent="0.2">
      <c r="AK2865" s="725">
        <f t="shared" si="59"/>
        <v>0</v>
      </c>
    </row>
    <row r="2866" spans="37:37" x14ac:dyDescent="0.2">
      <c r="AK2866" s="725">
        <f t="shared" si="59"/>
        <v>0</v>
      </c>
    </row>
    <row r="2867" spans="37:37" x14ac:dyDescent="0.2">
      <c r="AK2867" s="725">
        <f t="shared" si="59"/>
        <v>0</v>
      </c>
    </row>
    <row r="2868" spans="37:37" x14ac:dyDescent="0.2">
      <c r="AK2868" s="725">
        <f t="shared" si="59"/>
        <v>0</v>
      </c>
    </row>
    <row r="2869" spans="37:37" x14ac:dyDescent="0.2">
      <c r="AK2869" s="725">
        <f t="shared" si="59"/>
        <v>0</v>
      </c>
    </row>
    <row r="2870" spans="37:37" x14ac:dyDescent="0.2">
      <c r="AK2870" s="725">
        <f t="shared" si="59"/>
        <v>0</v>
      </c>
    </row>
    <row r="2871" spans="37:37" x14ac:dyDescent="0.2">
      <c r="AK2871" s="725">
        <f t="shared" si="59"/>
        <v>0</v>
      </c>
    </row>
    <row r="2872" spans="37:37" x14ac:dyDescent="0.2">
      <c r="AK2872" s="725">
        <f t="shared" si="59"/>
        <v>0</v>
      </c>
    </row>
    <row r="2873" spans="37:37" x14ac:dyDescent="0.2">
      <c r="AK2873" s="725">
        <f t="shared" si="59"/>
        <v>0</v>
      </c>
    </row>
    <row r="2874" spans="37:37" x14ac:dyDescent="0.2">
      <c r="AK2874" s="725">
        <f t="shared" si="59"/>
        <v>0</v>
      </c>
    </row>
    <row r="2875" spans="37:37" x14ac:dyDescent="0.2">
      <c r="AK2875" s="725">
        <f t="shared" si="59"/>
        <v>0</v>
      </c>
    </row>
    <row r="2876" spans="37:37" x14ac:dyDescent="0.2">
      <c r="AK2876" s="725">
        <f t="shared" si="59"/>
        <v>0</v>
      </c>
    </row>
    <row r="2877" spans="37:37" x14ac:dyDescent="0.2">
      <c r="AK2877" s="725">
        <f t="shared" si="59"/>
        <v>0</v>
      </c>
    </row>
    <row r="2878" spans="37:37" x14ac:dyDescent="0.2">
      <c r="AK2878" s="725">
        <f t="shared" si="59"/>
        <v>0</v>
      </c>
    </row>
    <row r="2879" spans="37:37" x14ac:dyDescent="0.2">
      <c r="AK2879" s="725">
        <f t="shared" si="59"/>
        <v>0</v>
      </c>
    </row>
    <row r="2880" spans="37:37" x14ac:dyDescent="0.2">
      <c r="AK2880" s="725">
        <f t="shared" si="59"/>
        <v>0</v>
      </c>
    </row>
    <row r="2881" spans="37:37" x14ac:dyDescent="0.2">
      <c r="AK2881" s="725">
        <f t="shared" si="59"/>
        <v>0</v>
      </c>
    </row>
    <row r="2882" spans="37:37" x14ac:dyDescent="0.2">
      <c r="AK2882" s="725">
        <f t="shared" si="59"/>
        <v>0</v>
      </c>
    </row>
    <row r="2883" spans="37:37" x14ac:dyDescent="0.2">
      <c r="AK2883" s="725">
        <f t="shared" si="59"/>
        <v>0</v>
      </c>
    </row>
    <row r="2884" spans="37:37" x14ac:dyDescent="0.2">
      <c r="AK2884" s="725">
        <f t="shared" si="59"/>
        <v>0</v>
      </c>
    </row>
    <row r="2885" spans="37:37" x14ac:dyDescent="0.2">
      <c r="AK2885" s="725">
        <f t="shared" si="59"/>
        <v>0</v>
      </c>
    </row>
    <row r="2886" spans="37:37" x14ac:dyDescent="0.2">
      <c r="AK2886" s="725">
        <f t="shared" si="59"/>
        <v>0</v>
      </c>
    </row>
    <row r="2887" spans="37:37" x14ac:dyDescent="0.2">
      <c r="AK2887" s="725">
        <f t="shared" si="59"/>
        <v>0</v>
      </c>
    </row>
    <row r="2888" spans="37:37" x14ac:dyDescent="0.2">
      <c r="AK2888" s="725">
        <f t="shared" si="59"/>
        <v>0</v>
      </c>
    </row>
    <row r="2889" spans="37:37" x14ac:dyDescent="0.2">
      <c r="AK2889" s="725">
        <f t="shared" si="59"/>
        <v>0</v>
      </c>
    </row>
    <row r="2890" spans="37:37" x14ac:dyDescent="0.2">
      <c r="AK2890" s="725">
        <f t="shared" si="59"/>
        <v>0</v>
      </c>
    </row>
    <row r="2891" spans="37:37" x14ac:dyDescent="0.2">
      <c r="AK2891" s="725">
        <f t="shared" si="59"/>
        <v>0</v>
      </c>
    </row>
    <row r="2892" spans="37:37" x14ac:dyDescent="0.2">
      <c r="AK2892" s="725">
        <f t="shared" si="59"/>
        <v>0</v>
      </c>
    </row>
    <row r="2893" spans="37:37" x14ac:dyDescent="0.2">
      <c r="AK2893" s="725">
        <f t="shared" si="59"/>
        <v>0</v>
      </c>
    </row>
    <row r="2894" spans="37:37" x14ac:dyDescent="0.2">
      <c r="AK2894" s="725">
        <f t="shared" si="59"/>
        <v>0</v>
      </c>
    </row>
    <row r="2895" spans="37:37" x14ac:dyDescent="0.2">
      <c r="AK2895" s="725">
        <f t="shared" si="59"/>
        <v>0</v>
      </c>
    </row>
    <row r="2896" spans="37:37" x14ac:dyDescent="0.2">
      <c r="AK2896" s="725">
        <f t="shared" si="59"/>
        <v>0</v>
      </c>
    </row>
    <row r="2897" spans="37:37" x14ac:dyDescent="0.2">
      <c r="AK2897" s="725">
        <f t="shared" si="59"/>
        <v>0</v>
      </c>
    </row>
    <row r="2898" spans="37:37" x14ac:dyDescent="0.2">
      <c r="AK2898" s="725">
        <f t="shared" si="59"/>
        <v>0</v>
      </c>
    </row>
    <row r="2899" spans="37:37" x14ac:dyDescent="0.2">
      <c r="AK2899" s="725">
        <f t="shared" si="59"/>
        <v>0</v>
      </c>
    </row>
    <row r="2900" spans="37:37" x14ac:dyDescent="0.2">
      <c r="AK2900" s="725">
        <f t="shared" si="59"/>
        <v>0</v>
      </c>
    </row>
    <row r="2901" spans="37:37" x14ac:dyDescent="0.2">
      <c r="AK2901" s="725">
        <f t="shared" si="59"/>
        <v>0</v>
      </c>
    </row>
    <row r="2902" spans="37:37" x14ac:dyDescent="0.2">
      <c r="AK2902" s="725">
        <f t="shared" si="59"/>
        <v>0</v>
      </c>
    </row>
    <row r="2903" spans="37:37" x14ac:dyDescent="0.2">
      <c r="AK2903" s="725">
        <f t="shared" si="59"/>
        <v>0</v>
      </c>
    </row>
    <row r="2904" spans="37:37" x14ac:dyDescent="0.2">
      <c r="AK2904" s="725">
        <f t="shared" ref="AK2904:AK2967" si="60">SUM(O2904:AJ2904)</f>
        <v>0</v>
      </c>
    </row>
    <row r="2905" spans="37:37" x14ac:dyDescent="0.2">
      <c r="AK2905" s="725">
        <f t="shared" si="60"/>
        <v>0</v>
      </c>
    </row>
    <row r="2906" spans="37:37" x14ac:dyDescent="0.2">
      <c r="AK2906" s="725">
        <f t="shared" si="60"/>
        <v>0</v>
      </c>
    </row>
    <row r="2907" spans="37:37" x14ac:dyDescent="0.2">
      <c r="AK2907" s="725">
        <f t="shared" si="60"/>
        <v>0</v>
      </c>
    </row>
    <row r="2908" spans="37:37" x14ac:dyDescent="0.2">
      <c r="AK2908" s="725">
        <f t="shared" si="60"/>
        <v>0</v>
      </c>
    </row>
    <row r="2909" spans="37:37" x14ac:dyDescent="0.2">
      <c r="AK2909" s="725">
        <f t="shared" si="60"/>
        <v>0</v>
      </c>
    </row>
    <row r="2910" spans="37:37" x14ac:dyDescent="0.2">
      <c r="AK2910" s="725">
        <f t="shared" si="60"/>
        <v>0</v>
      </c>
    </row>
    <row r="2911" spans="37:37" x14ac:dyDescent="0.2">
      <c r="AK2911" s="725">
        <f t="shared" si="60"/>
        <v>0</v>
      </c>
    </row>
    <row r="2912" spans="37:37" x14ac:dyDescent="0.2">
      <c r="AK2912" s="725">
        <f t="shared" si="60"/>
        <v>0</v>
      </c>
    </row>
    <row r="2913" spans="37:37" x14ac:dyDescent="0.2">
      <c r="AK2913" s="725">
        <f t="shared" si="60"/>
        <v>0</v>
      </c>
    </row>
    <row r="2914" spans="37:37" x14ac:dyDescent="0.2">
      <c r="AK2914" s="725">
        <f t="shared" si="60"/>
        <v>0</v>
      </c>
    </row>
    <row r="2915" spans="37:37" x14ac:dyDescent="0.2">
      <c r="AK2915" s="725">
        <f t="shared" si="60"/>
        <v>0</v>
      </c>
    </row>
    <row r="2916" spans="37:37" x14ac:dyDescent="0.2">
      <c r="AK2916" s="725">
        <f t="shared" si="60"/>
        <v>0</v>
      </c>
    </row>
    <row r="2917" spans="37:37" x14ac:dyDescent="0.2">
      <c r="AK2917" s="725">
        <f t="shared" si="60"/>
        <v>0</v>
      </c>
    </row>
    <row r="2918" spans="37:37" x14ac:dyDescent="0.2">
      <c r="AK2918" s="725">
        <f t="shared" si="60"/>
        <v>0</v>
      </c>
    </row>
    <row r="2919" spans="37:37" x14ac:dyDescent="0.2">
      <c r="AK2919" s="725">
        <f t="shared" si="60"/>
        <v>0</v>
      </c>
    </row>
    <row r="2920" spans="37:37" x14ac:dyDescent="0.2">
      <c r="AK2920" s="725">
        <f t="shared" si="60"/>
        <v>0</v>
      </c>
    </row>
    <row r="2921" spans="37:37" x14ac:dyDescent="0.2">
      <c r="AK2921" s="725">
        <f t="shared" si="60"/>
        <v>0</v>
      </c>
    </row>
    <row r="2922" spans="37:37" x14ac:dyDescent="0.2">
      <c r="AK2922" s="725">
        <f t="shared" si="60"/>
        <v>0</v>
      </c>
    </row>
    <row r="2923" spans="37:37" x14ac:dyDescent="0.2">
      <c r="AK2923" s="725">
        <f t="shared" si="60"/>
        <v>0</v>
      </c>
    </row>
    <row r="2924" spans="37:37" x14ac:dyDescent="0.2">
      <c r="AK2924" s="725">
        <f t="shared" si="60"/>
        <v>0</v>
      </c>
    </row>
    <row r="2925" spans="37:37" x14ac:dyDescent="0.2">
      <c r="AK2925" s="725">
        <f t="shared" si="60"/>
        <v>0</v>
      </c>
    </row>
    <row r="2926" spans="37:37" x14ac:dyDescent="0.2">
      <c r="AK2926" s="725">
        <f t="shared" si="60"/>
        <v>0</v>
      </c>
    </row>
    <row r="2927" spans="37:37" x14ac:dyDescent="0.2">
      <c r="AK2927" s="725">
        <f t="shared" si="60"/>
        <v>0</v>
      </c>
    </row>
    <row r="2928" spans="37:37" x14ac:dyDescent="0.2">
      <c r="AK2928" s="725">
        <f t="shared" si="60"/>
        <v>0</v>
      </c>
    </row>
    <row r="2929" spans="37:37" x14ac:dyDescent="0.2">
      <c r="AK2929" s="725">
        <f t="shared" si="60"/>
        <v>0</v>
      </c>
    </row>
    <row r="2930" spans="37:37" x14ac:dyDescent="0.2">
      <c r="AK2930" s="725">
        <f t="shared" si="60"/>
        <v>0</v>
      </c>
    </row>
    <row r="2931" spans="37:37" x14ac:dyDescent="0.2">
      <c r="AK2931" s="725">
        <f t="shared" si="60"/>
        <v>0</v>
      </c>
    </row>
    <row r="2932" spans="37:37" x14ac:dyDescent="0.2">
      <c r="AK2932" s="725">
        <f t="shared" si="60"/>
        <v>0</v>
      </c>
    </row>
    <row r="2933" spans="37:37" x14ac:dyDescent="0.2">
      <c r="AK2933" s="725">
        <f t="shared" si="60"/>
        <v>0</v>
      </c>
    </row>
    <row r="2934" spans="37:37" x14ac:dyDescent="0.2">
      <c r="AK2934" s="725">
        <f t="shared" si="60"/>
        <v>0</v>
      </c>
    </row>
    <row r="2935" spans="37:37" x14ac:dyDescent="0.2">
      <c r="AK2935" s="725">
        <f t="shared" si="60"/>
        <v>0</v>
      </c>
    </row>
    <row r="2936" spans="37:37" x14ac:dyDescent="0.2">
      <c r="AK2936" s="725">
        <f t="shared" si="60"/>
        <v>0</v>
      </c>
    </row>
    <row r="2937" spans="37:37" x14ac:dyDescent="0.2">
      <c r="AK2937" s="725">
        <f t="shared" si="60"/>
        <v>0</v>
      </c>
    </row>
    <row r="2938" spans="37:37" x14ac:dyDescent="0.2">
      <c r="AK2938" s="725">
        <f t="shared" si="60"/>
        <v>0</v>
      </c>
    </row>
    <row r="2939" spans="37:37" x14ac:dyDescent="0.2">
      <c r="AK2939" s="725">
        <f t="shared" si="60"/>
        <v>0</v>
      </c>
    </row>
    <row r="2940" spans="37:37" x14ac:dyDescent="0.2">
      <c r="AK2940" s="725">
        <f t="shared" si="60"/>
        <v>0</v>
      </c>
    </row>
    <row r="2941" spans="37:37" x14ac:dyDescent="0.2">
      <c r="AK2941" s="725">
        <f t="shared" si="60"/>
        <v>0</v>
      </c>
    </row>
    <row r="2942" spans="37:37" x14ac:dyDescent="0.2">
      <c r="AK2942" s="725">
        <f t="shared" si="60"/>
        <v>0</v>
      </c>
    </row>
    <row r="2943" spans="37:37" x14ac:dyDescent="0.2">
      <c r="AK2943" s="725">
        <f t="shared" si="60"/>
        <v>0</v>
      </c>
    </row>
    <row r="2944" spans="37:37" x14ac:dyDescent="0.2">
      <c r="AK2944" s="725">
        <f t="shared" si="60"/>
        <v>0</v>
      </c>
    </row>
    <row r="2945" spans="37:37" x14ac:dyDescent="0.2">
      <c r="AK2945" s="725">
        <f t="shared" si="60"/>
        <v>0</v>
      </c>
    </row>
    <row r="2946" spans="37:37" x14ac:dyDescent="0.2">
      <c r="AK2946" s="725">
        <f t="shared" si="60"/>
        <v>0</v>
      </c>
    </row>
    <row r="2947" spans="37:37" x14ac:dyDescent="0.2">
      <c r="AK2947" s="725">
        <f t="shared" si="60"/>
        <v>0</v>
      </c>
    </row>
    <row r="2948" spans="37:37" x14ac:dyDescent="0.2">
      <c r="AK2948" s="725">
        <f t="shared" si="60"/>
        <v>0</v>
      </c>
    </row>
    <row r="2949" spans="37:37" x14ac:dyDescent="0.2">
      <c r="AK2949" s="725">
        <f t="shared" si="60"/>
        <v>0</v>
      </c>
    </row>
    <row r="2950" spans="37:37" x14ac:dyDescent="0.2">
      <c r="AK2950" s="725">
        <f t="shared" si="60"/>
        <v>0</v>
      </c>
    </row>
    <row r="2951" spans="37:37" x14ac:dyDescent="0.2">
      <c r="AK2951" s="725">
        <f t="shared" si="60"/>
        <v>0</v>
      </c>
    </row>
    <row r="2952" spans="37:37" x14ac:dyDescent="0.2">
      <c r="AK2952" s="725">
        <f t="shared" si="60"/>
        <v>0</v>
      </c>
    </row>
    <row r="2953" spans="37:37" x14ac:dyDescent="0.2">
      <c r="AK2953" s="725">
        <f t="shared" si="60"/>
        <v>0</v>
      </c>
    </row>
    <row r="2954" spans="37:37" x14ac:dyDescent="0.2">
      <c r="AK2954" s="725">
        <f t="shared" si="60"/>
        <v>0</v>
      </c>
    </row>
    <row r="2955" spans="37:37" x14ac:dyDescent="0.2">
      <c r="AK2955" s="725">
        <f t="shared" si="60"/>
        <v>0</v>
      </c>
    </row>
    <row r="2956" spans="37:37" x14ac:dyDescent="0.2">
      <c r="AK2956" s="725">
        <f t="shared" si="60"/>
        <v>0</v>
      </c>
    </row>
    <row r="2957" spans="37:37" x14ac:dyDescent="0.2">
      <c r="AK2957" s="725">
        <f t="shared" si="60"/>
        <v>0</v>
      </c>
    </row>
    <row r="2958" spans="37:37" x14ac:dyDescent="0.2">
      <c r="AK2958" s="725">
        <f t="shared" si="60"/>
        <v>0</v>
      </c>
    </row>
    <row r="2959" spans="37:37" x14ac:dyDescent="0.2">
      <c r="AK2959" s="725">
        <f t="shared" si="60"/>
        <v>0</v>
      </c>
    </row>
    <row r="2960" spans="37:37" x14ac:dyDescent="0.2">
      <c r="AK2960" s="725">
        <f t="shared" si="60"/>
        <v>0</v>
      </c>
    </row>
    <row r="2961" spans="37:37" x14ac:dyDescent="0.2">
      <c r="AK2961" s="725">
        <f t="shared" si="60"/>
        <v>0</v>
      </c>
    </row>
    <row r="2962" spans="37:37" x14ac:dyDescent="0.2">
      <c r="AK2962" s="725">
        <f t="shared" si="60"/>
        <v>0</v>
      </c>
    </row>
    <row r="2963" spans="37:37" x14ac:dyDescent="0.2">
      <c r="AK2963" s="725">
        <f t="shared" si="60"/>
        <v>0</v>
      </c>
    </row>
    <row r="2964" spans="37:37" x14ac:dyDescent="0.2">
      <c r="AK2964" s="725">
        <f t="shared" si="60"/>
        <v>0</v>
      </c>
    </row>
    <row r="2965" spans="37:37" x14ac:dyDescent="0.2">
      <c r="AK2965" s="725">
        <f t="shared" si="60"/>
        <v>0</v>
      </c>
    </row>
    <row r="2966" spans="37:37" x14ac:dyDescent="0.2">
      <c r="AK2966" s="725">
        <f t="shared" si="60"/>
        <v>0</v>
      </c>
    </row>
    <row r="2967" spans="37:37" x14ac:dyDescent="0.2">
      <c r="AK2967" s="725">
        <f t="shared" si="60"/>
        <v>0</v>
      </c>
    </row>
    <row r="2968" spans="37:37" x14ac:dyDescent="0.2">
      <c r="AK2968" s="725">
        <f t="shared" ref="AK2968:AK3031" si="61">SUM(O2968:AJ2968)</f>
        <v>0</v>
      </c>
    </row>
    <row r="2969" spans="37:37" x14ac:dyDescent="0.2">
      <c r="AK2969" s="725">
        <f t="shared" si="61"/>
        <v>0</v>
      </c>
    </row>
    <row r="2970" spans="37:37" x14ac:dyDescent="0.2">
      <c r="AK2970" s="725">
        <f t="shared" si="61"/>
        <v>0</v>
      </c>
    </row>
    <row r="2971" spans="37:37" x14ac:dyDescent="0.2">
      <c r="AK2971" s="725">
        <f t="shared" si="61"/>
        <v>0</v>
      </c>
    </row>
    <row r="2972" spans="37:37" x14ac:dyDescent="0.2">
      <c r="AK2972" s="725">
        <f t="shared" si="61"/>
        <v>0</v>
      </c>
    </row>
    <row r="2973" spans="37:37" x14ac:dyDescent="0.2">
      <c r="AK2973" s="725">
        <f t="shared" si="61"/>
        <v>0</v>
      </c>
    </row>
    <row r="2974" spans="37:37" x14ac:dyDescent="0.2">
      <c r="AK2974" s="725">
        <f t="shared" si="61"/>
        <v>0</v>
      </c>
    </row>
    <row r="2975" spans="37:37" x14ac:dyDescent="0.2">
      <c r="AK2975" s="725">
        <f t="shared" si="61"/>
        <v>0</v>
      </c>
    </row>
    <row r="2976" spans="37:37" x14ac:dyDescent="0.2">
      <c r="AK2976" s="725">
        <f t="shared" si="61"/>
        <v>0</v>
      </c>
    </row>
    <row r="2977" spans="37:37" x14ac:dyDescent="0.2">
      <c r="AK2977" s="725">
        <f t="shared" si="61"/>
        <v>0</v>
      </c>
    </row>
    <row r="2978" spans="37:37" x14ac:dyDescent="0.2">
      <c r="AK2978" s="725">
        <f t="shared" si="61"/>
        <v>0</v>
      </c>
    </row>
    <row r="2979" spans="37:37" x14ac:dyDescent="0.2">
      <c r="AK2979" s="725">
        <f t="shared" si="61"/>
        <v>0</v>
      </c>
    </row>
    <row r="2980" spans="37:37" x14ac:dyDescent="0.2">
      <c r="AK2980" s="725">
        <f t="shared" si="61"/>
        <v>0</v>
      </c>
    </row>
    <row r="2981" spans="37:37" x14ac:dyDescent="0.2">
      <c r="AK2981" s="725">
        <f t="shared" si="61"/>
        <v>0</v>
      </c>
    </row>
    <row r="2982" spans="37:37" x14ac:dyDescent="0.2">
      <c r="AK2982" s="725">
        <f t="shared" si="61"/>
        <v>0</v>
      </c>
    </row>
    <row r="2983" spans="37:37" x14ac:dyDescent="0.2">
      <c r="AK2983" s="725">
        <f t="shared" si="61"/>
        <v>0</v>
      </c>
    </row>
    <row r="2984" spans="37:37" x14ac:dyDescent="0.2">
      <c r="AK2984" s="725">
        <f t="shared" si="61"/>
        <v>0</v>
      </c>
    </row>
    <row r="2985" spans="37:37" x14ac:dyDescent="0.2">
      <c r="AK2985" s="725">
        <f t="shared" si="61"/>
        <v>0</v>
      </c>
    </row>
    <row r="2986" spans="37:37" x14ac:dyDescent="0.2">
      <c r="AK2986" s="725">
        <f t="shared" si="61"/>
        <v>0</v>
      </c>
    </row>
    <row r="2987" spans="37:37" x14ac:dyDescent="0.2">
      <c r="AK2987" s="725">
        <f t="shared" si="61"/>
        <v>0</v>
      </c>
    </row>
    <row r="2988" spans="37:37" x14ac:dyDescent="0.2">
      <c r="AK2988" s="725">
        <f t="shared" si="61"/>
        <v>0</v>
      </c>
    </row>
    <row r="2989" spans="37:37" x14ac:dyDescent="0.2">
      <c r="AK2989" s="725">
        <f t="shared" si="61"/>
        <v>0</v>
      </c>
    </row>
    <row r="2990" spans="37:37" x14ac:dyDescent="0.2">
      <c r="AK2990" s="725">
        <f t="shared" si="61"/>
        <v>0</v>
      </c>
    </row>
    <row r="2991" spans="37:37" x14ac:dyDescent="0.2">
      <c r="AK2991" s="725">
        <f t="shared" si="61"/>
        <v>0</v>
      </c>
    </row>
    <row r="2992" spans="37:37" x14ac:dyDescent="0.2">
      <c r="AK2992" s="725">
        <f t="shared" si="61"/>
        <v>0</v>
      </c>
    </row>
    <row r="2993" spans="37:37" x14ac:dyDescent="0.2">
      <c r="AK2993" s="725">
        <f t="shared" si="61"/>
        <v>0</v>
      </c>
    </row>
    <row r="2994" spans="37:37" x14ac:dyDescent="0.2">
      <c r="AK2994" s="725">
        <f t="shared" si="61"/>
        <v>0</v>
      </c>
    </row>
    <row r="2995" spans="37:37" x14ac:dyDescent="0.2">
      <c r="AK2995" s="725">
        <f t="shared" si="61"/>
        <v>0</v>
      </c>
    </row>
    <row r="2996" spans="37:37" x14ac:dyDescent="0.2">
      <c r="AK2996" s="725">
        <f t="shared" si="61"/>
        <v>0</v>
      </c>
    </row>
    <row r="2997" spans="37:37" x14ac:dyDescent="0.2">
      <c r="AK2997" s="725">
        <f t="shared" si="61"/>
        <v>0</v>
      </c>
    </row>
    <row r="2998" spans="37:37" x14ac:dyDescent="0.2">
      <c r="AK2998" s="725">
        <f t="shared" si="61"/>
        <v>0</v>
      </c>
    </row>
    <row r="2999" spans="37:37" x14ac:dyDescent="0.2">
      <c r="AK2999" s="725">
        <f t="shared" si="61"/>
        <v>0</v>
      </c>
    </row>
    <row r="3000" spans="37:37" x14ac:dyDescent="0.2">
      <c r="AK3000" s="725">
        <f t="shared" si="61"/>
        <v>0</v>
      </c>
    </row>
    <row r="3001" spans="37:37" x14ac:dyDescent="0.2">
      <c r="AK3001" s="725">
        <f t="shared" si="61"/>
        <v>0</v>
      </c>
    </row>
    <row r="3002" spans="37:37" x14ac:dyDescent="0.2">
      <c r="AK3002" s="725">
        <f t="shared" si="61"/>
        <v>0</v>
      </c>
    </row>
    <row r="3003" spans="37:37" x14ac:dyDescent="0.2">
      <c r="AK3003" s="725">
        <f t="shared" si="61"/>
        <v>0</v>
      </c>
    </row>
    <row r="3004" spans="37:37" x14ac:dyDescent="0.2">
      <c r="AK3004" s="725">
        <f t="shared" si="61"/>
        <v>0</v>
      </c>
    </row>
    <row r="3005" spans="37:37" x14ac:dyDescent="0.2">
      <c r="AK3005" s="725">
        <f t="shared" si="61"/>
        <v>0</v>
      </c>
    </row>
    <row r="3006" spans="37:37" x14ac:dyDescent="0.2">
      <c r="AK3006" s="725">
        <f t="shared" si="61"/>
        <v>0</v>
      </c>
    </row>
    <row r="3007" spans="37:37" x14ac:dyDescent="0.2">
      <c r="AK3007" s="725">
        <f t="shared" si="61"/>
        <v>0</v>
      </c>
    </row>
    <row r="3008" spans="37:37" x14ac:dyDescent="0.2">
      <c r="AK3008" s="725">
        <f t="shared" si="61"/>
        <v>0</v>
      </c>
    </row>
    <row r="3009" spans="37:37" x14ac:dyDescent="0.2">
      <c r="AK3009" s="725">
        <f t="shared" si="61"/>
        <v>0</v>
      </c>
    </row>
    <row r="3010" spans="37:37" x14ac:dyDescent="0.2">
      <c r="AK3010" s="725">
        <f t="shared" si="61"/>
        <v>0</v>
      </c>
    </row>
    <row r="3011" spans="37:37" x14ac:dyDescent="0.2">
      <c r="AK3011" s="725">
        <f t="shared" si="61"/>
        <v>0</v>
      </c>
    </row>
    <row r="3012" spans="37:37" x14ac:dyDescent="0.2">
      <c r="AK3012" s="725">
        <f t="shared" si="61"/>
        <v>0</v>
      </c>
    </row>
    <row r="3013" spans="37:37" x14ac:dyDescent="0.2">
      <c r="AK3013" s="725">
        <f t="shared" si="61"/>
        <v>0</v>
      </c>
    </row>
    <row r="3014" spans="37:37" x14ac:dyDescent="0.2">
      <c r="AK3014" s="725">
        <f t="shared" si="61"/>
        <v>0</v>
      </c>
    </row>
    <row r="3015" spans="37:37" x14ac:dyDescent="0.2">
      <c r="AK3015" s="725">
        <f t="shared" si="61"/>
        <v>0</v>
      </c>
    </row>
    <row r="3016" spans="37:37" x14ac:dyDescent="0.2">
      <c r="AK3016" s="725">
        <f t="shared" si="61"/>
        <v>0</v>
      </c>
    </row>
    <row r="3017" spans="37:37" x14ac:dyDescent="0.2">
      <c r="AK3017" s="725">
        <f t="shared" si="61"/>
        <v>0</v>
      </c>
    </row>
    <row r="3018" spans="37:37" x14ac:dyDescent="0.2">
      <c r="AK3018" s="725">
        <f t="shared" si="61"/>
        <v>0</v>
      </c>
    </row>
    <row r="3019" spans="37:37" x14ac:dyDescent="0.2">
      <c r="AK3019" s="725">
        <f t="shared" si="61"/>
        <v>0</v>
      </c>
    </row>
    <row r="3020" spans="37:37" x14ac:dyDescent="0.2">
      <c r="AK3020" s="725">
        <f t="shared" si="61"/>
        <v>0</v>
      </c>
    </row>
    <row r="3021" spans="37:37" x14ac:dyDescent="0.2">
      <c r="AK3021" s="725">
        <f t="shared" si="61"/>
        <v>0</v>
      </c>
    </row>
    <row r="3022" spans="37:37" x14ac:dyDescent="0.2">
      <c r="AK3022" s="725">
        <f t="shared" si="61"/>
        <v>0</v>
      </c>
    </row>
    <row r="3023" spans="37:37" x14ac:dyDescent="0.2">
      <c r="AK3023" s="725">
        <f t="shared" si="61"/>
        <v>0</v>
      </c>
    </row>
    <row r="3024" spans="37:37" x14ac:dyDescent="0.2">
      <c r="AK3024" s="725">
        <f t="shared" si="61"/>
        <v>0</v>
      </c>
    </row>
    <row r="3025" spans="37:37" x14ac:dyDescent="0.2">
      <c r="AK3025" s="725">
        <f t="shared" si="61"/>
        <v>0</v>
      </c>
    </row>
    <row r="3026" spans="37:37" x14ac:dyDescent="0.2">
      <c r="AK3026" s="725">
        <f t="shared" si="61"/>
        <v>0</v>
      </c>
    </row>
    <row r="3027" spans="37:37" x14ac:dyDescent="0.2">
      <c r="AK3027" s="725">
        <f t="shared" si="61"/>
        <v>0</v>
      </c>
    </row>
    <row r="3028" spans="37:37" x14ac:dyDescent="0.2">
      <c r="AK3028" s="725">
        <f t="shared" si="61"/>
        <v>0</v>
      </c>
    </row>
    <row r="3029" spans="37:37" x14ac:dyDescent="0.2">
      <c r="AK3029" s="725">
        <f t="shared" si="61"/>
        <v>0</v>
      </c>
    </row>
    <row r="3030" spans="37:37" x14ac:dyDescent="0.2">
      <c r="AK3030" s="725">
        <f t="shared" si="61"/>
        <v>0</v>
      </c>
    </row>
    <row r="3031" spans="37:37" x14ac:dyDescent="0.2">
      <c r="AK3031" s="725">
        <f t="shared" si="61"/>
        <v>0</v>
      </c>
    </row>
    <row r="3032" spans="37:37" x14ac:dyDescent="0.2">
      <c r="AK3032" s="725">
        <f t="shared" ref="AK3032:AK3095" si="62">SUM(O3032:AJ3032)</f>
        <v>0</v>
      </c>
    </row>
    <row r="3033" spans="37:37" x14ac:dyDescent="0.2">
      <c r="AK3033" s="725">
        <f t="shared" si="62"/>
        <v>0</v>
      </c>
    </row>
    <row r="3034" spans="37:37" x14ac:dyDescent="0.2">
      <c r="AK3034" s="725">
        <f t="shared" si="62"/>
        <v>0</v>
      </c>
    </row>
    <row r="3035" spans="37:37" x14ac:dyDescent="0.2">
      <c r="AK3035" s="725">
        <f t="shared" si="62"/>
        <v>0</v>
      </c>
    </row>
    <row r="3036" spans="37:37" x14ac:dyDescent="0.2">
      <c r="AK3036" s="725">
        <f t="shared" si="62"/>
        <v>0</v>
      </c>
    </row>
    <row r="3037" spans="37:37" x14ac:dyDescent="0.2">
      <c r="AK3037" s="725">
        <f t="shared" si="62"/>
        <v>0</v>
      </c>
    </row>
    <row r="3038" spans="37:37" x14ac:dyDescent="0.2">
      <c r="AK3038" s="725">
        <f t="shared" si="62"/>
        <v>0</v>
      </c>
    </row>
    <row r="3039" spans="37:37" x14ac:dyDescent="0.2">
      <c r="AK3039" s="725">
        <f t="shared" si="62"/>
        <v>0</v>
      </c>
    </row>
    <row r="3040" spans="37:37" x14ac:dyDescent="0.2">
      <c r="AK3040" s="725">
        <f t="shared" si="62"/>
        <v>0</v>
      </c>
    </row>
    <row r="3041" spans="37:37" x14ac:dyDescent="0.2">
      <c r="AK3041" s="725">
        <f t="shared" si="62"/>
        <v>0</v>
      </c>
    </row>
    <row r="3042" spans="37:37" x14ac:dyDescent="0.2">
      <c r="AK3042" s="725">
        <f t="shared" si="62"/>
        <v>0</v>
      </c>
    </row>
    <row r="3043" spans="37:37" x14ac:dyDescent="0.2">
      <c r="AK3043" s="725">
        <f t="shared" si="62"/>
        <v>0</v>
      </c>
    </row>
    <row r="3044" spans="37:37" x14ac:dyDescent="0.2">
      <c r="AK3044" s="725">
        <f t="shared" si="62"/>
        <v>0</v>
      </c>
    </row>
    <row r="3045" spans="37:37" x14ac:dyDescent="0.2">
      <c r="AK3045" s="725">
        <f t="shared" si="62"/>
        <v>0</v>
      </c>
    </row>
    <row r="3046" spans="37:37" x14ac:dyDescent="0.2">
      <c r="AK3046" s="725">
        <f t="shared" si="62"/>
        <v>0</v>
      </c>
    </row>
    <row r="3047" spans="37:37" x14ac:dyDescent="0.2">
      <c r="AK3047" s="725">
        <f t="shared" si="62"/>
        <v>0</v>
      </c>
    </row>
    <row r="3048" spans="37:37" x14ac:dyDescent="0.2">
      <c r="AK3048" s="725">
        <f t="shared" si="62"/>
        <v>0</v>
      </c>
    </row>
    <row r="3049" spans="37:37" x14ac:dyDescent="0.2">
      <c r="AK3049" s="725">
        <f t="shared" si="62"/>
        <v>0</v>
      </c>
    </row>
    <row r="3050" spans="37:37" x14ac:dyDescent="0.2">
      <c r="AK3050" s="725">
        <f t="shared" si="62"/>
        <v>0</v>
      </c>
    </row>
    <row r="3051" spans="37:37" x14ac:dyDescent="0.2">
      <c r="AK3051" s="725">
        <f t="shared" si="62"/>
        <v>0</v>
      </c>
    </row>
    <row r="3052" spans="37:37" x14ac:dyDescent="0.2">
      <c r="AK3052" s="725">
        <f t="shared" si="62"/>
        <v>0</v>
      </c>
    </row>
    <row r="3053" spans="37:37" x14ac:dyDescent="0.2">
      <c r="AK3053" s="725">
        <f t="shared" si="62"/>
        <v>0</v>
      </c>
    </row>
    <row r="3054" spans="37:37" x14ac:dyDescent="0.2">
      <c r="AK3054" s="725">
        <f t="shared" si="62"/>
        <v>0</v>
      </c>
    </row>
    <row r="3055" spans="37:37" x14ac:dyDescent="0.2">
      <c r="AK3055" s="725">
        <f t="shared" si="62"/>
        <v>0</v>
      </c>
    </row>
    <row r="3056" spans="37:37" x14ac:dyDescent="0.2">
      <c r="AK3056" s="725">
        <f t="shared" si="62"/>
        <v>0</v>
      </c>
    </row>
    <row r="3057" spans="37:37" x14ac:dyDescent="0.2">
      <c r="AK3057" s="725">
        <f t="shared" si="62"/>
        <v>0</v>
      </c>
    </row>
    <row r="3058" spans="37:37" x14ac:dyDescent="0.2">
      <c r="AK3058" s="725">
        <f t="shared" si="62"/>
        <v>0</v>
      </c>
    </row>
    <row r="3059" spans="37:37" x14ac:dyDescent="0.2">
      <c r="AK3059" s="725">
        <f t="shared" si="62"/>
        <v>0</v>
      </c>
    </row>
    <row r="3060" spans="37:37" x14ac:dyDescent="0.2">
      <c r="AK3060" s="725">
        <f t="shared" si="62"/>
        <v>0</v>
      </c>
    </row>
    <row r="3061" spans="37:37" x14ac:dyDescent="0.2">
      <c r="AK3061" s="725">
        <f t="shared" si="62"/>
        <v>0</v>
      </c>
    </row>
    <row r="3062" spans="37:37" x14ac:dyDescent="0.2">
      <c r="AK3062" s="725">
        <f t="shared" si="62"/>
        <v>0</v>
      </c>
    </row>
    <row r="3063" spans="37:37" x14ac:dyDescent="0.2">
      <c r="AK3063" s="725">
        <f t="shared" si="62"/>
        <v>0</v>
      </c>
    </row>
    <row r="3064" spans="37:37" x14ac:dyDescent="0.2">
      <c r="AK3064" s="725">
        <f t="shared" si="62"/>
        <v>0</v>
      </c>
    </row>
    <row r="3065" spans="37:37" x14ac:dyDescent="0.2">
      <c r="AK3065" s="725">
        <f t="shared" si="62"/>
        <v>0</v>
      </c>
    </row>
    <row r="3066" spans="37:37" x14ac:dyDescent="0.2">
      <c r="AK3066" s="725">
        <f t="shared" si="62"/>
        <v>0</v>
      </c>
    </row>
    <row r="3067" spans="37:37" x14ac:dyDescent="0.2">
      <c r="AK3067" s="725">
        <f t="shared" si="62"/>
        <v>0</v>
      </c>
    </row>
    <row r="3068" spans="37:37" x14ac:dyDescent="0.2">
      <c r="AK3068" s="725">
        <f t="shared" si="62"/>
        <v>0</v>
      </c>
    </row>
    <row r="3069" spans="37:37" x14ac:dyDescent="0.2">
      <c r="AK3069" s="725">
        <f t="shared" si="62"/>
        <v>0</v>
      </c>
    </row>
    <row r="3070" spans="37:37" x14ac:dyDescent="0.2">
      <c r="AK3070" s="725">
        <f t="shared" si="62"/>
        <v>0</v>
      </c>
    </row>
    <row r="3071" spans="37:37" x14ac:dyDescent="0.2">
      <c r="AK3071" s="725">
        <f t="shared" si="62"/>
        <v>0</v>
      </c>
    </row>
    <row r="3072" spans="37:37" x14ac:dyDescent="0.2">
      <c r="AK3072" s="725">
        <f t="shared" si="62"/>
        <v>0</v>
      </c>
    </row>
    <row r="3073" spans="37:37" x14ac:dyDescent="0.2">
      <c r="AK3073" s="725">
        <f t="shared" si="62"/>
        <v>0</v>
      </c>
    </row>
    <row r="3074" spans="37:37" x14ac:dyDescent="0.2">
      <c r="AK3074" s="725">
        <f t="shared" si="62"/>
        <v>0</v>
      </c>
    </row>
    <row r="3075" spans="37:37" x14ac:dyDescent="0.2">
      <c r="AK3075" s="725">
        <f t="shared" si="62"/>
        <v>0</v>
      </c>
    </row>
    <row r="3076" spans="37:37" x14ac:dyDescent="0.2">
      <c r="AK3076" s="725">
        <f t="shared" si="62"/>
        <v>0</v>
      </c>
    </row>
    <row r="3077" spans="37:37" x14ac:dyDescent="0.2">
      <c r="AK3077" s="725">
        <f t="shared" si="62"/>
        <v>0</v>
      </c>
    </row>
    <row r="3078" spans="37:37" x14ac:dyDescent="0.2">
      <c r="AK3078" s="725">
        <f t="shared" si="62"/>
        <v>0</v>
      </c>
    </row>
    <row r="3079" spans="37:37" x14ac:dyDescent="0.2">
      <c r="AK3079" s="725">
        <f t="shared" si="62"/>
        <v>0</v>
      </c>
    </row>
    <row r="3080" spans="37:37" x14ac:dyDescent="0.2">
      <c r="AK3080" s="725">
        <f t="shared" si="62"/>
        <v>0</v>
      </c>
    </row>
    <row r="3081" spans="37:37" x14ac:dyDescent="0.2">
      <c r="AK3081" s="725">
        <f t="shared" si="62"/>
        <v>0</v>
      </c>
    </row>
    <row r="3082" spans="37:37" x14ac:dyDescent="0.2">
      <c r="AK3082" s="725">
        <f t="shared" si="62"/>
        <v>0</v>
      </c>
    </row>
    <row r="3083" spans="37:37" x14ac:dyDescent="0.2">
      <c r="AK3083" s="725">
        <f t="shared" si="62"/>
        <v>0</v>
      </c>
    </row>
    <row r="3084" spans="37:37" x14ac:dyDescent="0.2">
      <c r="AK3084" s="725">
        <f t="shared" si="62"/>
        <v>0</v>
      </c>
    </row>
    <row r="3085" spans="37:37" x14ac:dyDescent="0.2">
      <c r="AK3085" s="725">
        <f t="shared" si="62"/>
        <v>0</v>
      </c>
    </row>
    <row r="3086" spans="37:37" x14ac:dyDescent="0.2">
      <c r="AK3086" s="725">
        <f t="shared" si="62"/>
        <v>0</v>
      </c>
    </row>
    <row r="3087" spans="37:37" x14ac:dyDescent="0.2">
      <c r="AK3087" s="725">
        <f t="shared" si="62"/>
        <v>0</v>
      </c>
    </row>
    <row r="3088" spans="37:37" x14ac:dyDescent="0.2">
      <c r="AK3088" s="725">
        <f t="shared" si="62"/>
        <v>0</v>
      </c>
    </row>
    <row r="3089" spans="37:37" x14ac:dyDescent="0.2">
      <c r="AK3089" s="725">
        <f t="shared" si="62"/>
        <v>0</v>
      </c>
    </row>
    <row r="3090" spans="37:37" x14ac:dyDescent="0.2">
      <c r="AK3090" s="725">
        <f t="shared" si="62"/>
        <v>0</v>
      </c>
    </row>
    <row r="3091" spans="37:37" x14ac:dyDescent="0.2">
      <c r="AK3091" s="725">
        <f t="shared" si="62"/>
        <v>0</v>
      </c>
    </row>
    <row r="3092" spans="37:37" x14ac:dyDescent="0.2">
      <c r="AK3092" s="725">
        <f t="shared" si="62"/>
        <v>0</v>
      </c>
    </row>
    <row r="3093" spans="37:37" x14ac:dyDescent="0.2">
      <c r="AK3093" s="725">
        <f t="shared" si="62"/>
        <v>0</v>
      </c>
    </row>
    <row r="3094" spans="37:37" x14ac:dyDescent="0.2">
      <c r="AK3094" s="725">
        <f t="shared" si="62"/>
        <v>0</v>
      </c>
    </row>
    <row r="3095" spans="37:37" x14ac:dyDescent="0.2">
      <c r="AK3095" s="725">
        <f t="shared" si="62"/>
        <v>0</v>
      </c>
    </row>
    <row r="3096" spans="37:37" x14ac:dyDescent="0.2">
      <c r="AK3096" s="725">
        <f t="shared" ref="AK3096:AK3159" si="63">SUM(O3096:AJ3096)</f>
        <v>0</v>
      </c>
    </row>
    <row r="3097" spans="37:37" x14ac:dyDescent="0.2">
      <c r="AK3097" s="725">
        <f t="shared" si="63"/>
        <v>0</v>
      </c>
    </row>
    <row r="3098" spans="37:37" x14ac:dyDescent="0.2">
      <c r="AK3098" s="725">
        <f t="shared" si="63"/>
        <v>0</v>
      </c>
    </row>
    <row r="3099" spans="37:37" x14ac:dyDescent="0.2">
      <c r="AK3099" s="725">
        <f t="shared" si="63"/>
        <v>0</v>
      </c>
    </row>
    <row r="3100" spans="37:37" x14ac:dyDescent="0.2">
      <c r="AK3100" s="725">
        <f t="shared" si="63"/>
        <v>0</v>
      </c>
    </row>
    <row r="3101" spans="37:37" x14ac:dyDescent="0.2">
      <c r="AK3101" s="725">
        <f t="shared" si="63"/>
        <v>0</v>
      </c>
    </row>
    <row r="3102" spans="37:37" x14ac:dyDescent="0.2">
      <c r="AK3102" s="725">
        <f t="shared" si="63"/>
        <v>0</v>
      </c>
    </row>
    <row r="3103" spans="37:37" x14ac:dyDescent="0.2">
      <c r="AK3103" s="725">
        <f t="shared" si="63"/>
        <v>0</v>
      </c>
    </row>
    <row r="3104" spans="37:37" x14ac:dyDescent="0.2">
      <c r="AK3104" s="725">
        <f t="shared" si="63"/>
        <v>0</v>
      </c>
    </row>
    <row r="3105" spans="37:37" x14ac:dyDescent="0.2">
      <c r="AK3105" s="725">
        <f t="shared" si="63"/>
        <v>0</v>
      </c>
    </row>
    <row r="3106" spans="37:37" x14ac:dyDescent="0.2">
      <c r="AK3106" s="725">
        <f t="shared" si="63"/>
        <v>0</v>
      </c>
    </row>
    <row r="3107" spans="37:37" x14ac:dyDescent="0.2">
      <c r="AK3107" s="725">
        <f t="shared" si="63"/>
        <v>0</v>
      </c>
    </row>
    <row r="3108" spans="37:37" x14ac:dyDescent="0.2">
      <c r="AK3108" s="725">
        <f t="shared" si="63"/>
        <v>0</v>
      </c>
    </row>
    <row r="3109" spans="37:37" x14ac:dyDescent="0.2">
      <c r="AK3109" s="725">
        <f t="shared" si="63"/>
        <v>0</v>
      </c>
    </row>
    <row r="3110" spans="37:37" x14ac:dyDescent="0.2">
      <c r="AK3110" s="725">
        <f t="shared" si="63"/>
        <v>0</v>
      </c>
    </row>
    <row r="3111" spans="37:37" x14ac:dyDescent="0.2">
      <c r="AK3111" s="725">
        <f t="shared" si="63"/>
        <v>0</v>
      </c>
    </row>
    <row r="3112" spans="37:37" x14ac:dyDescent="0.2">
      <c r="AK3112" s="725">
        <f t="shared" si="63"/>
        <v>0</v>
      </c>
    </row>
    <row r="3113" spans="37:37" x14ac:dyDescent="0.2">
      <c r="AK3113" s="725">
        <f t="shared" si="63"/>
        <v>0</v>
      </c>
    </row>
    <row r="3114" spans="37:37" x14ac:dyDescent="0.2">
      <c r="AK3114" s="725">
        <f t="shared" si="63"/>
        <v>0</v>
      </c>
    </row>
    <row r="3115" spans="37:37" x14ac:dyDescent="0.2">
      <c r="AK3115" s="725">
        <f t="shared" si="63"/>
        <v>0</v>
      </c>
    </row>
    <row r="3116" spans="37:37" x14ac:dyDescent="0.2">
      <c r="AK3116" s="725">
        <f t="shared" si="63"/>
        <v>0</v>
      </c>
    </row>
    <row r="3117" spans="37:37" x14ac:dyDescent="0.2">
      <c r="AK3117" s="725">
        <f t="shared" si="63"/>
        <v>0</v>
      </c>
    </row>
    <row r="3118" spans="37:37" x14ac:dyDescent="0.2">
      <c r="AK3118" s="725">
        <f t="shared" si="63"/>
        <v>0</v>
      </c>
    </row>
    <row r="3119" spans="37:37" x14ac:dyDescent="0.2">
      <c r="AK3119" s="725">
        <f t="shared" si="63"/>
        <v>0</v>
      </c>
    </row>
    <row r="3120" spans="37:37" x14ac:dyDescent="0.2">
      <c r="AK3120" s="725">
        <f t="shared" si="63"/>
        <v>0</v>
      </c>
    </row>
    <row r="3121" spans="37:37" x14ac:dyDescent="0.2">
      <c r="AK3121" s="725">
        <f t="shared" si="63"/>
        <v>0</v>
      </c>
    </row>
    <row r="3122" spans="37:37" x14ac:dyDescent="0.2">
      <c r="AK3122" s="725">
        <f t="shared" si="63"/>
        <v>0</v>
      </c>
    </row>
    <row r="3123" spans="37:37" x14ac:dyDescent="0.2">
      <c r="AK3123" s="725">
        <f t="shared" si="63"/>
        <v>0</v>
      </c>
    </row>
    <row r="3124" spans="37:37" x14ac:dyDescent="0.2">
      <c r="AK3124" s="725">
        <f t="shared" si="63"/>
        <v>0</v>
      </c>
    </row>
    <row r="3125" spans="37:37" x14ac:dyDescent="0.2">
      <c r="AK3125" s="725">
        <f t="shared" si="63"/>
        <v>0</v>
      </c>
    </row>
    <row r="3126" spans="37:37" x14ac:dyDescent="0.2">
      <c r="AK3126" s="725">
        <f t="shared" si="63"/>
        <v>0</v>
      </c>
    </row>
    <row r="3127" spans="37:37" x14ac:dyDescent="0.2">
      <c r="AK3127" s="725">
        <f t="shared" si="63"/>
        <v>0</v>
      </c>
    </row>
    <row r="3128" spans="37:37" x14ac:dyDescent="0.2">
      <c r="AK3128" s="725">
        <f t="shared" si="63"/>
        <v>0</v>
      </c>
    </row>
    <row r="3129" spans="37:37" x14ac:dyDescent="0.2">
      <c r="AK3129" s="725">
        <f t="shared" si="63"/>
        <v>0</v>
      </c>
    </row>
    <row r="3130" spans="37:37" x14ac:dyDescent="0.2">
      <c r="AK3130" s="725">
        <f t="shared" si="63"/>
        <v>0</v>
      </c>
    </row>
    <row r="3131" spans="37:37" x14ac:dyDescent="0.2">
      <c r="AK3131" s="725">
        <f t="shared" si="63"/>
        <v>0</v>
      </c>
    </row>
    <row r="3132" spans="37:37" x14ac:dyDescent="0.2">
      <c r="AK3132" s="725">
        <f t="shared" si="63"/>
        <v>0</v>
      </c>
    </row>
    <row r="3133" spans="37:37" x14ac:dyDescent="0.2">
      <c r="AK3133" s="725">
        <f t="shared" si="63"/>
        <v>0</v>
      </c>
    </row>
    <row r="3134" spans="37:37" x14ac:dyDescent="0.2">
      <c r="AK3134" s="725">
        <f t="shared" si="63"/>
        <v>0</v>
      </c>
    </row>
    <row r="3135" spans="37:37" x14ac:dyDescent="0.2">
      <c r="AK3135" s="725">
        <f t="shared" si="63"/>
        <v>0</v>
      </c>
    </row>
    <row r="3136" spans="37:37" x14ac:dyDescent="0.2">
      <c r="AK3136" s="725">
        <f t="shared" si="63"/>
        <v>0</v>
      </c>
    </row>
    <row r="3137" spans="37:37" x14ac:dyDescent="0.2">
      <c r="AK3137" s="725">
        <f t="shared" si="63"/>
        <v>0</v>
      </c>
    </row>
    <row r="3138" spans="37:37" x14ac:dyDescent="0.2">
      <c r="AK3138" s="725">
        <f t="shared" si="63"/>
        <v>0</v>
      </c>
    </row>
    <row r="3139" spans="37:37" x14ac:dyDescent="0.2">
      <c r="AK3139" s="725">
        <f t="shared" si="63"/>
        <v>0</v>
      </c>
    </row>
    <row r="3140" spans="37:37" x14ac:dyDescent="0.2">
      <c r="AK3140" s="725">
        <f t="shared" si="63"/>
        <v>0</v>
      </c>
    </row>
    <row r="3141" spans="37:37" x14ac:dyDescent="0.2">
      <c r="AK3141" s="725">
        <f t="shared" si="63"/>
        <v>0</v>
      </c>
    </row>
    <row r="3142" spans="37:37" x14ac:dyDescent="0.2">
      <c r="AK3142" s="725">
        <f t="shared" si="63"/>
        <v>0</v>
      </c>
    </row>
    <row r="3143" spans="37:37" x14ac:dyDescent="0.2">
      <c r="AK3143" s="725">
        <f t="shared" si="63"/>
        <v>0</v>
      </c>
    </row>
    <row r="3144" spans="37:37" x14ac:dyDescent="0.2">
      <c r="AK3144" s="725">
        <f t="shared" si="63"/>
        <v>0</v>
      </c>
    </row>
    <row r="3145" spans="37:37" x14ac:dyDescent="0.2">
      <c r="AK3145" s="725">
        <f t="shared" si="63"/>
        <v>0</v>
      </c>
    </row>
    <row r="3146" spans="37:37" x14ac:dyDescent="0.2">
      <c r="AK3146" s="725">
        <f t="shared" si="63"/>
        <v>0</v>
      </c>
    </row>
    <row r="3147" spans="37:37" x14ac:dyDescent="0.2">
      <c r="AK3147" s="725">
        <f t="shared" si="63"/>
        <v>0</v>
      </c>
    </row>
    <row r="3148" spans="37:37" x14ac:dyDescent="0.2">
      <c r="AK3148" s="725">
        <f t="shared" si="63"/>
        <v>0</v>
      </c>
    </row>
    <row r="3149" spans="37:37" x14ac:dyDescent="0.2">
      <c r="AK3149" s="725">
        <f t="shared" si="63"/>
        <v>0</v>
      </c>
    </row>
    <row r="3150" spans="37:37" x14ac:dyDescent="0.2">
      <c r="AK3150" s="725">
        <f t="shared" si="63"/>
        <v>0</v>
      </c>
    </row>
    <row r="3151" spans="37:37" x14ac:dyDescent="0.2">
      <c r="AK3151" s="725">
        <f t="shared" si="63"/>
        <v>0</v>
      </c>
    </row>
    <row r="3152" spans="37:37" x14ac:dyDescent="0.2">
      <c r="AK3152" s="725">
        <f t="shared" si="63"/>
        <v>0</v>
      </c>
    </row>
    <row r="3153" spans="37:37" x14ac:dyDescent="0.2">
      <c r="AK3153" s="725">
        <f t="shared" si="63"/>
        <v>0</v>
      </c>
    </row>
    <row r="3154" spans="37:37" x14ac:dyDescent="0.2">
      <c r="AK3154" s="725">
        <f t="shared" si="63"/>
        <v>0</v>
      </c>
    </row>
    <row r="3155" spans="37:37" x14ac:dyDescent="0.2">
      <c r="AK3155" s="725">
        <f t="shared" si="63"/>
        <v>0</v>
      </c>
    </row>
    <row r="3156" spans="37:37" x14ac:dyDescent="0.2">
      <c r="AK3156" s="725">
        <f t="shared" si="63"/>
        <v>0</v>
      </c>
    </row>
    <row r="3157" spans="37:37" x14ac:dyDescent="0.2">
      <c r="AK3157" s="725">
        <f t="shared" si="63"/>
        <v>0</v>
      </c>
    </row>
    <row r="3158" spans="37:37" x14ac:dyDescent="0.2">
      <c r="AK3158" s="725">
        <f t="shared" si="63"/>
        <v>0</v>
      </c>
    </row>
    <row r="3159" spans="37:37" x14ac:dyDescent="0.2">
      <c r="AK3159" s="725">
        <f t="shared" si="63"/>
        <v>0</v>
      </c>
    </row>
    <row r="3160" spans="37:37" x14ac:dyDescent="0.2">
      <c r="AK3160" s="725">
        <f t="shared" ref="AK3160:AK3223" si="64">SUM(O3160:AJ3160)</f>
        <v>0</v>
      </c>
    </row>
    <row r="3161" spans="37:37" x14ac:dyDescent="0.2">
      <c r="AK3161" s="725">
        <f t="shared" si="64"/>
        <v>0</v>
      </c>
    </row>
    <row r="3162" spans="37:37" x14ac:dyDescent="0.2">
      <c r="AK3162" s="725">
        <f t="shared" si="64"/>
        <v>0</v>
      </c>
    </row>
    <row r="3163" spans="37:37" x14ac:dyDescent="0.2">
      <c r="AK3163" s="725">
        <f t="shared" si="64"/>
        <v>0</v>
      </c>
    </row>
    <row r="3164" spans="37:37" x14ac:dyDescent="0.2">
      <c r="AK3164" s="725">
        <f t="shared" si="64"/>
        <v>0</v>
      </c>
    </row>
    <row r="3165" spans="37:37" x14ac:dyDescent="0.2">
      <c r="AK3165" s="725">
        <f t="shared" si="64"/>
        <v>0</v>
      </c>
    </row>
    <row r="3166" spans="37:37" x14ac:dyDescent="0.2">
      <c r="AK3166" s="725">
        <f t="shared" si="64"/>
        <v>0</v>
      </c>
    </row>
    <row r="3167" spans="37:37" x14ac:dyDescent="0.2">
      <c r="AK3167" s="725">
        <f t="shared" si="64"/>
        <v>0</v>
      </c>
    </row>
    <row r="3168" spans="37:37" x14ac:dyDescent="0.2">
      <c r="AK3168" s="725">
        <f t="shared" si="64"/>
        <v>0</v>
      </c>
    </row>
    <row r="3169" spans="37:37" x14ac:dyDescent="0.2">
      <c r="AK3169" s="725">
        <f t="shared" si="64"/>
        <v>0</v>
      </c>
    </row>
    <row r="3170" spans="37:37" x14ac:dyDescent="0.2">
      <c r="AK3170" s="725">
        <f t="shared" si="64"/>
        <v>0</v>
      </c>
    </row>
    <row r="3171" spans="37:37" x14ac:dyDescent="0.2">
      <c r="AK3171" s="725">
        <f t="shared" si="64"/>
        <v>0</v>
      </c>
    </row>
    <row r="3172" spans="37:37" x14ac:dyDescent="0.2">
      <c r="AK3172" s="725">
        <f t="shared" si="64"/>
        <v>0</v>
      </c>
    </row>
    <row r="3173" spans="37:37" x14ac:dyDescent="0.2">
      <c r="AK3173" s="725">
        <f t="shared" si="64"/>
        <v>0</v>
      </c>
    </row>
    <row r="3174" spans="37:37" x14ac:dyDescent="0.2">
      <c r="AK3174" s="725">
        <f t="shared" si="64"/>
        <v>0</v>
      </c>
    </row>
    <row r="3175" spans="37:37" x14ac:dyDescent="0.2">
      <c r="AK3175" s="725">
        <f t="shared" si="64"/>
        <v>0</v>
      </c>
    </row>
    <row r="3176" spans="37:37" x14ac:dyDescent="0.2">
      <c r="AK3176" s="725">
        <f t="shared" si="64"/>
        <v>0</v>
      </c>
    </row>
    <row r="3177" spans="37:37" x14ac:dyDescent="0.2">
      <c r="AK3177" s="725">
        <f t="shared" si="64"/>
        <v>0</v>
      </c>
    </row>
    <row r="3178" spans="37:37" x14ac:dyDescent="0.2">
      <c r="AK3178" s="725">
        <f t="shared" si="64"/>
        <v>0</v>
      </c>
    </row>
    <row r="3179" spans="37:37" x14ac:dyDescent="0.2">
      <c r="AK3179" s="725">
        <f t="shared" si="64"/>
        <v>0</v>
      </c>
    </row>
    <row r="3180" spans="37:37" x14ac:dyDescent="0.2">
      <c r="AK3180" s="725">
        <f t="shared" si="64"/>
        <v>0</v>
      </c>
    </row>
    <row r="3181" spans="37:37" x14ac:dyDescent="0.2">
      <c r="AK3181" s="725">
        <f t="shared" si="64"/>
        <v>0</v>
      </c>
    </row>
    <row r="3182" spans="37:37" x14ac:dyDescent="0.2">
      <c r="AK3182" s="725">
        <f t="shared" si="64"/>
        <v>0</v>
      </c>
    </row>
    <row r="3183" spans="37:37" x14ac:dyDescent="0.2">
      <c r="AK3183" s="725">
        <f t="shared" si="64"/>
        <v>0</v>
      </c>
    </row>
    <row r="3184" spans="37:37" x14ac:dyDescent="0.2">
      <c r="AK3184" s="725">
        <f t="shared" si="64"/>
        <v>0</v>
      </c>
    </row>
    <row r="3185" spans="37:37" x14ac:dyDescent="0.2">
      <c r="AK3185" s="725">
        <f t="shared" si="64"/>
        <v>0</v>
      </c>
    </row>
    <row r="3186" spans="37:37" x14ac:dyDescent="0.2">
      <c r="AK3186" s="725">
        <f t="shared" si="64"/>
        <v>0</v>
      </c>
    </row>
    <row r="3187" spans="37:37" x14ac:dyDescent="0.2">
      <c r="AK3187" s="725">
        <f t="shared" si="64"/>
        <v>0</v>
      </c>
    </row>
    <row r="3188" spans="37:37" x14ac:dyDescent="0.2">
      <c r="AK3188" s="725">
        <f t="shared" si="64"/>
        <v>0</v>
      </c>
    </row>
    <row r="3189" spans="37:37" x14ac:dyDescent="0.2">
      <c r="AK3189" s="725">
        <f t="shared" si="64"/>
        <v>0</v>
      </c>
    </row>
    <row r="3190" spans="37:37" x14ac:dyDescent="0.2">
      <c r="AK3190" s="725">
        <f t="shared" si="64"/>
        <v>0</v>
      </c>
    </row>
    <row r="3191" spans="37:37" x14ac:dyDescent="0.2">
      <c r="AK3191" s="725">
        <f t="shared" si="64"/>
        <v>0</v>
      </c>
    </row>
    <row r="3192" spans="37:37" x14ac:dyDescent="0.2">
      <c r="AK3192" s="725">
        <f t="shared" si="64"/>
        <v>0</v>
      </c>
    </row>
    <row r="3193" spans="37:37" x14ac:dyDescent="0.2">
      <c r="AK3193" s="725">
        <f t="shared" si="64"/>
        <v>0</v>
      </c>
    </row>
    <row r="3194" spans="37:37" x14ac:dyDescent="0.2">
      <c r="AK3194" s="725">
        <f t="shared" si="64"/>
        <v>0</v>
      </c>
    </row>
    <row r="3195" spans="37:37" x14ac:dyDescent="0.2">
      <c r="AK3195" s="725">
        <f t="shared" si="64"/>
        <v>0</v>
      </c>
    </row>
    <row r="3196" spans="37:37" x14ac:dyDescent="0.2">
      <c r="AK3196" s="725">
        <f t="shared" si="64"/>
        <v>0</v>
      </c>
    </row>
    <row r="3197" spans="37:37" x14ac:dyDescent="0.2">
      <c r="AK3197" s="725">
        <f t="shared" si="64"/>
        <v>0</v>
      </c>
    </row>
    <row r="3198" spans="37:37" x14ac:dyDescent="0.2">
      <c r="AK3198" s="725">
        <f t="shared" si="64"/>
        <v>0</v>
      </c>
    </row>
    <row r="3199" spans="37:37" x14ac:dyDescent="0.2">
      <c r="AK3199" s="725">
        <f t="shared" si="64"/>
        <v>0</v>
      </c>
    </row>
    <row r="3200" spans="37:37" x14ac:dyDescent="0.2">
      <c r="AK3200" s="725">
        <f t="shared" si="64"/>
        <v>0</v>
      </c>
    </row>
    <row r="3201" spans="37:37" x14ac:dyDescent="0.2">
      <c r="AK3201" s="725">
        <f t="shared" si="64"/>
        <v>0</v>
      </c>
    </row>
    <row r="3202" spans="37:37" x14ac:dyDescent="0.2">
      <c r="AK3202" s="725">
        <f t="shared" si="64"/>
        <v>0</v>
      </c>
    </row>
    <row r="3203" spans="37:37" x14ac:dyDescent="0.2">
      <c r="AK3203" s="725">
        <f t="shared" si="64"/>
        <v>0</v>
      </c>
    </row>
    <row r="3204" spans="37:37" x14ac:dyDescent="0.2">
      <c r="AK3204" s="725">
        <f t="shared" si="64"/>
        <v>0</v>
      </c>
    </row>
    <row r="3205" spans="37:37" x14ac:dyDescent="0.2">
      <c r="AK3205" s="725">
        <f t="shared" si="64"/>
        <v>0</v>
      </c>
    </row>
    <row r="3206" spans="37:37" x14ac:dyDescent="0.2">
      <c r="AK3206" s="725">
        <f t="shared" si="64"/>
        <v>0</v>
      </c>
    </row>
    <row r="3207" spans="37:37" x14ac:dyDescent="0.2">
      <c r="AK3207" s="725">
        <f t="shared" si="64"/>
        <v>0</v>
      </c>
    </row>
    <row r="3208" spans="37:37" x14ac:dyDescent="0.2">
      <c r="AK3208" s="725">
        <f t="shared" si="64"/>
        <v>0</v>
      </c>
    </row>
    <row r="3209" spans="37:37" x14ac:dyDescent="0.2">
      <c r="AK3209" s="725">
        <f t="shared" si="64"/>
        <v>0</v>
      </c>
    </row>
    <row r="3210" spans="37:37" x14ac:dyDescent="0.2">
      <c r="AK3210" s="725">
        <f t="shared" si="64"/>
        <v>0</v>
      </c>
    </row>
    <row r="3211" spans="37:37" x14ac:dyDescent="0.2">
      <c r="AK3211" s="725">
        <f t="shared" si="64"/>
        <v>0</v>
      </c>
    </row>
    <row r="3212" spans="37:37" x14ac:dyDescent="0.2">
      <c r="AK3212" s="725">
        <f t="shared" si="64"/>
        <v>0</v>
      </c>
    </row>
    <row r="3213" spans="37:37" x14ac:dyDescent="0.2">
      <c r="AK3213" s="725">
        <f t="shared" si="64"/>
        <v>0</v>
      </c>
    </row>
    <row r="3214" spans="37:37" x14ac:dyDescent="0.2">
      <c r="AK3214" s="725">
        <f t="shared" si="64"/>
        <v>0</v>
      </c>
    </row>
    <row r="3215" spans="37:37" x14ac:dyDescent="0.2">
      <c r="AK3215" s="725">
        <f t="shared" si="64"/>
        <v>0</v>
      </c>
    </row>
    <row r="3216" spans="37:37" x14ac:dyDescent="0.2">
      <c r="AK3216" s="725">
        <f t="shared" si="64"/>
        <v>0</v>
      </c>
    </row>
    <row r="3217" spans="37:37" x14ac:dyDescent="0.2">
      <c r="AK3217" s="725">
        <f t="shared" si="64"/>
        <v>0</v>
      </c>
    </row>
    <row r="3218" spans="37:37" x14ac:dyDescent="0.2">
      <c r="AK3218" s="725">
        <f t="shared" si="64"/>
        <v>0</v>
      </c>
    </row>
    <row r="3219" spans="37:37" x14ac:dyDescent="0.2">
      <c r="AK3219" s="725">
        <f t="shared" si="64"/>
        <v>0</v>
      </c>
    </row>
    <row r="3220" spans="37:37" x14ac:dyDescent="0.2">
      <c r="AK3220" s="725">
        <f t="shared" si="64"/>
        <v>0</v>
      </c>
    </row>
    <row r="3221" spans="37:37" x14ac:dyDescent="0.2">
      <c r="AK3221" s="725">
        <f t="shared" si="64"/>
        <v>0</v>
      </c>
    </row>
    <row r="3222" spans="37:37" x14ac:dyDescent="0.2">
      <c r="AK3222" s="725">
        <f t="shared" si="64"/>
        <v>0</v>
      </c>
    </row>
    <row r="3223" spans="37:37" x14ac:dyDescent="0.2">
      <c r="AK3223" s="725">
        <f t="shared" si="64"/>
        <v>0</v>
      </c>
    </row>
    <row r="3224" spans="37:37" x14ac:dyDescent="0.2">
      <c r="AK3224" s="725">
        <f t="shared" ref="AK3224:AK3287" si="65">SUM(O3224:AJ3224)</f>
        <v>0</v>
      </c>
    </row>
    <row r="3225" spans="37:37" x14ac:dyDescent="0.2">
      <c r="AK3225" s="725">
        <f t="shared" si="65"/>
        <v>0</v>
      </c>
    </row>
    <row r="3226" spans="37:37" x14ac:dyDescent="0.2">
      <c r="AK3226" s="725">
        <f t="shared" si="65"/>
        <v>0</v>
      </c>
    </row>
    <row r="3227" spans="37:37" x14ac:dyDescent="0.2">
      <c r="AK3227" s="725">
        <f t="shared" si="65"/>
        <v>0</v>
      </c>
    </row>
    <row r="3228" spans="37:37" x14ac:dyDescent="0.2">
      <c r="AK3228" s="725">
        <f t="shared" si="65"/>
        <v>0</v>
      </c>
    </row>
    <row r="3229" spans="37:37" x14ac:dyDescent="0.2">
      <c r="AK3229" s="725">
        <f t="shared" si="65"/>
        <v>0</v>
      </c>
    </row>
    <row r="3230" spans="37:37" x14ac:dyDescent="0.2">
      <c r="AK3230" s="725">
        <f t="shared" si="65"/>
        <v>0</v>
      </c>
    </row>
    <row r="3231" spans="37:37" x14ac:dyDescent="0.2">
      <c r="AK3231" s="725">
        <f t="shared" si="65"/>
        <v>0</v>
      </c>
    </row>
    <row r="3232" spans="37:37" x14ac:dyDescent="0.2">
      <c r="AK3232" s="725">
        <f t="shared" si="65"/>
        <v>0</v>
      </c>
    </row>
    <row r="3233" spans="37:37" x14ac:dyDescent="0.2">
      <c r="AK3233" s="725">
        <f t="shared" si="65"/>
        <v>0</v>
      </c>
    </row>
    <row r="3234" spans="37:37" x14ac:dyDescent="0.2">
      <c r="AK3234" s="725">
        <f t="shared" si="65"/>
        <v>0</v>
      </c>
    </row>
    <row r="3235" spans="37:37" x14ac:dyDescent="0.2">
      <c r="AK3235" s="725">
        <f t="shared" si="65"/>
        <v>0</v>
      </c>
    </row>
    <row r="3236" spans="37:37" x14ac:dyDescent="0.2">
      <c r="AK3236" s="725">
        <f t="shared" si="65"/>
        <v>0</v>
      </c>
    </row>
    <row r="3237" spans="37:37" x14ac:dyDescent="0.2">
      <c r="AK3237" s="725">
        <f t="shared" si="65"/>
        <v>0</v>
      </c>
    </row>
    <row r="3238" spans="37:37" x14ac:dyDescent="0.2">
      <c r="AK3238" s="725">
        <f t="shared" si="65"/>
        <v>0</v>
      </c>
    </row>
    <row r="3239" spans="37:37" x14ac:dyDescent="0.2">
      <c r="AK3239" s="725">
        <f t="shared" si="65"/>
        <v>0</v>
      </c>
    </row>
    <row r="3240" spans="37:37" x14ac:dyDescent="0.2">
      <c r="AK3240" s="725">
        <f t="shared" si="65"/>
        <v>0</v>
      </c>
    </row>
    <row r="3241" spans="37:37" x14ac:dyDescent="0.2">
      <c r="AK3241" s="725">
        <f t="shared" si="65"/>
        <v>0</v>
      </c>
    </row>
    <row r="3242" spans="37:37" x14ac:dyDescent="0.2">
      <c r="AK3242" s="725">
        <f t="shared" si="65"/>
        <v>0</v>
      </c>
    </row>
    <row r="3243" spans="37:37" x14ac:dyDescent="0.2">
      <c r="AK3243" s="725">
        <f t="shared" si="65"/>
        <v>0</v>
      </c>
    </row>
    <row r="3244" spans="37:37" x14ac:dyDescent="0.2">
      <c r="AK3244" s="725">
        <f t="shared" si="65"/>
        <v>0</v>
      </c>
    </row>
    <row r="3245" spans="37:37" x14ac:dyDescent="0.2">
      <c r="AK3245" s="725">
        <f t="shared" si="65"/>
        <v>0</v>
      </c>
    </row>
    <row r="3246" spans="37:37" x14ac:dyDescent="0.2">
      <c r="AK3246" s="725">
        <f t="shared" si="65"/>
        <v>0</v>
      </c>
    </row>
    <row r="3247" spans="37:37" x14ac:dyDescent="0.2">
      <c r="AK3247" s="725">
        <f t="shared" si="65"/>
        <v>0</v>
      </c>
    </row>
    <row r="3248" spans="37:37" x14ac:dyDescent="0.2">
      <c r="AK3248" s="725">
        <f t="shared" si="65"/>
        <v>0</v>
      </c>
    </row>
    <row r="3249" spans="37:37" x14ac:dyDescent="0.2">
      <c r="AK3249" s="725">
        <f t="shared" si="65"/>
        <v>0</v>
      </c>
    </row>
    <row r="3250" spans="37:37" x14ac:dyDescent="0.2">
      <c r="AK3250" s="725">
        <f t="shared" si="65"/>
        <v>0</v>
      </c>
    </row>
    <row r="3251" spans="37:37" x14ac:dyDescent="0.2">
      <c r="AK3251" s="725">
        <f t="shared" si="65"/>
        <v>0</v>
      </c>
    </row>
    <row r="3252" spans="37:37" x14ac:dyDescent="0.2">
      <c r="AK3252" s="725">
        <f t="shared" si="65"/>
        <v>0</v>
      </c>
    </row>
    <row r="3253" spans="37:37" x14ac:dyDescent="0.2">
      <c r="AK3253" s="725">
        <f t="shared" si="65"/>
        <v>0</v>
      </c>
    </row>
    <row r="3254" spans="37:37" x14ac:dyDescent="0.2">
      <c r="AK3254" s="725">
        <f t="shared" si="65"/>
        <v>0</v>
      </c>
    </row>
    <row r="3255" spans="37:37" x14ac:dyDescent="0.2">
      <c r="AK3255" s="725">
        <f t="shared" si="65"/>
        <v>0</v>
      </c>
    </row>
    <row r="3256" spans="37:37" x14ac:dyDescent="0.2">
      <c r="AK3256" s="725">
        <f t="shared" si="65"/>
        <v>0</v>
      </c>
    </row>
    <row r="3257" spans="37:37" x14ac:dyDescent="0.2">
      <c r="AK3257" s="725">
        <f t="shared" si="65"/>
        <v>0</v>
      </c>
    </row>
    <row r="3258" spans="37:37" x14ac:dyDescent="0.2">
      <c r="AK3258" s="725">
        <f t="shared" si="65"/>
        <v>0</v>
      </c>
    </row>
    <row r="3259" spans="37:37" x14ac:dyDescent="0.2">
      <c r="AK3259" s="725">
        <f t="shared" si="65"/>
        <v>0</v>
      </c>
    </row>
    <row r="3260" spans="37:37" x14ac:dyDescent="0.2">
      <c r="AK3260" s="725">
        <f t="shared" si="65"/>
        <v>0</v>
      </c>
    </row>
    <row r="3261" spans="37:37" x14ac:dyDescent="0.2">
      <c r="AK3261" s="725">
        <f t="shared" si="65"/>
        <v>0</v>
      </c>
    </row>
    <row r="3262" spans="37:37" x14ac:dyDescent="0.2">
      <c r="AK3262" s="725">
        <f t="shared" si="65"/>
        <v>0</v>
      </c>
    </row>
    <row r="3263" spans="37:37" x14ac:dyDescent="0.2">
      <c r="AK3263" s="725">
        <f t="shared" si="65"/>
        <v>0</v>
      </c>
    </row>
    <row r="3264" spans="37:37" x14ac:dyDescent="0.2">
      <c r="AK3264" s="725">
        <f t="shared" si="65"/>
        <v>0</v>
      </c>
    </row>
    <row r="3265" spans="37:37" x14ac:dyDescent="0.2">
      <c r="AK3265" s="725">
        <f t="shared" si="65"/>
        <v>0</v>
      </c>
    </row>
    <row r="3266" spans="37:37" x14ac:dyDescent="0.2">
      <c r="AK3266" s="725">
        <f t="shared" si="65"/>
        <v>0</v>
      </c>
    </row>
    <row r="3267" spans="37:37" x14ac:dyDescent="0.2">
      <c r="AK3267" s="725">
        <f t="shared" si="65"/>
        <v>0</v>
      </c>
    </row>
    <row r="3268" spans="37:37" x14ac:dyDescent="0.2">
      <c r="AK3268" s="725">
        <f t="shared" si="65"/>
        <v>0</v>
      </c>
    </row>
    <row r="3269" spans="37:37" x14ac:dyDescent="0.2">
      <c r="AK3269" s="725">
        <f t="shared" si="65"/>
        <v>0</v>
      </c>
    </row>
    <row r="3270" spans="37:37" x14ac:dyDescent="0.2">
      <c r="AK3270" s="725">
        <f t="shared" si="65"/>
        <v>0</v>
      </c>
    </row>
    <row r="3271" spans="37:37" x14ac:dyDescent="0.2">
      <c r="AK3271" s="725">
        <f t="shared" si="65"/>
        <v>0</v>
      </c>
    </row>
    <row r="3272" spans="37:37" x14ac:dyDescent="0.2">
      <c r="AK3272" s="725">
        <f t="shared" si="65"/>
        <v>0</v>
      </c>
    </row>
    <row r="3273" spans="37:37" x14ac:dyDescent="0.2">
      <c r="AK3273" s="725">
        <f t="shared" si="65"/>
        <v>0</v>
      </c>
    </row>
    <row r="3274" spans="37:37" x14ac:dyDescent="0.2">
      <c r="AK3274" s="725">
        <f t="shared" si="65"/>
        <v>0</v>
      </c>
    </row>
    <row r="3275" spans="37:37" x14ac:dyDescent="0.2">
      <c r="AK3275" s="725">
        <f t="shared" si="65"/>
        <v>0</v>
      </c>
    </row>
    <row r="3276" spans="37:37" x14ac:dyDescent="0.2">
      <c r="AK3276" s="725">
        <f t="shared" si="65"/>
        <v>0</v>
      </c>
    </row>
    <row r="3277" spans="37:37" x14ac:dyDescent="0.2">
      <c r="AK3277" s="725">
        <f t="shared" si="65"/>
        <v>0</v>
      </c>
    </row>
    <row r="3278" spans="37:37" x14ac:dyDescent="0.2">
      <c r="AK3278" s="725">
        <f t="shared" si="65"/>
        <v>0</v>
      </c>
    </row>
    <row r="3279" spans="37:37" x14ac:dyDescent="0.2">
      <c r="AK3279" s="725">
        <f t="shared" si="65"/>
        <v>0</v>
      </c>
    </row>
    <row r="3280" spans="37:37" x14ac:dyDescent="0.2">
      <c r="AK3280" s="725">
        <f t="shared" si="65"/>
        <v>0</v>
      </c>
    </row>
    <row r="3281" spans="37:37" x14ac:dyDescent="0.2">
      <c r="AK3281" s="725">
        <f t="shared" si="65"/>
        <v>0</v>
      </c>
    </row>
    <row r="3282" spans="37:37" x14ac:dyDescent="0.2">
      <c r="AK3282" s="725">
        <f t="shared" si="65"/>
        <v>0</v>
      </c>
    </row>
    <row r="3283" spans="37:37" x14ac:dyDescent="0.2">
      <c r="AK3283" s="725">
        <f t="shared" si="65"/>
        <v>0</v>
      </c>
    </row>
    <row r="3284" spans="37:37" x14ac:dyDescent="0.2">
      <c r="AK3284" s="725">
        <f t="shared" si="65"/>
        <v>0</v>
      </c>
    </row>
    <row r="3285" spans="37:37" x14ac:dyDescent="0.2">
      <c r="AK3285" s="725">
        <f t="shared" si="65"/>
        <v>0</v>
      </c>
    </row>
    <row r="3286" spans="37:37" x14ac:dyDescent="0.2">
      <c r="AK3286" s="725">
        <f t="shared" si="65"/>
        <v>0</v>
      </c>
    </row>
    <row r="3287" spans="37:37" x14ac:dyDescent="0.2">
      <c r="AK3287" s="725">
        <f t="shared" si="65"/>
        <v>0</v>
      </c>
    </row>
    <row r="3288" spans="37:37" x14ac:dyDescent="0.2">
      <c r="AK3288" s="725">
        <f t="shared" ref="AK3288:AK3351" si="66">SUM(O3288:AJ3288)</f>
        <v>0</v>
      </c>
    </row>
    <row r="3289" spans="37:37" x14ac:dyDescent="0.2">
      <c r="AK3289" s="725">
        <f t="shared" si="66"/>
        <v>0</v>
      </c>
    </row>
    <row r="3290" spans="37:37" x14ac:dyDescent="0.2">
      <c r="AK3290" s="725">
        <f t="shared" si="66"/>
        <v>0</v>
      </c>
    </row>
    <row r="3291" spans="37:37" x14ac:dyDescent="0.2">
      <c r="AK3291" s="725">
        <f t="shared" si="66"/>
        <v>0</v>
      </c>
    </row>
    <row r="3292" spans="37:37" x14ac:dyDescent="0.2">
      <c r="AK3292" s="725">
        <f t="shared" si="66"/>
        <v>0</v>
      </c>
    </row>
    <row r="3293" spans="37:37" x14ac:dyDescent="0.2">
      <c r="AK3293" s="725">
        <f t="shared" si="66"/>
        <v>0</v>
      </c>
    </row>
    <row r="3294" spans="37:37" x14ac:dyDescent="0.2">
      <c r="AK3294" s="725">
        <f t="shared" si="66"/>
        <v>0</v>
      </c>
    </row>
    <row r="3295" spans="37:37" x14ac:dyDescent="0.2">
      <c r="AK3295" s="725">
        <f t="shared" si="66"/>
        <v>0</v>
      </c>
    </row>
    <row r="3296" spans="37:37" x14ac:dyDescent="0.2">
      <c r="AK3296" s="725">
        <f t="shared" si="66"/>
        <v>0</v>
      </c>
    </row>
    <row r="3297" spans="37:37" x14ac:dyDescent="0.2">
      <c r="AK3297" s="725">
        <f t="shared" si="66"/>
        <v>0</v>
      </c>
    </row>
    <row r="3298" spans="37:37" x14ac:dyDescent="0.2">
      <c r="AK3298" s="725">
        <f t="shared" si="66"/>
        <v>0</v>
      </c>
    </row>
    <row r="3299" spans="37:37" x14ac:dyDescent="0.2">
      <c r="AK3299" s="725">
        <f t="shared" si="66"/>
        <v>0</v>
      </c>
    </row>
    <row r="3300" spans="37:37" x14ac:dyDescent="0.2">
      <c r="AK3300" s="725">
        <f t="shared" si="66"/>
        <v>0</v>
      </c>
    </row>
    <row r="3301" spans="37:37" x14ac:dyDescent="0.2">
      <c r="AK3301" s="725">
        <f t="shared" si="66"/>
        <v>0</v>
      </c>
    </row>
    <row r="3302" spans="37:37" x14ac:dyDescent="0.2">
      <c r="AK3302" s="725">
        <f t="shared" si="66"/>
        <v>0</v>
      </c>
    </row>
    <row r="3303" spans="37:37" x14ac:dyDescent="0.2">
      <c r="AK3303" s="725">
        <f t="shared" si="66"/>
        <v>0</v>
      </c>
    </row>
    <row r="3304" spans="37:37" x14ac:dyDescent="0.2">
      <c r="AK3304" s="725">
        <f t="shared" si="66"/>
        <v>0</v>
      </c>
    </row>
    <row r="3305" spans="37:37" x14ac:dyDescent="0.2">
      <c r="AK3305" s="725">
        <f t="shared" si="66"/>
        <v>0</v>
      </c>
    </row>
    <row r="3306" spans="37:37" x14ac:dyDescent="0.2">
      <c r="AK3306" s="725">
        <f t="shared" si="66"/>
        <v>0</v>
      </c>
    </row>
    <row r="3307" spans="37:37" x14ac:dyDescent="0.2">
      <c r="AK3307" s="725">
        <f t="shared" si="66"/>
        <v>0</v>
      </c>
    </row>
    <row r="3308" spans="37:37" x14ac:dyDescent="0.2">
      <c r="AK3308" s="725">
        <f t="shared" si="66"/>
        <v>0</v>
      </c>
    </row>
    <row r="3309" spans="37:37" x14ac:dyDescent="0.2">
      <c r="AK3309" s="725">
        <f t="shared" si="66"/>
        <v>0</v>
      </c>
    </row>
    <row r="3310" spans="37:37" x14ac:dyDescent="0.2">
      <c r="AK3310" s="725">
        <f t="shared" si="66"/>
        <v>0</v>
      </c>
    </row>
    <row r="3311" spans="37:37" x14ac:dyDescent="0.2">
      <c r="AK3311" s="725">
        <f t="shared" si="66"/>
        <v>0</v>
      </c>
    </row>
    <row r="3312" spans="37:37" x14ac:dyDescent="0.2">
      <c r="AK3312" s="725">
        <f t="shared" si="66"/>
        <v>0</v>
      </c>
    </row>
    <row r="3313" spans="37:37" x14ac:dyDescent="0.2">
      <c r="AK3313" s="725">
        <f t="shared" si="66"/>
        <v>0</v>
      </c>
    </row>
    <row r="3314" spans="37:37" x14ac:dyDescent="0.2">
      <c r="AK3314" s="725">
        <f t="shared" si="66"/>
        <v>0</v>
      </c>
    </row>
    <row r="3315" spans="37:37" x14ac:dyDescent="0.2">
      <c r="AK3315" s="725">
        <f t="shared" si="66"/>
        <v>0</v>
      </c>
    </row>
    <row r="3316" spans="37:37" x14ac:dyDescent="0.2">
      <c r="AK3316" s="725">
        <f t="shared" si="66"/>
        <v>0</v>
      </c>
    </row>
    <row r="3317" spans="37:37" x14ac:dyDescent="0.2">
      <c r="AK3317" s="725">
        <f t="shared" si="66"/>
        <v>0</v>
      </c>
    </row>
    <row r="3318" spans="37:37" x14ac:dyDescent="0.2">
      <c r="AK3318" s="725">
        <f t="shared" si="66"/>
        <v>0</v>
      </c>
    </row>
    <row r="3319" spans="37:37" x14ac:dyDescent="0.2">
      <c r="AK3319" s="725">
        <f t="shared" si="66"/>
        <v>0</v>
      </c>
    </row>
    <row r="3320" spans="37:37" x14ac:dyDescent="0.2">
      <c r="AK3320" s="725">
        <f t="shared" si="66"/>
        <v>0</v>
      </c>
    </row>
    <row r="3321" spans="37:37" x14ac:dyDescent="0.2">
      <c r="AK3321" s="725">
        <f t="shared" si="66"/>
        <v>0</v>
      </c>
    </row>
    <row r="3322" spans="37:37" x14ac:dyDescent="0.2">
      <c r="AK3322" s="725">
        <f t="shared" si="66"/>
        <v>0</v>
      </c>
    </row>
    <row r="3323" spans="37:37" x14ac:dyDescent="0.2">
      <c r="AK3323" s="725">
        <f t="shared" si="66"/>
        <v>0</v>
      </c>
    </row>
    <row r="3324" spans="37:37" x14ac:dyDescent="0.2">
      <c r="AK3324" s="725">
        <f t="shared" si="66"/>
        <v>0</v>
      </c>
    </row>
    <row r="3325" spans="37:37" x14ac:dyDescent="0.2">
      <c r="AK3325" s="725">
        <f t="shared" si="66"/>
        <v>0</v>
      </c>
    </row>
    <row r="3326" spans="37:37" x14ac:dyDescent="0.2">
      <c r="AK3326" s="725">
        <f t="shared" si="66"/>
        <v>0</v>
      </c>
    </row>
    <row r="3327" spans="37:37" x14ac:dyDescent="0.2">
      <c r="AK3327" s="725">
        <f t="shared" si="66"/>
        <v>0</v>
      </c>
    </row>
    <row r="3328" spans="37:37" x14ac:dyDescent="0.2">
      <c r="AK3328" s="725">
        <f t="shared" si="66"/>
        <v>0</v>
      </c>
    </row>
    <row r="3329" spans="37:37" x14ac:dyDescent="0.2">
      <c r="AK3329" s="725">
        <f t="shared" si="66"/>
        <v>0</v>
      </c>
    </row>
    <row r="3330" spans="37:37" x14ac:dyDescent="0.2">
      <c r="AK3330" s="725">
        <f t="shared" si="66"/>
        <v>0</v>
      </c>
    </row>
    <row r="3331" spans="37:37" x14ac:dyDescent="0.2">
      <c r="AK3331" s="725">
        <f t="shared" si="66"/>
        <v>0</v>
      </c>
    </row>
    <row r="3332" spans="37:37" x14ac:dyDescent="0.2">
      <c r="AK3332" s="725">
        <f t="shared" si="66"/>
        <v>0</v>
      </c>
    </row>
    <row r="3333" spans="37:37" x14ac:dyDescent="0.2">
      <c r="AK3333" s="725">
        <f t="shared" si="66"/>
        <v>0</v>
      </c>
    </row>
    <row r="3334" spans="37:37" x14ac:dyDescent="0.2">
      <c r="AK3334" s="725">
        <f t="shared" si="66"/>
        <v>0</v>
      </c>
    </row>
    <row r="3335" spans="37:37" x14ac:dyDescent="0.2">
      <c r="AK3335" s="725">
        <f t="shared" si="66"/>
        <v>0</v>
      </c>
    </row>
    <row r="3336" spans="37:37" x14ac:dyDescent="0.2">
      <c r="AK3336" s="725">
        <f t="shared" si="66"/>
        <v>0</v>
      </c>
    </row>
    <row r="3337" spans="37:37" x14ac:dyDescent="0.2">
      <c r="AK3337" s="725">
        <f t="shared" si="66"/>
        <v>0</v>
      </c>
    </row>
    <row r="3338" spans="37:37" x14ac:dyDescent="0.2">
      <c r="AK3338" s="725">
        <f t="shared" si="66"/>
        <v>0</v>
      </c>
    </row>
    <row r="3339" spans="37:37" x14ac:dyDescent="0.2">
      <c r="AK3339" s="725">
        <f t="shared" si="66"/>
        <v>0</v>
      </c>
    </row>
    <row r="3340" spans="37:37" x14ac:dyDescent="0.2">
      <c r="AK3340" s="725">
        <f t="shared" si="66"/>
        <v>0</v>
      </c>
    </row>
    <row r="3341" spans="37:37" x14ac:dyDescent="0.2">
      <c r="AK3341" s="725">
        <f t="shared" si="66"/>
        <v>0</v>
      </c>
    </row>
    <row r="3342" spans="37:37" x14ac:dyDescent="0.2">
      <c r="AK3342" s="725">
        <f t="shared" si="66"/>
        <v>0</v>
      </c>
    </row>
    <row r="3343" spans="37:37" x14ac:dyDescent="0.2">
      <c r="AK3343" s="725">
        <f t="shared" si="66"/>
        <v>0</v>
      </c>
    </row>
    <row r="3344" spans="37:37" x14ac:dyDescent="0.2">
      <c r="AK3344" s="725">
        <f t="shared" si="66"/>
        <v>0</v>
      </c>
    </row>
    <row r="3345" spans="37:37" x14ac:dyDescent="0.2">
      <c r="AK3345" s="725">
        <f t="shared" si="66"/>
        <v>0</v>
      </c>
    </row>
    <row r="3346" spans="37:37" x14ac:dyDescent="0.2">
      <c r="AK3346" s="725">
        <f t="shared" si="66"/>
        <v>0</v>
      </c>
    </row>
    <row r="3347" spans="37:37" x14ac:dyDescent="0.2">
      <c r="AK3347" s="725">
        <f t="shared" si="66"/>
        <v>0</v>
      </c>
    </row>
    <row r="3348" spans="37:37" x14ac:dyDescent="0.2">
      <c r="AK3348" s="725">
        <f t="shared" si="66"/>
        <v>0</v>
      </c>
    </row>
    <row r="3349" spans="37:37" x14ac:dyDescent="0.2">
      <c r="AK3349" s="725">
        <f t="shared" si="66"/>
        <v>0</v>
      </c>
    </row>
    <row r="3350" spans="37:37" x14ac:dyDescent="0.2">
      <c r="AK3350" s="725">
        <f t="shared" si="66"/>
        <v>0</v>
      </c>
    </row>
    <row r="3351" spans="37:37" x14ac:dyDescent="0.2">
      <c r="AK3351" s="725">
        <f t="shared" si="66"/>
        <v>0</v>
      </c>
    </row>
    <row r="3352" spans="37:37" x14ac:dyDescent="0.2">
      <c r="AK3352" s="725">
        <f t="shared" ref="AK3352:AK3415" si="67">SUM(O3352:AJ3352)</f>
        <v>0</v>
      </c>
    </row>
    <row r="3353" spans="37:37" x14ac:dyDescent="0.2">
      <c r="AK3353" s="725">
        <f t="shared" si="67"/>
        <v>0</v>
      </c>
    </row>
    <row r="3354" spans="37:37" x14ac:dyDescent="0.2">
      <c r="AK3354" s="725">
        <f t="shared" si="67"/>
        <v>0</v>
      </c>
    </row>
    <row r="3355" spans="37:37" x14ac:dyDescent="0.2">
      <c r="AK3355" s="725">
        <f t="shared" si="67"/>
        <v>0</v>
      </c>
    </row>
    <row r="3356" spans="37:37" x14ac:dyDescent="0.2">
      <c r="AK3356" s="725">
        <f t="shared" si="67"/>
        <v>0</v>
      </c>
    </row>
    <row r="3357" spans="37:37" x14ac:dyDescent="0.2">
      <c r="AK3357" s="725">
        <f t="shared" si="67"/>
        <v>0</v>
      </c>
    </row>
    <row r="3358" spans="37:37" x14ac:dyDescent="0.2">
      <c r="AK3358" s="725">
        <f t="shared" si="67"/>
        <v>0</v>
      </c>
    </row>
    <row r="3359" spans="37:37" x14ac:dyDescent="0.2">
      <c r="AK3359" s="725">
        <f t="shared" si="67"/>
        <v>0</v>
      </c>
    </row>
    <row r="3360" spans="37:37" x14ac:dyDescent="0.2">
      <c r="AK3360" s="725">
        <f t="shared" si="67"/>
        <v>0</v>
      </c>
    </row>
    <row r="3361" spans="37:37" x14ac:dyDescent="0.2">
      <c r="AK3361" s="725">
        <f t="shared" si="67"/>
        <v>0</v>
      </c>
    </row>
    <row r="3362" spans="37:37" x14ac:dyDescent="0.2">
      <c r="AK3362" s="725">
        <f t="shared" si="67"/>
        <v>0</v>
      </c>
    </row>
    <row r="3363" spans="37:37" x14ac:dyDescent="0.2">
      <c r="AK3363" s="725">
        <f t="shared" si="67"/>
        <v>0</v>
      </c>
    </row>
    <row r="3364" spans="37:37" x14ac:dyDescent="0.2">
      <c r="AK3364" s="725">
        <f t="shared" si="67"/>
        <v>0</v>
      </c>
    </row>
    <row r="3365" spans="37:37" x14ac:dyDescent="0.2">
      <c r="AK3365" s="725">
        <f t="shared" si="67"/>
        <v>0</v>
      </c>
    </row>
    <row r="3366" spans="37:37" x14ac:dyDescent="0.2">
      <c r="AK3366" s="725">
        <f t="shared" si="67"/>
        <v>0</v>
      </c>
    </row>
    <row r="3367" spans="37:37" x14ac:dyDescent="0.2">
      <c r="AK3367" s="725">
        <f t="shared" si="67"/>
        <v>0</v>
      </c>
    </row>
    <row r="3368" spans="37:37" x14ac:dyDescent="0.2">
      <c r="AK3368" s="725">
        <f t="shared" si="67"/>
        <v>0</v>
      </c>
    </row>
    <row r="3369" spans="37:37" x14ac:dyDescent="0.2">
      <c r="AK3369" s="725">
        <f t="shared" si="67"/>
        <v>0</v>
      </c>
    </row>
    <row r="3370" spans="37:37" x14ac:dyDescent="0.2">
      <c r="AK3370" s="725">
        <f t="shared" si="67"/>
        <v>0</v>
      </c>
    </row>
    <row r="3371" spans="37:37" x14ac:dyDescent="0.2">
      <c r="AK3371" s="725">
        <f t="shared" si="67"/>
        <v>0</v>
      </c>
    </row>
    <row r="3372" spans="37:37" x14ac:dyDescent="0.2">
      <c r="AK3372" s="725">
        <f t="shared" si="67"/>
        <v>0</v>
      </c>
    </row>
    <row r="3373" spans="37:37" x14ac:dyDescent="0.2">
      <c r="AK3373" s="725">
        <f t="shared" si="67"/>
        <v>0</v>
      </c>
    </row>
    <row r="3374" spans="37:37" x14ac:dyDescent="0.2">
      <c r="AK3374" s="725">
        <f t="shared" si="67"/>
        <v>0</v>
      </c>
    </row>
    <row r="3375" spans="37:37" x14ac:dyDescent="0.2">
      <c r="AK3375" s="725">
        <f t="shared" si="67"/>
        <v>0</v>
      </c>
    </row>
    <row r="3376" spans="37:37" x14ac:dyDescent="0.2">
      <c r="AK3376" s="725">
        <f t="shared" si="67"/>
        <v>0</v>
      </c>
    </row>
    <row r="3377" spans="37:37" x14ac:dyDescent="0.2">
      <c r="AK3377" s="725">
        <f t="shared" si="67"/>
        <v>0</v>
      </c>
    </row>
    <row r="3378" spans="37:37" x14ac:dyDescent="0.2">
      <c r="AK3378" s="725">
        <f t="shared" si="67"/>
        <v>0</v>
      </c>
    </row>
    <row r="3379" spans="37:37" x14ac:dyDescent="0.2">
      <c r="AK3379" s="725">
        <f t="shared" si="67"/>
        <v>0</v>
      </c>
    </row>
    <row r="3380" spans="37:37" x14ac:dyDescent="0.2">
      <c r="AK3380" s="725">
        <f t="shared" si="67"/>
        <v>0</v>
      </c>
    </row>
    <row r="3381" spans="37:37" x14ac:dyDescent="0.2">
      <c r="AK3381" s="725">
        <f t="shared" si="67"/>
        <v>0</v>
      </c>
    </row>
    <row r="3382" spans="37:37" x14ac:dyDescent="0.2">
      <c r="AK3382" s="725">
        <f t="shared" si="67"/>
        <v>0</v>
      </c>
    </row>
    <row r="3383" spans="37:37" x14ac:dyDescent="0.2">
      <c r="AK3383" s="725">
        <f t="shared" si="67"/>
        <v>0</v>
      </c>
    </row>
    <row r="3384" spans="37:37" x14ac:dyDescent="0.2">
      <c r="AK3384" s="725">
        <f t="shared" si="67"/>
        <v>0</v>
      </c>
    </row>
    <row r="3385" spans="37:37" x14ac:dyDescent="0.2">
      <c r="AK3385" s="725">
        <f t="shared" si="67"/>
        <v>0</v>
      </c>
    </row>
    <row r="3386" spans="37:37" x14ac:dyDescent="0.2">
      <c r="AK3386" s="725">
        <f t="shared" si="67"/>
        <v>0</v>
      </c>
    </row>
    <row r="3387" spans="37:37" x14ac:dyDescent="0.2">
      <c r="AK3387" s="725">
        <f t="shared" si="67"/>
        <v>0</v>
      </c>
    </row>
    <row r="3388" spans="37:37" x14ac:dyDescent="0.2">
      <c r="AK3388" s="725">
        <f t="shared" si="67"/>
        <v>0</v>
      </c>
    </row>
    <row r="3389" spans="37:37" x14ac:dyDescent="0.2">
      <c r="AK3389" s="725">
        <f t="shared" si="67"/>
        <v>0</v>
      </c>
    </row>
    <row r="3390" spans="37:37" x14ac:dyDescent="0.2">
      <c r="AK3390" s="725">
        <f t="shared" si="67"/>
        <v>0</v>
      </c>
    </row>
    <row r="3391" spans="37:37" x14ac:dyDescent="0.2">
      <c r="AK3391" s="725">
        <f t="shared" si="67"/>
        <v>0</v>
      </c>
    </row>
    <row r="3392" spans="37:37" x14ac:dyDescent="0.2">
      <c r="AK3392" s="725">
        <f t="shared" si="67"/>
        <v>0</v>
      </c>
    </row>
    <row r="3393" spans="37:37" x14ac:dyDescent="0.2">
      <c r="AK3393" s="725">
        <f t="shared" si="67"/>
        <v>0</v>
      </c>
    </row>
    <row r="3394" spans="37:37" x14ac:dyDescent="0.2">
      <c r="AK3394" s="725">
        <f t="shared" si="67"/>
        <v>0</v>
      </c>
    </row>
    <row r="3395" spans="37:37" x14ac:dyDescent="0.2">
      <c r="AK3395" s="725">
        <f t="shared" si="67"/>
        <v>0</v>
      </c>
    </row>
    <row r="3396" spans="37:37" x14ac:dyDescent="0.2">
      <c r="AK3396" s="725">
        <f t="shared" si="67"/>
        <v>0</v>
      </c>
    </row>
    <row r="3397" spans="37:37" x14ac:dyDescent="0.2">
      <c r="AK3397" s="725">
        <f t="shared" si="67"/>
        <v>0</v>
      </c>
    </row>
    <row r="3398" spans="37:37" x14ac:dyDescent="0.2">
      <c r="AK3398" s="725">
        <f t="shared" si="67"/>
        <v>0</v>
      </c>
    </row>
    <row r="3399" spans="37:37" x14ac:dyDescent="0.2">
      <c r="AK3399" s="725">
        <f t="shared" si="67"/>
        <v>0</v>
      </c>
    </row>
    <row r="3400" spans="37:37" x14ac:dyDescent="0.2">
      <c r="AK3400" s="725">
        <f t="shared" si="67"/>
        <v>0</v>
      </c>
    </row>
    <row r="3401" spans="37:37" x14ac:dyDescent="0.2">
      <c r="AK3401" s="725">
        <f t="shared" si="67"/>
        <v>0</v>
      </c>
    </row>
    <row r="3402" spans="37:37" x14ac:dyDescent="0.2">
      <c r="AK3402" s="725">
        <f t="shared" si="67"/>
        <v>0</v>
      </c>
    </row>
    <row r="3403" spans="37:37" x14ac:dyDescent="0.2">
      <c r="AK3403" s="725">
        <f t="shared" si="67"/>
        <v>0</v>
      </c>
    </row>
    <row r="3404" spans="37:37" x14ac:dyDescent="0.2">
      <c r="AK3404" s="725">
        <f t="shared" si="67"/>
        <v>0</v>
      </c>
    </row>
    <row r="3405" spans="37:37" x14ac:dyDescent="0.2">
      <c r="AK3405" s="725">
        <f t="shared" si="67"/>
        <v>0</v>
      </c>
    </row>
    <row r="3406" spans="37:37" x14ac:dyDescent="0.2">
      <c r="AK3406" s="725">
        <f t="shared" si="67"/>
        <v>0</v>
      </c>
    </row>
    <row r="3407" spans="37:37" x14ac:dyDescent="0.2">
      <c r="AK3407" s="725">
        <f t="shared" si="67"/>
        <v>0</v>
      </c>
    </row>
    <row r="3408" spans="37:37" x14ac:dyDescent="0.2">
      <c r="AK3408" s="725">
        <f t="shared" si="67"/>
        <v>0</v>
      </c>
    </row>
    <row r="3409" spans="37:37" x14ac:dyDescent="0.2">
      <c r="AK3409" s="725">
        <f t="shared" si="67"/>
        <v>0</v>
      </c>
    </row>
    <row r="3410" spans="37:37" x14ac:dyDescent="0.2">
      <c r="AK3410" s="725">
        <f t="shared" si="67"/>
        <v>0</v>
      </c>
    </row>
    <row r="3411" spans="37:37" x14ac:dyDescent="0.2">
      <c r="AK3411" s="725">
        <f t="shared" si="67"/>
        <v>0</v>
      </c>
    </row>
    <row r="3412" spans="37:37" x14ac:dyDescent="0.2">
      <c r="AK3412" s="725">
        <f t="shared" si="67"/>
        <v>0</v>
      </c>
    </row>
    <row r="3413" spans="37:37" x14ac:dyDescent="0.2">
      <c r="AK3413" s="725">
        <f t="shared" si="67"/>
        <v>0</v>
      </c>
    </row>
    <row r="3414" spans="37:37" x14ac:dyDescent="0.2">
      <c r="AK3414" s="725">
        <f t="shared" si="67"/>
        <v>0</v>
      </c>
    </row>
    <row r="3415" spans="37:37" x14ac:dyDescent="0.2">
      <c r="AK3415" s="725">
        <f t="shared" si="67"/>
        <v>0</v>
      </c>
    </row>
    <row r="3416" spans="37:37" x14ac:dyDescent="0.2">
      <c r="AK3416" s="725">
        <f t="shared" ref="AK3416:AK3479" si="68">SUM(O3416:AJ3416)</f>
        <v>0</v>
      </c>
    </row>
    <row r="3417" spans="37:37" x14ac:dyDescent="0.2">
      <c r="AK3417" s="725">
        <f t="shared" si="68"/>
        <v>0</v>
      </c>
    </row>
    <row r="3418" spans="37:37" x14ac:dyDescent="0.2">
      <c r="AK3418" s="725">
        <f t="shared" si="68"/>
        <v>0</v>
      </c>
    </row>
    <row r="3419" spans="37:37" x14ac:dyDescent="0.2">
      <c r="AK3419" s="725">
        <f t="shared" si="68"/>
        <v>0</v>
      </c>
    </row>
    <row r="3420" spans="37:37" x14ac:dyDescent="0.2">
      <c r="AK3420" s="725">
        <f t="shared" si="68"/>
        <v>0</v>
      </c>
    </row>
    <row r="3421" spans="37:37" x14ac:dyDescent="0.2">
      <c r="AK3421" s="725">
        <f t="shared" si="68"/>
        <v>0</v>
      </c>
    </row>
    <row r="3422" spans="37:37" x14ac:dyDescent="0.2">
      <c r="AK3422" s="725">
        <f t="shared" si="68"/>
        <v>0</v>
      </c>
    </row>
    <row r="3423" spans="37:37" x14ac:dyDescent="0.2">
      <c r="AK3423" s="725">
        <f t="shared" si="68"/>
        <v>0</v>
      </c>
    </row>
    <row r="3424" spans="37:37" x14ac:dyDescent="0.2">
      <c r="AK3424" s="725">
        <f t="shared" si="68"/>
        <v>0</v>
      </c>
    </row>
    <row r="3425" spans="37:37" x14ac:dyDescent="0.2">
      <c r="AK3425" s="725">
        <f t="shared" si="68"/>
        <v>0</v>
      </c>
    </row>
    <row r="3426" spans="37:37" x14ac:dyDescent="0.2">
      <c r="AK3426" s="725">
        <f t="shared" si="68"/>
        <v>0</v>
      </c>
    </row>
    <row r="3427" spans="37:37" x14ac:dyDescent="0.2">
      <c r="AK3427" s="725">
        <f t="shared" si="68"/>
        <v>0</v>
      </c>
    </row>
    <row r="3428" spans="37:37" x14ac:dyDescent="0.2">
      <c r="AK3428" s="725">
        <f t="shared" si="68"/>
        <v>0</v>
      </c>
    </row>
    <row r="3429" spans="37:37" x14ac:dyDescent="0.2">
      <c r="AK3429" s="725">
        <f t="shared" si="68"/>
        <v>0</v>
      </c>
    </row>
    <row r="3430" spans="37:37" x14ac:dyDescent="0.2">
      <c r="AK3430" s="725">
        <f t="shared" si="68"/>
        <v>0</v>
      </c>
    </row>
    <row r="3431" spans="37:37" x14ac:dyDescent="0.2">
      <c r="AK3431" s="725">
        <f t="shared" si="68"/>
        <v>0</v>
      </c>
    </row>
    <row r="3432" spans="37:37" x14ac:dyDescent="0.2">
      <c r="AK3432" s="725">
        <f t="shared" si="68"/>
        <v>0</v>
      </c>
    </row>
    <row r="3433" spans="37:37" x14ac:dyDescent="0.2">
      <c r="AK3433" s="725">
        <f t="shared" si="68"/>
        <v>0</v>
      </c>
    </row>
    <row r="3434" spans="37:37" x14ac:dyDescent="0.2">
      <c r="AK3434" s="725">
        <f t="shared" si="68"/>
        <v>0</v>
      </c>
    </row>
    <row r="3435" spans="37:37" x14ac:dyDescent="0.2">
      <c r="AK3435" s="725">
        <f t="shared" si="68"/>
        <v>0</v>
      </c>
    </row>
    <row r="3436" spans="37:37" x14ac:dyDescent="0.2">
      <c r="AK3436" s="725">
        <f t="shared" si="68"/>
        <v>0</v>
      </c>
    </row>
    <row r="3437" spans="37:37" x14ac:dyDescent="0.2">
      <c r="AK3437" s="725">
        <f t="shared" si="68"/>
        <v>0</v>
      </c>
    </row>
    <row r="3438" spans="37:37" x14ac:dyDescent="0.2">
      <c r="AK3438" s="725">
        <f t="shared" si="68"/>
        <v>0</v>
      </c>
    </row>
    <row r="3439" spans="37:37" x14ac:dyDescent="0.2">
      <c r="AK3439" s="725">
        <f t="shared" si="68"/>
        <v>0</v>
      </c>
    </row>
    <row r="3440" spans="37:37" x14ac:dyDescent="0.2">
      <c r="AK3440" s="725">
        <f t="shared" si="68"/>
        <v>0</v>
      </c>
    </row>
    <row r="3441" spans="37:37" x14ac:dyDescent="0.2">
      <c r="AK3441" s="725">
        <f t="shared" si="68"/>
        <v>0</v>
      </c>
    </row>
    <row r="3442" spans="37:37" x14ac:dyDescent="0.2">
      <c r="AK3442" s="725">
        <f t="shared" si="68"/>
        <v>0</v>
      </c>
    </row>
    <row r="3443" spans="37:37" x14ac:dyDescent="0.2">
      <c r="AK3443" s="725">
        <f t="shared" si="68"/>
        <v>0</v>
      </c>
    </row>
    <row r="3444" spans="37:37" x14ac:dyDescent="0.2">
      <c r="AK3444" s="725">
        <f t="shared" si="68"/>
        <v>0</v>
      </c>
    </row>
    <row r="3445" spans="37:37" x14ac:dyDescent="0.2">
      <c r="AK3445" s="725">
        <f t="shared" si="68"/>
        <v>0</v>
      </c>
    </row>
    <row r="3446" spans="37:37" x14ac:dyDescent="0.2">
      <c r="AK3446" s="725">
        <f t="shared" si="68"/>
        <v>0</v>
      </c>
    </row>
    <row r="3447" spans="37:37" x14ac:dyDescent="0.2">
      <c r="AK3447" s="725">
        <f t="shared" si="68"/>
        <v>0</v>
      </c>
    </row>
    <row r="3448" spans="37:37" x14ac:dyDescent="0.2">
      <c r="AK3448" s="725">
        <f t="shared" si="68"/>
        <v>0</v>
      </c>
    </row>
    <row r="3449" spans="37:37" x14ac:dyDescent="0.2">
      <c r="AK3449" s="725">
        <f t="shared" si="68"/>
        <v>0</v>
      </c>
    </row>
    <row r="3450" spans="37:37" x14ac:dyDescent="0.2">
      <c r="AK3450" s="725">
        <f t="shared" si="68"/>
        <v>0</v>
      </c>
    </row>
    <row r="3451" spans="37:37" x14ac:dyDescent="0.2">
      <c r="AK3451" s="725">
        <f t="shared" si="68"/>
        <v>0</v>
      </c>
    </row>
    <row r="3452" spans="37:37" x14ac:dyDescent="0.2">
      <c r="AK3452" s="725">
        <f t="shared" si="68"/>
        <v>0</v>
      </c>
    </row>
    <row r="3453" spans="37:37" x14ac:dyDescent="0.2">
      <c r="AK3453" s="725">
        <f t="shared" si="68"/>
        <v>0</v>
      </c>
    </row>
    <row r="3454" spans="37:37" x14ac:dyDescent="0.2">
      <c r="AK3454" s="725">
        <f t="shared" si="68"/>
        <v>0</v>
      </c>
    </row>
    <row r="3455" spans="37:37" x14ac:dyDescent="0.2">
      <c r="AK3455" s="725">
        <f t="shared" si="68"/>
        <v>0</v>
      </c>
    </row>
    <row r="3456" spans="37:37" x14ac:dyDescent="0.2">
      <c r="AK3456" s="725">
        <f t="shared" si="68"/>
        <v>0</v>
      </c>
    </row>
    <row r="3457" spans="37:37" x14ac:dyDescent="0.2">
      <c r="AK3457" s="725">
        <f t="shared" si="68"/>
        <v>0</v>
      </c>
    </row>
    <row r="3458" spans="37:37" x14ac:dyDescent="0.2">
      <c r="AK3458" s="725">
        <f t="shared" si="68"/>
        <v>0</v>
      </c>
    </row>
    <row r="3459" spans="37:37" x14ac:dyDescent="0.2">
      <c r="AK3459" s="725">
        <f t="shared" si="68"/>
        <v>0</v>
      </c>
    </row>
    <row r="3460" spans="37:37" x14ac:dyDescent="0.2">
      <c r="AK3460" s="725">
        <f t="shared" si="68"/>
        <v>0</v>
      </c>
    </row>
    <row r="3461" spans="37:37" x14ac:dyDescent="0.2">
      <c r="AK3461" s="725">
        <f t="shared" si="68"/>
        <v>0</v>
      </c>
    </row>
    <row r="3462" spans="37:37" x14ac:dyDescent="0.2">
      <c r="AK3462" s="725">
        <f t="shared" si="68"/>
        <v>0</v>
      </c>
    </row>
    <row r="3463" spans="37:37" x14ac:dyDescent="0.2">
      <c r="AK3463" s="725">
        <f t="shared" si="68"/>
        <v>0</v>
      </c>
    </row>
    <row r="3464" spans="37:37" x14ac:dyDescent="0.2">
      <c r="AK3464" s="725">
        <f t="shared" si="68"/>
        <v>0</v>
      </c>
    </row>
    <row r="3465" spans="37:37" x14ac:dyDescent="0.2">
      <c r="AK3465" s="725">
        <f t="shared" si="68"/>
        <v>0</v>
      </c>
    </row>
    <row r="3466" spans="37:37" x14ac:dyDescent="0.2">
      <c r="AK3466" s="725">
        <f t="shared" si="68"/>
        <v>0</v>
      </c>
    </row>
    <row r="3467" spans="37:37" x14ac:dyDescent="0.2">
      <c r="AK3467" s="725">
        <f t="shared" si="68"/>
        <v>0</v>
      </c>
    </row>
    <row r="3468" spans="37:37" x14ac:dyDescent="0.2">
      <c r="AK3468" s="725">
        <f t="shared" si="68"/>
        <v>0</v>
      </c>
    </row>
    <row r="3469" spans="37:37" x14ac:dyDescent="0.2">
      <c r="AK3469" s="725">
        <f t="shared" si="68"/>
        <v>0</v>
      </c>
    </row>
    <row r="3470" spans="37:37" x14ac:dyDescent="0.2">
      <c r="AK3470" s="725">
        <f t="shared" si="68"/>
        <v>0</v>
      </c>
    </row>
    <row r="3471" spans="37:37" x14ac:dyDescent="0.2">
      <c r="AK3471" s="725">
        <f t="shared" si="68"/>
        <v>0</v>
      </c>
    </row>
    <row r="3472" spans="37:37" x14ac:dyDescent="0.2">
      <c r="AK3472" s="725">
        <f t="shared" si="68"/>
        <v>0</v>
      </c>
    </row>
    <row r="3473" spans="37:37" x14ac:dyDescent="0.2">
      <c r="AK3473" s="725">
        <f t="shared" si="68"/>
        <v>0</v>
      </c>
    </row>
    <row r="3474" spans="37:37" x14ac:dyDescent="0.2">
      <c r="AK3474" s="725">
        <f t="shared" si="68"/>
        <v>0</v>
      </c>
    </row>
    <row r="3475" spans="37:37" x14ac:dyDescent="0.2">
      <c r="AK3475" s="725">
        <f t="shared" si="68"/>
        <v>0</v>
      </c>
    </row>
    <row r="3476" spans="37:37" x14ac:dyDescent="0.2">
      <c r="AK3476" s="725">
        <f t="shared" si="68"/>
        <v>0</v>
      </c>
    </row>
    <row r="3477" spans="37:37" x14ac:dyDescent="0.2">
      <c r="AK3477" s="725">
        <f t="shared" si="68"/>
        <v>0</v>
      </c>
    </row>
    <row r="3478" spans="37:37" x14ac:dyDescent="0.2">
      <c r="AK3478" s="725">
        <f t="shared" si="68"/>
        <v>0</v>
      </c>
    </row>
    <row r="3479" spans="37:37" x14ac:dyDescent="0.2">
      <c r="AK3479" s="725">
        <f t="shared" si="68"/>
        <v>0</v>
      </c>
    </row>
    <row r="3480" spans="37:37" x14ac:dyDescent="0.2">
      <c r="AK3480" s="725">
        <f t="shared" ref="AK3480:AK3543" si="69">SUM(O3480:AJ3480)</f>
        <v>0</v>
      </c>
    </row>
    <row r="3481" spans="37:37" x14ac:dyDescent="0.2">
      <c r="AK3481" s="725">
        <f t="shared" si="69"/>
        <v>0</v>
      </c>
    </row>
    <row r="3482" spans="37:37" x14ac:dyDescent="0.2">
      <c r="AK3482" s="725">
        <f t="shared" si="69"/>
        <v>0</v>
      </c>
    </row>
    <row r="3483" spans="37:37" x14ac:dyDescent="0.2">
      <c r="AK3483" s="725">
        <f t="shared" si="69"/>
        <v>0</v>
      </c>
    </row>
    <row r="3484" spans="37:37" x14ac:dyDescent="0.2">
      <c r="AK3484" s="725">
        <f t="shared" si="69"/>
        <v>0</v>
      </c>
    </row>
    <row r="3485" spans="37:37" x14ac:dyDescent="0.2">
      <c r="AK3485" s="725">
        <f t="shared" si="69"/>
        <v>0</v>
      </c>
    </row>
    <row r="3486" spans="37:37" x14ac:dyDescent="0.2">
      <c r="AK3486" s="725">
        <f t="shared" si="69"/>
        <v>0</v>
      </c>
    </row>
    <row r="3487" spans="37:37" x14ac:dyDescent="0.2">
      <c r="AK3487" s="725">
        <f t="shared" si="69"/>
        <v>0</v>
      </c>
    </row>
    <row r="3488" spans="37:37" x14ac:dyDescent="0.2">
      <c r="AK3488" s="725">
        <f t="shared" si="69"/>
        <v>0</v>
      </c>
    </row>
    <row r="3489" spans="37:37" x14ac:dyDescent="0.2">
      <c r="AK3489" s="725">
        <f t="shared" si="69"/>
        <v>0</v>
      </c>
    </row>
    <row r="3490" spans="37:37" x14ac:dyDescent="0.2">
      <c r="AK3490" s="725">
        <f t="shared" si="69"/>
        <v>0</v>
      </c>
    </row>
    <row r="3491" spans="37:37" x14ac:dyDescent="0.2">
      <c r="AK3491" s="725">
        <f t="shared" si="69"/>
        <v>0</v>
      </c>
    </row>
    <row r="3492" spans="37:37" x14ac:dyDescent="0.2">
      <c r="AK3492" s="725">
        <f t="shared" si="69"/>
        <v>0</v>
      </c>
    </row>
    <row r="3493" spans="37:37" x14ac:dyDescent="0.2">
      <c r="AK3493" s="725">
        <f t="shared" si="69"/>
        <v>0</v>
      </c>
    </row>
    <row r="3494" spans="37:37" x14ac:dyDescent="0.2">
      <c r="AK3494" s="725">
        <f t="shared" si="69"/>
        <v>0</v>
      </c>
    </row>
    <row r="3495" spans="37:37" x14ac:dyDescent="0.2">
      <c r="AK3495" s="725">
        <f t="shared" si="69"/>
        <v>0</v>
      </c>
    </row>
    <row r="3496" spans="37:37" x14ac:dyDescent="0.2">
      <c r="AK3496" s="725">
        <f t="shared" si="69"/>
        <v>0</v>
      </c>
    </row>
    <row r="3497" spans="37:37" x14ac:dyDescent="0.2">
      <c r="AK3497" s="725">
        <f t="shared" si="69"/>
        <v>0</v>
      </c>
    </row>
    <row r="3498" spans="37:37" x14ac:dyDescent="0.2">
      <c r="AK3498" s="725">
        <f t="shared" si="69"/>
        <v>0</v>
      </c>
    </row>
    <row r="3499" spans="37:37" x14ac:dyDescent="0.2">
      <c r="AK3499" s="725">
        <f t="shared" si="69"/>
        <v>0</v>
      </c>
    </row>
    <row r="3500" spans="37:37" x14ac:dyDescent="0.2">
      <c r="AK3500" s="725">
        <f t="shared" si="69"/>
        <v>0</v>
      </c>
    </row>
    <row r="3501" spans="37:37" x14ac:dyDescent="0.2">
      <c r="AK3501" s="725">
        <f t="shared" si="69"/>
        <v>0</v>
      </c>
    </row>
    <row r="3502" spans="37:37" x14ac:dyDescent="0.2">
      <c r="AK3502" s="725">
        <f t="shared" si="69"/>
        <v>0</v>
      </c>
    </row>
    <row r="3503" spans="37:37" x14ac:dyDescent="0.2">
      <c r="AK3503" s="725">
        <f t="shared" si="69"/>
        <v>0</v>
      </c>
    </row>
    <row r="3504" spans="37:37" x14ac:dyDescent="0.2">
      <c r="AK3504" s="725">
        <f t="shared" si="69"/>
        <v>0</v>
      </c>
    </row>
    <row r="3505" spans="37:37" x14ac:dyDescent="0.2">
      <c r="AK3505" s="725">
        <f t="shared" si="69"/>
        <v>0</v>
      </c>
    </row>
    <row r="3506" spans="37:37" x14ac:dyDescent="0.2">
      <c r="AK3506" s="725">
        <f t="shared" si="69"/>
        <v>0</v>
      </c>
    </row>
    <row r="3507" spans="37:37" x14ac:dyDescent="0.2">
      <c r="AK3507" s="725">
        <f t="shared" si="69"/>
        <v>0</v>
      </c>
    </row>
    <row r="3508" spans="37:37" x14ac:dyDescent="0.2">
      <c r="AK3508" s="725">
        <f t="shared" si="69"/>
        <v>0</v>
      </c>
    </row>
    <row r="3509" spans="37:37" x14ac:dyDescent="0.2">
      <c r="AK3509" s="725">
        <f t="shared" si="69"/>
        <v>0</v>
      </c>
    </row>
    <row r="3510" spans="37:37" x14ac:dyDescent="0.2">
      <c r="AK3510" s="725">
        <f t="shared" si="69"/>
        <v>0</v>
      </c>
    </row>
    <row r="3511" spans="37:37" x14ac:dyDescent="0.2">
      <c r="AK3511" s="725">
        <f t="shared" si="69"/>
        <v>0</v>
      </c>
    </row>
    <row r="3512" spans="37:37" x14ac:dyDescent="0.2">
      <c r="AK3512" s="725">
        <f t="shared" si="69"/>
        <v>0</v>
      </c>
    </row>
    <row r="3513" spans="37:37" x14ac:dyDescent="0.2">
      <c r="AK3513" s="725">
        <f t="shared" si="69"/>
        <v>0</v>
      </c>
    </row>
    <row r="3514" spans="37:37" x14ac:dyDescent="0.2">
      <c r="AK3514" s="725">
        <f t="shared" si="69"/>
        <v>0</v>
      </c>
    </row>
    <row r="3515" spans="37:37" x14ac:dyDescent="0.2">
      <c r="AK3515" s="725">
        <f t="shared" si="69"/>
        <v>0</v>
      </c>
    </row>
    <row r="3516" spans="37:37" x14ac:dyDescent="0.2">
      <c r="AK3516" s="725">
        <f t="shared" si="69"/>
        <v>0</v>
      </c>
    </row>
    <row r="3517" spans="37:37" x14ac:dyDescent="0.2">
      <c r="AK3517" s="725">
        <f t="shared" si="69"/>
        <v>0</v>
      </c>
    </row>
    <row r="3518" spans="37:37" x14ac:dyDescent="0.2">
      <c r="AK3518" s="725">
        <f t="shared" si="69"/>
        <v>0</v>
      </c>
    </row>
    <row r="3519" spans="37:37" x14ac:dyDescent="0.2">
      <c r="AK3519" s="725">
        <f t="shared" si="69"/>
        <v>0</v>
      </c>
    </row>
    <row r="3520" spans="37:37" x14ac:dyDescent="0.2">
      <c r="AK3520" s="725">
        <f t="shared" si="69"/>
        <v>0</v>
      </c>
    </row>
    <row r="3521" spans="37:37" x14ac:dyDescent="0.2">
      <c r="AK3521" s="725">
        <f t="shared" si="69"/>
        <v>0</v>
      </c>
    </row>
    <row r="3522" spans="37:37" x14ac:dyDescent="0.2">
      <c r="AK3522" s="725">
        <f t="shared" si="69"/>
        <v>0</v>
      </c>
    </row>
    <row r="3523" spans="37:37" x14ac:dyDescent="0.2">
      <c r="AK3523" s="725">
        <f t="shared" si="69"/>
        <v>0</v>
      </c>
    </row>
    <row r="3524" spans="37:37" x14ac:dyDescent="0.2">
      <c r="AK3524" s="725">
        <f t="shared" si="69"/>
        <v>0</v>
      </c>
    </row>
    <row r="3525" spans="37:37" x14ac:dyDescent="0.2">
      <c r="AK3525" s="725">
        <f t="shared" si="69"/>
        <v>0</v>
      </c>
    </row>
    <row r="3526" spans="37:37" x14ac:dyDescent="0.2">
      <c r="AK3526" s="725">
        <f t="shared" si="69"/>
        <v>0</v>
      </c>
    </row>
    <row r="3527" spans="37:37" x14ac:dyDescent="0.2">
      <c r="AK3527" s="725">
        <f t="shared" si="69"/>
        <v>0</v>
      </c>
    </row>
    <row r="3528" spans="37:37" x14ac:dyDescent="0.2">
      <c r="AK3528" s="725">
        <f t="shared" si="69"/>
        <v>0</v>
      </c>
    </row>
    <row r="3529" spans="37:37" x14ac:dyDescent="0.2">
      <c r="AK3529" s="725">
        <f t="shared" si="69"/>
        <v>0</v>
      </c>
    </row>
    <row r="3530" spans="37:37" x14ac:dyDescent="0.2">
      <c r="AK3530" s="725">
        <f t="shared" si="69"/>
        <v>0</v>
      </c>
    </row>
    <row r="3531" spans="37:37" x14ac:dyDescent="0.2">
      <c r="AK3531" s="725">
        <f t="shared" si="69"/>
        <v>0</v>
      </c>
    </row>
    <row r="3532" spans="37:37" x14ac:dyDescent="0.2">
      <c r="AK3532" s="725">
        <f t="shared" si="69"/>
        <v>0</v>
      </c>
    </row>
    <row r="3533" spans="37:37" x14ac:dyDescent="0.2">
      <c r="AK3533" s="725">
        <f t="shared" si="69"/>
        <v>0</v>
      </c>
    </row>
    <row r="3534" spans="37:37" x14ac:dyDescent="0.2">
      <c r="AK3534" s="725">
        <f t="shared" si="69"/>
        <v>0</v>
      </c>
    </row>
    <row r="3535" spans="37:37" x14ac:dyDescent="0.2">
      <c r="AK3535" s="725">
        <f t="shared" si="69"/>
        <v>0</v>
      </c>
    </row>
    <row r="3536" spans="37:37" x14ac:dyDescent="0.2">
      <c r="AK3536" s="725">
        <f t="shared" si="69"/>
        <v>0</v>
      </c>
    </row>
    <row r="3537" spans="37:37" x14ac:dyDescent="0.2">
      <c r="AK3537" s="725">
        <f t="shared" si="69"/>
        <v>0</v>
      </c>
    </row>
    <row r="3538" spans="37:37" x14ac:dyDescent="0.2">
      <c r="AK3538" s="725">
        <f t="shared" si="69"/>
        <v>0</v>
      </c>
    </row>
    <row r="3539" spans="37:37" x14ac:dyDescent="0.2">
      <c r="AK3539" s="725">
        <f t="shared" si="69"/>
        <v>0</v>
      </c>
    </row>
    <row r="3540" spans="37:37" x14ac:dyDescent="0.2">
      <c r="AK3540" s="725">
        <f t="shared" si="69"/>
        <v>0</v>
      </c>
    </row>
    <row r="3541" spans="37:37" x14ac:dyDescent="0.2">
      <c r="AK3541" s="725">
        <f t="shared" si="69"/>
        <v>0</v>
      </c>
    </row>
    <row r="3542" spans="37:37" x14ac:dyDescent="0.2">
      <c r="AK3542" s="725">
        <f t="shared" si="69"/>
        <v>0</v>
      </c>
    </row>
    <row r="3543" spans="37:37" x14ac:dyDescent="0.2">
      <c r="AK3543" s="725">
        <f t="shared" si="69"/>
        <v>0</v>
      </c>
    </row>
    <row r="3544" spans="37:37" x14ac:dyDescent="0.2">
      <c r="AK3544" s="725">
        <f t="shared" ref="AK3544:AK3607" si="70">SUM(O3544:AJ3544)</f>
        <v>0</v>
      </c>
    </row>
    <row r="3545" spans="37:37" x14ac:dyDescent="0.2">
      <c r="AK3545" s="725">
        <f t="shared" si="70"/>
        <v>0</v>
      </c>
    </row>
    <row r="3546" spans="37:37" x14ac:dyDescent="0.2">
      <c r="AK3546" s="725">
        <f t="shared" si="70"/>
        <v>0</v>
      </c>
    </row>
    <row r="3547" spans="37:37" x14ac:dyDescent="0.2">
      <c r="AK3547" s="725">
        <f t="shared" si="70"/>
        <v>0</v>
      </c>
    </row>
    <row r="3548" spans="37:37" x14ac:dyDescent="0.2">
      <c r="AK3548" s="725">
        <f t="shared" si="70"/>
        <v>0</v>
      </c>
    </row>
    <row r="3549" spans="37:37" x14ac:dyDescent="0.2">
      <c r="AK3549" s="725">
        <f t="shared" si="70"/>
        <v>0</v>
      </c>
    </row>
    <row r="3550" spans="37:37" x14ac:dyDescent="0.2">
      <c r="AK3550" s="725">
        <f t="shared" si="70"/>
        <v>0</v>
      </c>
    </row>
    <row r="3551" spans="37:37" x14ac:dyDescent="0.2">
      <c r="AK3551" s="725">
        <f t="shared" si="70"/>
        <v>0</v>
      </c>
    </row>
    <row r="3552" spans="37:37" x14ac:dyDescent="0.2">
      <c r="AK3552" s="725">
        <f t="shared" si="70"/>
        <v>0</v>
      </c>
    </row>
    <row r="3553" spans="37:37" x14ac:dyDescent="0.2">
      <c r="AK3553" s="725">
        <f t="shared" si="70"/>
        <v>0</v>
      </c>
    </row>
    <row r="3554" spans="37:37" x14ac:dyDescent="0.2">
      <c r="AK3554" s="725">
        <f t="shared" si="70"/>
        <v>0</v>
      </c>
    </row>
    <row r="3555" spans="37:37" x14ac:dyDescent="0.2">
      <c r="AK3555" s="725">
        <f t="shared" si="70"/>
        <v>0</v>
      </c>
    </row>
    <row r="3556" spans="37:37" x14ac:dyDescent="0.2">
      <c r="AK3556" s="725">
        <f t="shared" si="70"/>
        <v>0</v>
      </c>
    </row>
    <row r="3557" spans="37:37" x14ac:dyDescent="0.2">
      <c r="AK3557" s="725">
        <f t="shared" si="70"/>
        <v>0</v>
      </c>
    </row>
    <row r="3558" spans="37:37" x14ac:dyDescent="0.2">
      <c r="AK3558" s="725">
        <f t="shared" si="70"/>
        <v>0</v>
      </c>
    </row>
    <row r="3559" spans="37:37" x14ac:dyDescent="0.2">
      <c r="AK3559" s="725">
        <f t="shared" si="70"/>
        <v>0</v>
      </c>
    </row>
    <row r="3560" spans="37:37" x14ac:dyDescent="0.2">
      <c r="AK3560" s="725">
        <f t="shared" si="70"/>
        <v>0</v>
      </c>
    </row>
    <row r="3561" spans="37:37" x14ac:dyDescent="0.2">
      <c r="AK3561" s="725">
        <f t="shared" si="70"/>
        <v>0</v>
      </c>
    </row>
    <row r="3562" spans="37:37" x14ac:dyDescent="0.2">
      <c r="AK3562" s="725">
        <f t="shared" si="70"/>
        <v>0</v>
      </c>
    </row>
    <row r="3563" spans="37:37" x14ac:dyDescent="0.2">
      <c r="AK3563" s="725">
        <f t="shared" si="70"/>
        <v>0</v>
      </c>
    </row>
    <row r="3564" spans="37:37" x14ac:dyDescent="0.2">
      <c r="AK3564" s="725">
        <f t="shared" si="70"/>
        <v>0</v>
      </c>
    </row>
    <row r="3565" spans="37:37" x14ac:dyDescent="0.2">
      <c r="AK3565" s="725">
        <f t="shared" si="70"/>
        <v>0</v>
      </c>
    </row>
    <row r="3566" spans="37:37" x14ac:dyDescent="0.2">
      <c r="AK3566" s="725">
        <f t="shared" si="70"/>
        <v>0</v>
      </c>
    </row>
    <row r="3567" spans="37:37" x14ac:dyDescent="0.2">
      <c r="AK3567" s="725">
        <f t="shared" si="70"/>
        <v>0</v>
      </c>
    </row>
    <row r="3568" spans="37:37" x14ac:dyDescent="0.2">
      <c r="AK3568" s="725">
        <f t="shared" si="70"/>
        <v>0</v>
      </c>
    </row>
    <row r="3569" spans="37:37" x14ac:dyDescent="0.2">
      <c r="AK3569" s="725">
        <f t="shared" si="70"/>
        <v>0</v>
      </c>
    </row>
    <row r="3570" spans="37:37" x14ac:dyDescent="0.2">
      <c r="AK3570" s="725">
        <f t="shared" si="70"/>
        <v>0</v>
      </c>
    </row>
    <row r="3571" spans="37:37" x14ac:dyDescent="0.2">
      <c r="AK3571" s="725">
        <f t="shared" si="70"/>
        <v>0</v>
      </c>
    </row>
    <row r="3572" spans="37:37" x14ac:dyDescent="0.2">
      <c r="AK3572" s="725">
        <f t="shared" si="70"/>
        <v>0</v>
      </c>
    </row>
    <row r="3573" spans="37:37" x14ac:dyDescent="0.2">
      <c r="AK3573" s="725">
        <f t="shared" si="70"/>
        <v>0</v>
      </c>
    </row>
    <row r="3574" spans="37:37" x14ac:dyDescent="0.2">
      <c r="AK3574" s="725">
        <f t="shared" si="70"/>
        <v>0</v>
      </c>
    </row>
    <row r="3575" spans="37:37" x14ac:dyDescent="0.2">
      <c r="AK3575" s="725">
        <f t="shared" si="70"/>
        <v>0</v>
      </c>
    </row>
    <row r="3576" spans="37:37" x14ac:dyDescent="0.2">
      <c r="AK3576" s="725">
        <f t="shared" si="70"/>
        <v>0</v>
      </c>
    </row>
    <row r="3577" spans="37:37" x14ac:dyDescent="0.2">
      <c r="AK3577" s="725">
        <f t="shared" si="70"/>
        <v>0</v>
      </c>
    </row>
    <row r="3578" spans="37:37" x14ac:dyDescent="0.2">
      <c r="AK3578" s="725">
        <f t="shared" si="70"/>
        <v>0</v>
      </c>
    </row>
    <row r="3579" spans="37:37" x14ac:dyDescent="0.2">
      <c r="AK3579" s="725">
        <f t="shared" si="70"/>
        <v>0</v>
      </c>
    </row>
    <row r="3580" spans="37:37" x14ac:dyDescent="0.2">
      <c r="AK3580" s="725">
        <f t="shared" si="70"/>
        <v>0</v>
      </c>
    </row>
    <row r="3581" spans="37:37" x14ac:dyDescent="0.2">
      <c r="AK3581" s="725">
        <f t="shared" si="70"/>
        <v>0</v>
      </c>
    </row>
    <row r="3582" spans="37:37" x14ac:dyDescent="0.2">
      <c r="AK3582" s="725">
        <f t="shared" si="70"/>
        <v>0</v>
      </c>
    </row>
    <row r="3583" spans="37:37" x14ac:dyDescent="0.2">
      <c r="AK3583" s="725">
        <f t="shared" si="70"/>
        <v>0</v>
      </c>
    </row>
    <row r="3584" spans="37:37" x14ac:dyDescent="0.2">
      <c r="AK3584" s="725">
        <f t="shared" si="70"/>
        <v>0</v>
      </c>
    </row>
    <row r="3585" spans="37:37" x14ac:dyDescent="0.2">
      <c r="AK3585" s="725">
        <f t="shared" si="70"/>
        <v>0</v>
      </c>
    </row>
    <row r="3586" spans="37:37" x14ac:dyDescent="0.2">
      <c r="AK3586" s="725">
        <f t="shared" si="70"/>
        <v>0</v>
      </c>
    </row>
    <row r="3587" spans="37:37" x14ac:dyDescent="0.2">
      <c r="AK3587" s="725">
        <f t="shared" si="70"/>
        <v>0</v>
      </c>
    </row>
    <row r="3588" spans="37:37" x14ac:dyDescent="0.2">
      <c r="AK3588" s="725">
        <f t="shared" si="70"/>
        <v>0</v>
      </c>
    </row>
    <row r="3589" spans="37:37" x14ac:dyDescent="0.2">
      <c r="AK3589" s="725">
        <f t="shared" si="70"/>
        <v>0</v>
      </c>
    </row>
    <row r="3590" spans="37:37" x14ac:dyDescent="0.2">
      <c r="AK3590" s="725">
        <f t="shared" si="70"/>
        <v>0</v>
      </c>
    </row>
    <row r="3591" spans="37:37" x14ac:dyDescent="0.2">
      <c r="AK3591" s="725">
        <f t="shared" si="70"/>
        <v>0</v>
      </c>
    </row>
    <row r="3592" spans="37:37" x14ac:dyDescent="0.2">
      <c r="AK3592" s="725">
        <f t="shared" si="70"/>
        <v>0</v>
      </c>
    </row>
    <row r="3593" spans="37:37" x14ac:dyDescent="0.2">
      <c r="AK3593" s="725">
        <f t="shared" si="70"/>
        <v>0</v>
      </c>
    </row>
    <row r="3594" spans="37:37" x14ac:dyDescent="0.2">
      <c r="AK3594" s="725">
        <f t="shared" si="70"/>
        <v>0</v>
      </c>
    </row>
    <row r="3595" spans="37:37" x14ac:dyDescent="0.2">
      <c r="AK3595" s="725">
        <f t="shared" si="70"/>
        <v>0</v>
      </c>
    </row>
    <row r="3596" spans="37:37" x14ac:dyDescent="0.2">
      <c r="AK3596" s="725">
        <f t="shared" si="70"/>
        <v>0</v>
      </c>
    </row>
    <row r="3597" spans="37:37" x14ac:dyDescent="0.2">
      <c r="AK3597" s="725">
        <f t="shared" si="70"/>
        <v>0</v>
      </c>
    </row>
    <row r="3598" spans="37:37" x14ac:dyDescent="0.2">
      <c r="AK3598" s="725">
        <f t="shared" si="70"/>
        <v>0</v>
      </c>
    </row>
    <row r="3599" spans="37:37" x14ac:dyDescent="0.2">
      <c r="AK3599" s="725">
        <f t="shared" si="70"/>
        <v>0</v>
      </c>
    </row>
    <row r="3600" spans="37:37" x14ac:dyDescent="0.2">
      <c r="AK3600" s="725">
        <f t="shared" si="70"/>
        <v>0</v>
      </c>
    </row>
    <row r="3601" spans="37:37" x14ac:dyDescent="0.2">
      <c r="AK3601" s="725">
        <f t="shared" si="70"/>
        <v>0</v>
      </c>
    </row>
    <row r="3602" spans="37:37" x14ac:dyDescent="0.2">
      <c r="AK3602" s="725">
        <f t="shared" si="70"/>
        <v>0</v>
      </c>
    </row>
    <row r="3603" spans="37:37" x14ac:dyDescent="0.2">
      <c r="AK3603" s="725">
        <f t="shared" si="70"/>
        <v>0</v>
      </c>
    </row>
    <row r="3604" spans="37:37" x14ac:dyDescent="0.2">
      <c r="AK3604" s="725">
        <f t="shared" si="70"/>
        <v>0</v>
      </c>
    </row>
    <row r="3605" spans="37:37" x14ac:dyDescent="0.2">
      <c r="AK3605" s="725">
        <f t="shared" si="70"/>
        <v>0</v>
      </c>
    </row>
    <row r="3606" spans="37:37" x14ac:dyDescent="0.2">
      <c r="AK3606" s="725">
        <f t="shared" si="70"/>
        <v>0</v>
      </c>
    </row>
    <row r="3607" spans="37:37" x14ac:dyDescent="0.2">
      <c r="AK3607" s="725">
        <f t="shared" si="70"/>
        <v>0</v>
      </c>
    </row>
    <row r="3608" spans="37:37" x14ac:dyDescent="0.2">
      <c r="AK3608" s="725">
        <f t="shared" ref="AK3608:AK3671" si="71">SUM(O3608:AJ3608)</f>
        <v>0</v>
      </c>
    </row>
    <row r="3609" spans="37:37" x14ac:dyDescent="0.2">
      <c r="AK3609" s="725">
        <f t="shared" si="71"/>
        <v>0</v>
      </c>
    </row>
    <row r="3610" spans="37:37" x14ac:dyDescent="0.2">
      <c r="AK3610" s="725">
        <f t="shared" si="71"/>
        <v>0</v>
      </c>
    </row>
    <row r="3611" spans="37:37" x14ac:dyDescent="0.2">
      <c r="AK3611" s="725">
        <f t="shared" si="71"/>
        <v>0</v>
      </c>
    </row>
    <row r="3612" spans="37:37" x14ac:dyDescent="0.2">
      <c r="AK3612" s="725">
        <f t="shared" si="71"/>
        <v>0</v>
      </c>
    </row>
    <row r="3613" spans="37:37" x14ac:dyDescent="0.2">
      <c r="AK3613" s="725">
        <f t="shared" si="71"/>
        <v>0</v>
      </c>
    </row>
    <row r="3614" spans="37:37" x14ac:dyDescent="0.2">
      <c r="AK3614" s="725">
        <f t="shared" si="71"/>
        <v>0</v>
      </c>
    </row>
    <row r="3615" spans="37:37" x14ac:dyDescent="0.2">
      <c r="AK3615" s="725">
        <f t="shared" si="71"/>
        <v>0</v>
      </c>
    </row>
    <row r="3616" spans="37:37" x14ac:dyDescent="0.2">
      <c r="AK3616" s="725">
        <f t="shared" si="71"/>
        <v>0</v>
      </c>
    </row>
    <row r="3617" spans="37:37" x14ac:dyDescent="0.2">
      <c r="AK3617" s="725">
        <f t="shared" si="71"/>
        <v>0</v>
      </c>
    </row>
    <row r="3618" spans="37:37" x14ac:dyDescent="0.2">
      <c r="AK3618" s="725">
        <f t="shared" si="71"/>
        <v>0</v>
      </c>
    </row>
    <row r="3619" spans="37:37" x14ac:dyDescent="0.2">
      <c r="AK3619" s="725">
        <f t="shared" si="71"/>
        <v>0</v>
      </c>
    </row>
    <row r="3620" spans="37:37" x14ac:dyDescent="0.2">
      <c r="AK3620" s="725">
        <f t="shared" si="71"/>
        <v>0</v>
      </c>
    </row>
    <row r="3621" spans="37:37" x14ac:dyDescent="0.2">
      <c r="AK3621" s="725">
        <f t="shared" si="71"/>
        <v>0</v>
      </c>
    </row>
    <row r="3622" spans="37:37" x14ac:dyDescent="0.2">
      <c r="AK3622" s="725">
        <f t="shared" si="71"/>
        <v>0</v>
      </c>
    </row>
    <row r="3623" spans="37:37" x14ac:dyDescent="0.2">
      <c r="AK3623" s="725">
        <f t="shared" si="71"/>
        <v>0</v>
      </c>
    </row>
    <row r="3624" spans="37:37" x14ac:dyDescent="0.2">
      <c r="AK3624" s="725">
        <f t="shared" si="71"/>
        <v>0</v>
      </c>
    </row>
    <row r="3625" spans="37:37" x14ac:dyDescent="0.2">
      <c r="AK3625" s="725">
        <f t="shared" si="71"/>
        <v>0</v>
      </c>
    </row>
    <row r="3626" spans="37:37" x14ac:dyDescent="0.2">
      <c r="AK3626" s="725">
        <f t="shared" si="71"/>
        <v>0</v>
      </c>
    </row>
    <row r="3627" spans="37:37" x14ac:dyDescent="0.2">
      <c r="AK3627" s="725">
        <f t="shared" si="71"/>
        <v>0</v>
      </c>
    </row>
    <row r="3628" spans="37:37" x14ac:dyDescent="0.2">
      <c r="AK3628" s="725">
        <f t="shared" si="71"/>
        <v>0</v>
      </c>
    </row>
    <row r="3629" spans="37:37" x14ac:dyDescent="0.2">
      <c r="AK3629" s="725">
        <f t="shared" si="71"/>
        <v>0</v>
      </c>
    </row>
    <row r="3630" spans="37:37" x14ac:dyDescent="0.2">
      <c r="AK3630" s="725">
        <f t="shared" si="71"/>
        <v>0</v>
      </c>
    </row>
    <row r="3631" spans="37:37" x14ac:dyDescent="0.2">
      <c r="AK3631" s="725">
        <f t="shared" si="71"/>
        <v>0</v>
      </c>
    </row>
    <row r="3632" spans="37:37" x14ac:dyDescent="0.2">
      <c r="AK3632" s="725">
        <f t="shared" si="71"/>
        <v>0</v>
      </c>
    </row>
    <row r="3633" spans="37:37" x14ac:dyDescent="0.2">
      <c r="AK3633" s="725">
        <f t="shared" si="71"/>
        <v>0</v>
      </c>
    </row>
    <row r="3634" spans="37:37" x14ac:dyDescent="0.2">
      <c r="AK3634" s="725">
        <f t="shared" si="71"/>
        <v>0</v>
      </c>
    </row>
    <row r="3635" spans="37:37" x14ac:dyDescent="0.2">
      <c r="AK3635" s="725">
        <f t="shared" si="71"/>
        <v>0</v>
      </c>
    </row>
    <row r="3636" spans="37:37" x14ac:dyDescent="0.2">
      <c r="AK3636" s="725">
        <f t="shared" si="71"/>
        <v>0</v>
      </c>
    </row>
    <row r="3637" spans="37:37" x14ac:dyDescent="0.2">
      <c r="AK3637" s="725">
        <f t="shared" si="71"/>
        <v>0</v>
      </c>
    </row>
    <row r="3638" spans="37:37" x14ac:dyDescent="0.2">
      <c r="AK3638" s="725">
        <f t="shared" si="71"/>
        <v>0</v>
      </c>
    </row>
    <row r="3639" spans="37:37" x14ac:dyDescent="0.2">
      <c r="AK3639" s="725">
        <f t="shared" si="71"/>
        <v>0</v>
      </c>
    </row>
    <row r="3640" spans="37:37" x14ac:dyDescent="0.2">
      <c r="AK3640" s="725">
        <f t="shared" si="71"/>
        <v>0</v>
      </c>
    </row>
    <row r="3641" spans="37:37" x14ac:dyDescent="0.2">
      <c r="AK3641" s="725">
        <f t="shared" si="71"/>
        <v>0</v>
      </c>
    </row>
    <row r="3642" spans="37:37" x14ac:dyDescent="0.2">
      <c r="AK3642" s="725">
        <f t="shared" si="71"/>
        <v>0</v>
      </c>
    </row>
    <row r="3643" spans="37:37" x14ac:dyDescent="0.2">
      <c r="AK3643" s="725">
        <f t="shared" si="71"/>
        <v>0</v>
      </c>
    </row>
    <row r="3644" spans="37:37" x14ac:dyDescent="0.2">
      <c r="AK3644" s="725">
        <f t="shared" si="71"/>
        <v>0</v>
      </c>
    </row>
    <row r="3645" spans="37:37" x14ac:dyDescent="0.2">
      <c r="AK3645" s="725">
        <f t="shared" si="71"/>
        <v>0</v>
      </c>
    </row>
    <row r="3646" spans="37:37" x14ac:dyDescent="0.2">
      <c r="AK3646" s="725">
        <f t="shared" si="71"/>
        <v>0</v>
      </c>
    </row>
    <row r="3647" spans="37:37" x14ac:dyDescent="0.2">
      <c r="AK3647" s="725">
        <f t="shared" si="71"/>
        <v>0</v>
      </c>
    </row>
    <row r="3648" spans="37:37" x14ac:dyDescent="0.2">
      <c r="AK3648" s="725">
        <f t="shared" si="71"/>
        <v>0</v>
      </c>
    </row>
    <row r="3649" spans="37:37" x14ac:dyDescent="0.2">
      <c r="AK3649" s="725">
        <f t="shared" si="71"/>
        <v>0</v>
      </c>
    </row>
    <row r="3650" spans="37:37" x14ac:dyDescent="0.2">
      <c r="AK3650" s="725">
        <f t="shared" si="71"/>
        <v>0</v>
      </c>
    </row>
    <row r="3651" spans="37:37" x14ac:dyDescent="0.2">
      <c r="AK3651" s="725">
        <f t="shared" si="71"/>
        <v>0</v>
      </c>
    </row>
    <row r="3652" spans="37:37" x14ac:dyDescent="0.2">
      <c r="AK3652" s="725">
        <f t="shared" si="71"/>
        <v>0</v>
      </c>
    </row>
    <row r="3653" spans="37:37" x14ac:dyDescent="0.2">
      <c r="AK3653" s="725">
        <f t="shared" si="71"/>
        <v>0</v>
      </c>
    </row>
    <row r="3654" spans="37:37" x14ac:dyDescent="0.2">
      <c r="AK3654" s="725">
        <f t="shared" si="71"/>
        <v>0</v>
      </c>
    </row>
    <row r="3655" spans="37:37" x14ac:dyDescent="0.2">
      <c r="AK3655" s="725">
        <f t="shared" si="71"/>
        <v>0</v>
      </c>
    </row>
    <row r="3656" spans="37:37" x14ac:dyDescent="0.2">
      <c r="AK3656" s="725">
        <f t="shared" si="71"/>
        <v>0</v>
      </c>
    </row>
    <row r="3657" spans="37:37" x14ac:dyDescent="0.2">
      <c r="AK3657" s="725">
        <f t="shared" si="71"/>
        <v>0</v>
      </c>
    </row>
    <row r="3658" spans="37:37" x14ac:dyDescent="0.2">
      <c r="AK3658" s="725">
        <f t="shared" si="71"/>
        <v>0</v>
      </c>
    </row>
    <row r="3659" spans="37:37" x14ac:dyDescent="0.2">
      <c r="AK3659" s="725">
        <f t="shared" si="71"/>
        <v>0</v>
      </c>
    </row>
    <row r="3660" spans="37:37" x14ac:dyDescent="0.2">
      <c r="AK3660" s="725">
        <f t="shared" si="71"/>
        <v>0</v>
      </c>
    </row>
    <row r="3661" spans="37:37" x14ac:dyDescent="0.2">
      <c r="AK3661" s="725">
        <f t="shared" si="71"/>
        <v>0</v>
      </c>
    </row>
    <row r="3662" spans="37:37" x14ac:dyDescent="0.2">
      <c r="AK3662" s="725">
        <f t="shared" si="71"/>
        <v>0</v>
      </c>
    </row>
    <row r="3663" spans="37:37" x14ac:dyDescent="0.2">
      <c r="AK3663" s="725">
        <f t="shared" si="71"/>
        <v>0</v>
      </c>
    </row>
    <row r="3664" spans="37:37" x14ac:dyDescent="0.2">
      <c r="AK3664" s="725">
        <f t="shared" si="71"/>
        <v>0</v>
      </c>
    </row>
    <row r="3665" spans="37:37" x14ac:dyDescent="0.2">
      <c r="AK3665" s="725">
        <f t="shared" si="71"/>
        <v>0</v>
      </c>
    </row>
    <row r="3666" spans="37:37" x14ac:dyDescent="0.2">
      <c r="AK3666" s="725">
        <f t="shared" si="71"/>
        <v>0</v>
      </c>
    </row>
    <row r="3667" spans="37:37" x14ac:dyDescent="0.2">
      <c r="AK3667" s="725">
        <f t="shared" si="71"/>
        <v>0</v>
      </c>
    </row>
    <row r="3668" spans="37:37" x14ac:dyDescent="0.2">
      <c r="AK3668" s="725">
        <f t="shared" si="71"/>
        <v>0</v>
      </c>
    </row>
    <row r="3669" spans="37:37" x14ac:dyDescent="0.2">
      <c r="AK3669" s="725">
        <f t="shared" si="71"/>
        <v>0</v>
      </c>
    </row>
    <row r="3670" spans="37:37" x14ac:dyDescent="0.2">
      <c r="AK3670" s="725">
        <f t="shared" si="71"/>
        <v>0</v>
      </c>
    </row>
    <row r="3671" spans="37:37" x14ac:dyDescent="0.2">
      <c r="AK3671" s="725">
        <f t="shared" si="71"/>
        <v>0</v>
      </c>
    </row>
    <row r="3672" spans="37:37" x14ac:dyDescent="0.2">
      <c r="AK3672" s="725">
        <f t="shared" ref="AK3672:AK3684" si="72">SUM(O3672:AJ3672)</f>
        <v>0</v>
      </c>
    </row>
    <row r="3673" spans="37:37" x14ac:dyDescent="0.2">
      <c r="AK3673" s="725">
        <f t="shared" si="72"/>
        <v>0</v>
      </c>
    </row>
    <row r="3674" spans="37:37" x14ac:dyDescent="0.2">
      <c r="AK3674" s="725">
        <f t="shared" si="72"/>
        <v>0</v>
      </c>
    </row>
    <row r="3675" spans="37:37" x14ac:dyDescent="0.2">
      <c r="AK3675" s="725">
        <f t="shared" si="72"/>
        <v>0</v>
      </c>
    </row>
    <row r="3676" spans="37:37" x14ac:dyDescent="0.2">
      <c r="AK3676" s="725">
        <f t="shared" si="72"/>
        <v>0</v>
      </c>
    </row>
    <row r="3677" spans="37:37" x14ac:dyDescent="0.2">
      <c r="AK3677" s="725">
        <f t="shared" si="72"/>
        <v>0</v>
      </c>
    </row>
    <row r="3678" spans="37:37" x14ac:dyDescent="0.2">
      <c r="AK3678" s="725">
        <f t="shared" si="72"/>
        <v>0</v>
      </c>
    </row>
    <row r="3679" spans="37:37" x14ac:dyDescent="0.2">
      <c r="AK3679" s="725">
        <f t="shared" si="72"/>
        <v>0</v>
      </c>
    </row>
    <row r="3680" spans="37:37" x14ac:dyDescent="0.2">
      <c r="AK3680" s="725">
        <f t="shared" si="72"/>
        <v>0</v>
      </c>
    </row>
    <row r="3681" spans="37:37" x14ac:dyDescent="0.2">
      <c r="AK3681" s="725">
        <f t="shared" si="72"/>
        <v>0</v>
      </c>
    </row>
    <row r="3682" spans="37:37" x14ac:dyDescent="0.2">
      <c r="AK3682" s="725">
        <f t="shared" si="72"/>
        <v>0</v>
      </c>
    </row>
    <row r="3683" spans="37:37" x14ac:dyDescent="0.2">
      <c r="AK3683" s="725">
        <f t="shared" si="72"/>
        <v>0</v>
      </c>
    </row>
    <row r="3684" spans="37:37" x14ac:dyDescent="0.2">
      <c r="AK3684" s="725">
        <f t="shared" si="72"/>
        <v>0</v>
      </c>
    </row>
  </sheetData>
  <mergeCells count="2">
    <mergeCell ref="H6:I6"/>
    <mergeCell ref="H20:I20"/>
  </mergeCells>
  <hyperlinks>
    <hyperlink ref="P15" r:id="rId1" display="=@if(+N10*$K$11*$K$12&gt;0,n10*$K$11*$K$12,0)" xr:uid="{00000000-0004-0000-0800-000000000000}"/>
    <hyperlink ref="Q15:AJ15" r:id="rId2" display="=@if(+N10*$K$11*$K$12&gt;0,n10*$K$11*$K$12,0)" xr:uid="{00000000-0004-0000-0800-000001000000}"/>
    <hyperlink ref="O15" r:id="rId3" display="=@if(+N10*$K$11*$K$12&gt;0,n10*$K$11*$K$12,0)" xr:uid="{00000000-0004-0000-0800-000002000000}"/>
    <hyperlink ref="AH15" r:id="rId4" display="=@if(+N10*$K$11*$K$12&gt;0,n10*$K$11*$K$12,0)" xr:uid="{00000000-0004-0000-0800-000003000000}"/>
    <hyperlink ref="AK15" r:id="rId5" display="=@if(+N10*$K$11*$K$12&gt;0,n10*$K$11*$K$12,0)" xr:uid="{00000000-0004-0000-0800-000004000000}"/>
  </hyperlinks>
  <pageMargins left="0.59055118110236227" right="0.35433070866141736" top="0.62992125984251968" bottom="0.6692913385826772" header="0.31496062992125984" footer="0.31496062992125984"/>
  <pageSetup paperSize="9" scale="43" orientation="landscape" r:id="rId6"/>
  <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4:M38"/>
  <sheetViews>
    <sheetView topLeftCell="A19" workbookViewId="0">
      <selection activeCell="H21" sqref="H21"/>
    </sheetView>
  </sheetViews>
  <sheetFormatPr defaultRowHeight="15" x14ac:dyDescent="0.2"/>
  <cols>
    <col min="1" max="1" width="8.88671875" style="719"/>
    <col min="2" max="2" width="8.44140625" style="719" customWidth="1"/>
    <col min="3" max="3" width="32.109375" style="719" customWidth="1"/>
    <col min="4" max="4" width="11.33203125" style="719" customWidth="1"/>
    <col min="5" max="5" width="12" style="719" customWidth="1"/>
    <col min="6" max="8" width="8.88671875" style="719"/>
    <col min="9" max="9" width="9" style="719" bestFit="1" customWidth="1"/>
    <col min="10" max="257" width="8.88671875" style="719"/>
    <col min="258" max="258" width="8.44140625" style="719" customWidth="1"/>
    <col min="259" max="259" width="32.109375" style="719" customWidth="1"/>
    <col min="260" max="260" width="11.33203125" style="719" customWidth="1"/>
    <col min="261" max="261" width="12" style="719" customWidth="1"/>
    <col min="262" max="264" width="8.88671875" style="719"/>
    <col min="265" max="265" width="9" style="719" bestFit="1" customWidth="1"/>
    <col min="266" max="513" width="8.88671875" style="719"/>
    <col min="514" max="514" width="8.44140625" style="719" customWidth="1"/>
    <col min="515" max="515" width="32.109375" style="719" customWidth="1"/>
    <col min="516" max="516" width="11.33203125" style="719" customWidth="1"/>
    <col min="517" max="517" width="12" style="719" customWidth="1"/>
    <col min="518" max="520" width="8.88671875" style="719"/>
    <col min="521" max="521" width="9" style="719" bestFit="1" customWidth="1"/>
    <col min="522" max="769" width="8.88671875" style="719"/>
    <col min="770" max="770" width="8.44140625" style="719" customWidth="1"/>
    <col min="771" max="771" width="32.109375" style="719" customWidth="1"/>
    <col min="772" max="772" width="11.33203125" style="719" customWidth="1"/>
    <col min="773" max="773" width="12" style="719" customWidth="1"/>
    <col min="774" max="776" width="8.88671875" style="719"/>
    <col min="777" max="777" width="9" style="719" bestFit="1" customWidth="1"/>
    <col min="778" max="1025" width="8.88671875" style="719"/>
    <col min="1026" max="1026" width="8.44140625" style="719" customWidth="1"/>
    <col min="1027" max="1027" width="32.109375" style="719" customWidth="1"/>
    <col min="1028" max="1028" width="11.33203125" style="719" customWidth="1"/>
    <col min="1029" max="1029" width="12" style="719" customWidth="1"/>
    <col min="1030" max="1032" width="8.88671875" style="719"/>
    <col min="1033" max="1033" width="9" style="719" bestFit="1" customWidth="1"/>
    <col min="1034" max="1281" width="8.88671875" style="719"/>
    <col min="1282" max="1282" width="8.44140625" style="719" customWidth="1"/>
    <col min="1283" max="1283" width="32.109375" style="719" customWidth="1"/>
    <col min="1284" max="1284" width="11.33203125" style="719" customWidth="1"/>
    <col min="1285" max="1285" width="12" style="719" customWidth="1"/>
    <col min="1286" max="1288" width="8.88671875" style="719"/>
    <col min="1289" max="1289" width="9" style="719" bestFit="1" customWidth="1"/>
    <col min="1290" max="1537" width="8.88671875" style="719"/>
    <col min="1538" max="1538" width="8.44140625" style="719" customWidth="1"/>
    <col min="1539" max="1539" width="32.109375" style="719" customWidth="1"/>
    <col min="1540" max="1540" width="11.33203125" style="719" customWidth="1"/>
    <col min="1541" max="1541" width="12" style="719" customWidth="1"/>
    <col min="1542" max="1544" width="8.88671875" style="719"/>
    <col min="1545" max="1545" width="9" style="719" bestFit="1" customWidth="1"/>
    <col min="1546" max="1793" width="8.88671875" style="719"/>
    <col min="1794" max="1794" width="8.44140625" style="719" customWidth="1"/>
    <col min="1795" max="1795" width="32.109375" style="719" customWidth="1"/>
    <col min="1796" max="1796" width="11.33203125" style="719" customWidth="1"/>
    <col min="1797" max="1797" width="12" style="719" customWidth="1"/>
    <col min="1798" max="1800" width="8.88671875" style="719"/>
    <col min="1801" max="1801" width="9" style="719" bestFit="1" customWidth="1"/>
    <col min="1802" max="2049" width="8.88671875" style="719"/>
    <col min="2050" max="2050" width="8.44140625" style="719" customWidth="1"/>
    <col min="2051" max="2051" width="32.109375" style="719" customWidth="1"/>
    <col min="2052" max="2052" width="11.33203125" style="719" customWidth="1"/>
    <col min="2053" max="2053" width="12" style="719" customWidth="1"/>
    <col min="2054" max="2056" width="8.88671875" style="719"/>
    <col min="2057" max="2057" width="9" style="719" bestFit="1" customWidth="1"/>
    <col min="2058" max="2305" width="8.88671875" style="719"/>
    <col min="2306" max="2306" width="8.44140625" style="719" customWidth="1"/>
    <col min="2307" max="2307" width="32.109375" style="719" customWidth="1"/>
    <col min="2308" max="2308" width="11.33203125" style="719" customWidth="1"/>
    <col min="2309" max="2309" width="12" style="719" customWidth="1"/>
    <col min="2310" max="2312" width="8.88671875" style="719"/>
    <col min="2313" max="2313" width="9" style="719" bestFit="1" customWidth="1"/>
    <col min="2314" max="2561" width="8.88671875" style="719"/>
    <col min="2562" max="2562" width="8.44140625" style="719" customWidth="1"/>
    <col min="2563" max="2563" width="32.109375" style="719" customWidth="1"/>
    <col min="2564" max="2564" width="11.33203125" style="719" customWidth="1"/>
    <col min="2565" max="2565" width="12" style="719" customWidth="1"/>
    <col min="2566" max="2568" width="8.88671875" style="719"/>
    <col min="2569" max="2569" width="9" style="719" bestFit="1" customWidth="1"/>
    <col min="2570" max="2817" width="8.88671875" style="719"/>
    <col min="2818" max="2818" width="8.44140625" style="719" customWidth="1"/>
    <col min="2819" max="2819" width="32.109375" style="719" customWidth="1"/>
    <col min="2820" max="2820" width="11.33203125" style="719" customWidth="1"/>
    <col min="2821" max="2821" width="12" style="719" customWidth="1"/>
    <col min="2822" max="2824" width="8.88671875" style="719"/>
    <col min="2825" max="2825" width="9" style="719" bestFit="1" customWidth="1"/>
    <col min="2826" max="3073" width="8.88671875" style="719"/>
    <col min="3074" max="3074" width="8.44140625" style="719" customWidth="1"/>
    <col min="3075" max="3075" width="32.109375" style="719" customWidth="1"/>
    <col min="3076" max="3076" width="11.33203125" style="719" customWidth="1"/>
    <col min="3077" max="3077" width="12" style="719" customWidth="1"/>
    <col min="3078" max="3080" width="8.88671875" style="719"/>
    <col min="3081" max="3081" width="9" style="719" bestFit="1" customWidth="1"/>
    <col min="3082" max="3329" width="8.88671875" style="719"/>
    <col min="3330" max="3330" width="8.44140625" style="719" customWidth="1"/>
    <col min="3331" max="3331" width="32.109375" style="719" customWidth="1"/>
    <col min="3332" max="3332" width="11.33203125" style="719" customWidth="1"/>
    <col min="3333" max="3333" width="12" style="719" customWidth="1"/>
    <col min="3334" max="3336" width="8.88671875" style="719"/>
    <col min="3337" max="3337" width="9" style="719" bestFit="1" customWidth="1"/>
    <col min="3338" max="3585" width="8.88671875" style="719"/>
    <col min="3586" max="3586" width="8.44140625" style="719" customWidth="1"/>
    <col min="3587" max="3587" width="32.109375" style="719" customWidth="1"/>
    <col min="3588" max="3588" width="11.33203125" style="719" customWidth="1"/>
    <col min="3589" max="3589" width="12" style="719" customWidth="1"/>
    <col min="3590" max="3592" width="8.88671875" style="719"/>
    <col min="3593" max="3593" width="9" style="719" bestFit="1" customWidth="1"/>
    <col min="3594" max="3841" width="8.88671875" style="719"/>
    <col min="3842" max="3842" width="8.44140625" style="719" customWidth="1"/>
    <col min="3843" max="3843" width="32.109375" style="719" customWidth="1"/>
    <col min="3844" max="3844" width="11.33203125" style="719" customWidth="1"/>
    <col min="3845" max="3845" width="12" style="719" customWidth="1"/>
    <col min="3846" max="3848" width="8.88671875" style="719"/>
    <col min="3849" max="3849" width="9" style="719" bestFit="1" customWidth="1"/>
    <col min="3850" max="4097" width="8.88671875" style="719"/>
    <col min="4098" max="4098" width="8.44140625" style="719" customWidth="1"/>
    <col min="4099" max="4099" width="32.109375" style="719" customWidth="1"/>
    <col min="4100" max="4100" width="11.33203125" style="719" customWidth="1"/>
    <col min="4101" max="4101" width="12" style="719" customWidth="1"/>
    <col min="4102" max="4104" width="8.88671875" style="719"/>
    <col min="4105" max="4105" width="9" style="719" bestFit="1" customWidth="1"/>
    <col min="4106" max="4353" width="8.88671875" style="719"/>
    <col min="4354" max="4354" width="8.44140625" style="719" customWidth="1"/>
    <col min="4355" max="4355" width="32.109375" style="719" customWidth="1"/>
    <col min="4356" max="4356" width="11.33203125" style="719" customWidth="1"/>
    <col min="4357" max="4357" width="12" style="719" customWidth="1"/>
    <col min="4358" max="4360" width="8.88671875" style="719"/>
    <col min="4361" max="4361" width="9" style="719" bestFit="1" customWidth="1"/>
    <col min="4362" max="4609" width="8.88671875" style="719"/>
    <col min="4610" max="4610" width="8.44140625" style="719" customWidth="1"/>
    <col min="4611" max="4611" width="32.109375" style="719" customWidth="1"/>
    <col min="4612" max="4612" width="11.33203125" style="719" customWidth="1"/>
    <col min="4613" max="4613" width="12" style="719" customWidth="1"/>
    <col min="4614" max="4616" width="8.88671875" style="719"/>
    <col min="4617" max="4617" width="9" style="719" bestFit="1" customWidth="1"/>
    <col min="4618" max="4865" width="8.88671875" style="719"/>
    <col min="4866" max="4866" width="8.44140625" style="719" customWidth="1"/>
    <col min="4867" max="4867" width="32.109375" style="719" customWidth="1"/>
    <col min="4868" max="4868" width="11.33203125" style="719" customWidth="1"/>
    <col min="4869" max="4869" width="12" style="719" customWidth="1"/>
    <col min="4870" max="4872" width="8.88671875" style="719"/>
    <col min="4873" max="4873" width="9" style="719" bestFit="1" customWidth="1"/>
    <col min="4874" max="5121" width="8.88671875" style="719"/>
    <col min="5122" max="5122" width="8.44140625" style="719" customWidth="1"/>
    <col min="5123" max="5123" width="32.109375" style="719" customWidth="1"/>
    <col min="5124" max="5124" width="11.33203125" style="719" customWidth="1"/>
    <col min="5125" max="5125" width="12" style="719" customWidth="1"/>
    <col min="5126" max="5128" width="8.88671875" style="719"/>
    <col min="5129" max="5129" width="9" style="719" bestFit="1" customWidth="1"/>
    <col min="5130" max="5377" width="8.88671875" style="719"/>
    <col min="5378" max="5378" width="8.44140625" style="719" customWidth="1"/>
    <col min="5379" max="5379" width="32.109375" style="719" customWidth="1"/>
    <col min="5380" max="5380" width="11.33203125" style="719" customWidth="1"/>
    <col min="5381" max="5381" width="12" style="719" customWidth="1"/>
    <col min="5382" max="5384" width="8.88671875" style="719"/>
    <col min="5385" max="5385" width="9" style="719" bestFit="1" customWidth="1"/>
    <col min="5386" max="5633" width="8.88671875" style="719"/>
    <col min="5634" max="5634" width="8.44140625" style="719" customWidth="1"/>
    <col min="5635" max="5635" width="32.109375" style="719" customWidth="1"/>
    <col min="5636" max="5636" width="11.33203125" style="719" customWidth="1"/>
    <col min="5637" max="5637" width="12" style="719" customWidth="1"/>
    <col min="5638" max="5640" width="8.88671875" style="719"/>
    <col min="5641" max="5641" width="9" style="719" bestFit="1" customWidth="1"/>
    <col min="5642" max="5889" width="8.88671875" style="719"/>
    <col min="5890" max="5890" width="8.44140625" style="719" customWidth="1"/>
    <col min="5891" max="5891" width="32.109375" style="719" customWidth="1"/>
    <col min="5892" max="5892" width="11.33203125" style="719" customWidth="1"/>
    <col min="5893" max="5893" width="12" style="719" customWidth="1"/>
    <col min="5894" max="5896" width="8.88671875" style="719"/>
    <col min="5897" max="5897" width="9" style="719" bestFit="1" customWidth="1"/>
    <col min="5898" max="6145" width="8.88671875" style="719"/>
    <col min="6146" max="6146" width="8.44140625" style="719" customWidth="1"/>
    <col min="6147" max="6147" width="32.109375" style="719" customWidth="1"/>
    <col min="6148" max="6148" width="11.33203125" style="719" customWidth="1"/>
    <col min="6149" max="6149" width="12" style="719" customWidth="1"/>
    <col min="6150" max="6152" width="8.88671875" style="719"/>
    <col min="6153" max="6153" width="9" style="719" bestFit="1" customWidth="1"/>
    <col min="6154" max="6401" width="8.88671875" style="719"/>
    <col min="6402" max="6402" width="8.44140625" style="719" customWidth="1"/>
    <col min="6403" max="6403" width="32.109375" style="719" customWidth="1"/>
    <col min="6404" max="6404" width="11.33203125" style="719" customWidth="1"/>
    <col min="6405" max="6405" width="12" style="719" customWidth="1"/>
    <col min="6406" max="6408" width="8.88671875" style="719"/>
    <col min="6409" max="6409" width="9" style="719" bestFit="1" customWidth="1"/>
    <col min="6410" max="6657" width="8.88671875" style="719"/>
    <col min="6658" max="6658" width="8.44140625" style="719" customWidth="1"/>
    <col min="6659" max="6659" width="32.109375" style="719" customWidth="1"/>
    <col min="6660" max="6660" width="11.33203125" style="719" customWidth="1"/>
    <col min="6661" max="6661" width="12" style="719" customWidth="1"/>
    <col min="6662" max="6664" width="8.88671875" style="719"/>
    <col min="6665" max="6665" width="9" style="719" bestFit="1" customWidth="1"/>
    <col min="6666" max="6913" width="8.88671875" style="719"/>
    <col min="6914" max="6914" width="8.44140625" style="719" customWidth="1"/>
    <col min="6915" max="6915" width="32.109375" style="719" customWidth="1"/>
    <col min="6916" max="6916" width="11.33203125" style="719" customWidth="1"/>
    <col min="6917" max="6917" width="12" style="719" customWidth="1"/>
    <col min="6918" max="6920" width="8.88671875" style="719"/>
    <col min="6921" max="6921" width="9" style="719" bestFit="1" customWidth="1"/>
    <col min="6922" max="7169" width="8.88671875" style="719"/>
    <col min="7170" max="7170" width="8.44140625" style="719" customWidth="1"/>
    <col min="7171" max="7171" width="32.109375" style="719" customWidth="1"/>
    <col min="7172" max="7172" width="11.33203125" style="719" customWidth="1"/>
    <col min="7173" max="7173" width="12" style="719" customWidth="1"/>
    <col min="7174" max="7176" width="8.88671875" style="719"/>
    <col min="7177" max="7177" width="9" style="719" bestFit="1" customWidth="1"/>
    <col min="7178" max="7425" width="8.88671875" style="719"/>
    <col min="7426" max="7426" width="8.44140625" style="719" customWidth="1"/>
    <col min="7427" max="7427" width="32.109375" style="719" customWidth="1"/>
    <col min="7428" max="7428" width="11.33203125" style="719" customWidth="1"/>
    <col min="7429" max="7429" width="12" style="719" customWidth="1"/>
    <col min="7430" max="7432" width="8.88671875" style="719"/>
    <col min="7433" max="7433" width="9" style="719" bestFit="1" customWidth="1"/>
    <col min="7434" max="7681" width="8.88671875" style="719"/>
    <col min="7682" max="7682" width="8.44140625" style="719" customWidth="1"/>
    <col min="7683" max="7683" width="32.109375" style="719" customWidth="1"/>
    <col min="7684" max="7684" width="11.33203125" style="719" customWidth="1"/>
    <col min="7685" max="7685" width="12" style="719" customWidth="1"/>
    <col min="7686" max="7688" width="8.88671875" style="719"/>
    <col min="7689" max="7689" width="9" style="719" bestFit="1" customWidth="1"/>
    <col min="7690" max="7937" width="8.88671875" style="719"/>
    <col min="7938" max="7938" width="8.44140625" style="719" customWidth="1"/>
    <col min="7939" max="7939" width="32.109375" style="719" customWidth="1"/>
    <col min="7940" max="7940" width="11.33203125" style="719" customWidth="1"/>
    <col min="7941" max="7941" width="12" style="719" customWidth="1"/>
    <col min="7942" max="7944" width="8.88671875" style="719"/>
    <col min="7945" max="7945" width="9" style="719" bestFit="1" customWidth="1"/>
    <col min="7946" max="8193" width="8.88671875" style="719"/>
    <col min="8194" max="8194" width="8.44140625" style="719" customWidth="1"/>
    <col min="8195" max="8195" width="32.109375" style="719" customWidth="1"/>
    <col min="8196" max="8196" width="11.33203125" style="719" customWidth="1"/>
    <col min="8197" max="8197" width="12" style="719" customWidth="1"/>
    <col min="8198" max="8200" width="8.88671875" style="719"/>
    <col min="8201" max="8201" width="9" style="719" bestFit="1" customWidth="1"/>
    <col min="8202" max="8449" width="8.88671875" style="719"/>
    <col min="8450" max="8450" width="8.44140625" style="719" customWidth="1"/>
    <col min="8451" max="8451" width="32.109375" style="719" customWidth="1"/>
    <col min="8452" max="8452" width="11.33203125" style="719" customWidth="1"/>
    <col min="8453" max="8453" width="12" style="719" customWidth="1"/>
    <col min="8454" max="8456" width="8.88671875" style="719"/>
    <col min="8457" max="8457" width="9" style="719" bestFit="1" customWidth="1"/>
    <col min="8458" max="8705" width="8.88671875" style="719"/>
    <col min="8706" max="8706" width="8.44140625" style="719" customWidth="1"/>
    <col min="8707" max="8707" width="32.109375" style="719" customWidth="1"/>
    <col min="8708" max="8708" width="11.33203125" style="719" customWidth="1"/>
    <col min="8709" max="8709" width="12" style="719" customWidth="1"/>
    <col min="8710" max="8712" width="8.88671875" style="719"/>
    <col min="8713" max="8713" width="9" style="719" bestFit="1" customWidth="1"/>
    <col min="8714" max="8961" width="8.88671875" style="719"/>
    <col min="8962" max="8962" width="8.44140625" style="719" customWidth="1"/>
    <col min="8963" max="8963" width="32.109375" style="719" customWidth="1"/>
    <col min="8964" max="8964" width="11.33203125" style="719" customWidth="1"/>
    <col min="8965" max="8965" width="12" style="719" customWidth="1"/>
    <col min="8966" max="8968" width="8.88671875" style="719"/>
    <col min="8969" max="8969" width="9" style="719" bestFit="1" customWidth="1"/>
    <col min="8970" max="9217" width="8.88671875" style="719"/>
    <col min="9218" max="9218" width="8.44140625" style="719" customWidth="1"/>
    <col min="9219" max="9219" width="32.109375" style="719" customWidth="1"/>
    <col min="9220" max="9220" width="11.33203125" style="719" customWidth="1"/>
    <col min="9221" max="9221" width="12" style="719" customWidth="1"/>
    <col min="9222" max="9224" width="8.88671875" style="719"/>
    <col min="9225" max="9225" width="9" style="719" bestFit="1" customWidth="1"/>
    <col min="9226" max="9473" width="8.88671875" style="719"/>
    <col min="9474" max="9474" width="8.44140625" style="719" customWidth="1"/>
    <col min="9475" max="9475" width="32.109375" style="719" customWidth="1"/>
    <col min="9476" max="9476" width="11.33203125" style="719" customWidth="1"/>
    <col min="9477" max="9477" width="12" style="719" customWidth="1"/>
    <col min="9478" max="9480" width="8.88671875" style="719"/>
    <col min="9481" max="9481" width="9" style="719" bestFit="1" customWidth="1"/>
    <col min="9482" max="9729" width="8.88671875" style="719"/>
    <col min="9730" max="9730" width="8.44140625" style="719" customWidth="1"/>
    <col min="9731" max="9731" width="32.109375" style="719" customWidth="1"/>
    <col min="9732" max="9732" width="11.33203125" style="719" customWidth="1"/>
    <col min="9733" max="9733" width="12" style="719" customWidth="1"/>
    <col min="9734" max="9736" width="8.88671875" style="719"/>
    <col min="9737" max="9737" width="9" style="719" bestFit="1" customWidth="1"/>
    <col min="9738" max="9985" width="8.88671875" style="719"/>
    <col min="9986" max="9986" width="8.44140625" style="719" customWidth="1"/>
    <col min="9987" max="9987" width="32.109375" style="719" customWidth="1"/>
    <col min="9988" max="9988" width="11.33203125" style="719" customWidth="1"/>
    <col min="9989" max="9989" width="12" style="719" customWidth="1"/>
    <col min="9990" max="9992" width="8.88671875" style="719"/>
    <col min="9993" max="9993" width="9" style="719" bestFit="1" customWidth="1"/>
    <col min="9994" max="10241" width="8.88671875" style="719"/>
    <col min="10242" max="10242" width="8.44140625" style="719" customWidth="1"/>
    <col min="10243" max="10243" width="32.109375" style="719" customWidth="1"/>
    <col min="10244" max="10244" width="11.33203125" style="719" customWidth="1"/>
    <col min="10245" max="10245" width="12" style="719" customWidth="1"/>
    <col min="10246" max="10248" width="8.88671875" style="719"/>
    <col min="10249" max="10249" width="9" style="719" bestFit="1" customWidth="1"/>
    <col min="10250" max="10497" width="8.88671875" style="719"/>
    <col min="10498" max="10498" width="8.44140625" style="719" customWidth="1"/>
    <col min="10499" max="10499" width="32.109375" style="719" customWidth="1"/>
    <col min="10500" max="10500" width="11.33203125" style="719" customWidth="1"/>
    <col min="10501" max="10501" width="12" style="719" customWidth="1"/>
    <col min="10502" max="10504" width="8.88671875" style="719"/>
    <col min="10505" max="10505" width="9" style="719" bestFit="1" customWidth="1"/>
    <col min="10506" max="10753" width="8.88671875" style="719"/>
    <col min="10754" max="10754" width="8.44140625" style="719" customWidth="1"/>
    <col min="10755" max="10755" width="32.109375" style="719" customWidth="1"/>
    <col min="10756" max="10756" width="11.33203125" style="719" customWidth="1"/>
    <col min="10757" max="10757" width="12" style="719" customWidth="1"/>
    <col min="10758" max="10760" width="8.88671875" style="719"/>
    <col min="10761" max="10761" width="9" style="719" bestFit="1" customWidth="1"/>
    <col min="10762" max="11009" width="8.88671875" style="719"/>
    <col min="11010" max="11010" width="8.44140625" style="719" customWidth="1"/>
    <col min="11011" max="11011" width="32.109375" style="719" customWidth="1"/>
    <col min="11012" max="11012" width="11.33203125" style="719" customWidth="1"/>
    <col min="11013" max="11013" width="12" style="719" customWidth="1"/>
    <col min="11014" max="11016" width="8.88671875" style="719"/>
    <col min="11017" max="11017" width="9" style="719" bestFit="1" customWidth="1"/>
    <col min="11018" max="11265" width="8.88671875" style="719"/>
    <col min="11266" max="11266" width="8.44140625" style="719" customWidth="1"/>
    <col min="11267" max="11267" width="32.109375" style="719" customWidth="1"/>
    <col min="11268" max="11268" width="11.33203125" style="719" customWidth="1"/>
    <col min="11269" max="11269" width="12" style="719" customWidth="1"/>
    <col min="11270" max="11272" width="8.88671875" style="719"/>
    <col min="11273" max="11273" width="9" style="719" bestFit="1" customWidth="1"/>
    <col min="11274" max="11521" width="8.88671875" style="719"/>
    <col min="11522" max="11522" width="8.44140625" style="719" customWidth="1"/>
    <col min="11523" max="11523" width="32.109375" style="719" customWidth="1"/>
    <col min="11524" max="11524" width="11.33203125" style="719" customWidth="1"/>
    <col min="11525" max="11525" width="12" style="719" customWidth="1"/>
    <col min="11526" max="11528" width="8.88671875" style="719"/>
    <col min="11529" max="11529" width="9" style="719" bestFit="1" customWidth="1"/>
    <col min="11530" max="11777" width="8.88671875" style="719"/>
    <col min="11778" max="11778" width="8.44140625" style="719" customWidth="1"/>
    <col min="11779" max="11779" width="32.109375" style="719" customWidth="1"/>
    <col min="11780" max="11780" width="11.33203125" style="719" customWidth="1"/>
    <col min="11781" max="11781" width="12" style="719" customWidth="1"/>
    <col min="11782" max="11784" width="8.88671875" style="719"/>
    <col min="11785" max="11785" width="9" style="719" bestFit="1" customWidth="1"/>
    <col min="11786" max="12033" width="8.88671875" style="719"/>
    <col min="12034" max="12034" width="8.44140625" style="719" customWidth="1"/>
    <col min="12035" max="12035" width="32.109375" style="719" customWidth="1"/>
    <col min="12036" max="12036" width="11.33203125" style="719" customWidth="1"/>
    <col min="12037" max="12037" width="12" style="719" customWidth="1"/>
    <col min="12038" max="12040" width="8.88671875" style="719"/>
    <col min="12041" max="12041" width="9" style="719" bestFit="1" customWidth="1"/>
    <col min="12042" max="12289" width="8.88671875" style="719"/>
    <col min="12290" max="12290" width="8.44140625" style="719" customWidth="1"/>
    <col min="12291" max="12291" width="32.109375" style="719" customWidth="1"/>
    <col min="12292" max="12292" width="11.33203125" style="719" customWidth="1"/>
    <col min="12293" max="12293" width="12" style="719" customWidth="1"/>
    <col min="12294" max="12296" width="8.88671875" style="719"/>
    <col min="12297" max="12297" width="9" style="719" bestFit="1" customWidth="1"/>
    <col min="12298" max="12545" width="8.88671875" style="719"/>
    <col min="12546" max="12546" width="8.44140625" style="719" customWidth="1"/>
    <col min="12547" max="12547" width="32.109375" style="719" customWidth="1"/>
    <col min="12548" max="12548" width="11.33203125" style="719" customWidth="1"/>
    <col min="12549" max="12549" width="12" style="719" customWidth="1"/>
    <col min="12550" max="12552" width="8.88671875" style="719"/>
    <col min="12553" max="12553" width="9" style="719" bestFit="1" customWidth="1"/>
    <col min="12554" max="12801" width="8.88671875" style="719"/>
    <col min="12802" max="12802" width="8.44140625" style="719" customWidth="1"/>
    <col min="12803" max="12803" width="32.109375" style="719" customWidth="1"/>
    <col min="12804" max="12804" width="11.33203125" style="719" customWidth="1"/>
    <col min="12805" max="12805" width="12" style="719" customWidth="1"/>
    <col min="12806" max="12808" width="8.88671875" style="719"/>
    <col min="12809" max="12809" width="9" style="719" bestFit="1" customWidth="1"/>
    <col min="12810" max="13057" width="8.88671875" style="719"/>
    <col min="13058" max="13058" width="8.44140625" style="719" customWidth="1"/>
    <col min="13059" max="13059" width="32.109375" style="719" customWidth="1"/>
    <col min="13060" max="13060" width="11.33203125" style="719" customWidth="1"/>
    <col min="13061" max="13061" width="12" style="719" customWidth="1"/>
    <col min="13062" max="13064" width="8.88671875" style="719"/>
    <col min="13065" max="13065" width="9" style="719" bestFit="1" customWidth="1"/>
    <col min="13066" max="13313" width="8.88671875" style="719"/>
    <col min="13314" max="13314" width="8.44140625" style="719" customWidth="1"/>
    <col min="13315" max="13315" width="32.109375" style="719" customWidth="1"/>
    <col min="13316" max="13316" width="11.33203125" style="719" customWidth="1"/>
    <col min="13317" max="13317" width="12" style="719" customWidth="1"/>
    <col min="13318" max="13320" width="8.88671875" style="719"/>
    <col min="13321" max="13321" width="9" style="719" bestFit="1" customWidth="1"/>
    <col min="13322" max="13569" width="8.88671875" style="719"/>
    <col min="13570" max="13570" width="8.44140625" style="719" customWidth="1"/>
    <col min="13571" max="13571" width="32.109375" style="719" customWidth="1"/>
    <col min="13572" max="13572" width="11.33203125" style="719" customWidth="1"/>
    <col min="13573" max="13573" width="12" style="719" customWidth="1"/>
    <col min="13574" max="13576" width="8.88671875" style="719"/>
    <col min="13577" max="13577" width="9" style="719" bestFit="1" customWidth="1"/>
    <col min="13578" max="13825" width="8.88671875" style="719"/>
    <col min="13826" max="13826" width="8.44140625" style="719" customWidth="1"/>
    <col min="13827" max="13827" width="32.109375" style="719" customWidth="1"/>
    <col min="13828" max="13828" width="11.33203125" style="719" customWidth="1"/>
    <col min="13829" max="13829" width="12" style="719" customWidth="1"/>
    <col min="13830" max="13832" width="8.88671875" style="719"/>
    <col min="13833" max="13833" width="9" style="719" bestFit="1" customWidth="1"/>
    <col min="13834" max="14081" width="8.88671875" style="719"/>
    <col min="14082" max="14082" width="8.44140625" style="719" customWidth="1"/>
    <col min="14083" max="14083" width="32.109375" style="719" customWidth="1"/>
    <col min="14084" max="14084" width="11.33203125" style="719" customWidth="1"/>
    <col min="14085" max="14085" width="12" style="719" customWidth="1"/>
    <col min="14086" max="14088" width="8.88671875" style="719"/>
    <col min="14089" max="14089" width="9" style="719" bestFit="1" customWidth="1"/>
    <col min="14090" max="14337" width="8.88671875" style="719"/>
    <col min="14338" max="14338" width="8.44140625" style="719" customWidth="1"/>
    <col min="14339" max="14339" width="32.109375" style="719" customWidth="1"/>
    <col min="14340" max="14340" width="11.33203125" style="719" customWidth="1"/>
    <col min="14341" max="14341" width="12" style="719" customWidth="1"/>
    <col min="14342" max="14344" width="8.88671875" style="719"/>
    <col min="14345" max="14345" width="9" style="719" bestFit="1" customWidth="1"/>
    <col min="14346" max="14593" width="8.88671875" style="719"/>
    <col min="14594" max="14594" width="8.44140625" style="719" customWidth="1"/>
    <col min="14595" max="14595" width="32.109375" style="719" customWidth="1"/>
    <col min="14596" max="14596" width="11.33203125" style="719" customWidth="1"/>
    <col min="14597" max="14597" width="12" style="719" customWidth="1"/>
    <col min="14598" max="14600" width="8.88671875" style="719"/>
    <col min="14601" max="14601" width="9" style="719" bestFit="1" customWidth="1"/>
    <col min="14602" max="14849" width="8.88671875" style="719"/>
    <col min="14850" max="14850" width="8.44140625" style="719" customWidth="1"/>
    <col min="14851" max="14851" width="32.109375" style="719" customWidth="1"/>
    <col min="14852" max="14852" width="11.33203125" style="719" customWidth="1"/>
    <col min="14853" max="14853" width="12" style="719" customWidth="1"/>
    <col min="14854" max="14856" width="8.88671875" style="719"/>
    <col min="14857" max="14857" width="9" style="719" bestFit="1" customWidth="1"/>
    <col min="14858" max="15105" width="8.88671875" style="719"/>
    <col min="15106" max="15106" width="8.44140625" style="719" customWidth="1"/>
    <col min="15107" max="15107" width="32.109375" style="719" customWidth="1"/>
    <col min="15108" max="15108" width="11.33203125" style="719" customWidth="1"/>
    <col min="15109" max="15109" width="12" style="719" customWidth="1"/>
    <col min="15110" max="15112" width="8.88671875" style="719"/>
    <col min="15113" max="15113" width="9" style="719" bestFit="1" customWidth="1"/>
    <col min="15114" max="15361" width="8.88671875" style="719"/>
    <col min="15362" max="15362" width="8.44140625" style="719" customWidth="1"/>
    <col min="15363" max="15363" width="32.109375" style="719" customWidth="1"/>
    <col min="15364" max="15364" width="11.33203125" style="719" customWidth="1"/>
    <col min="15365" max="15365" width="12" style="719" customWidth="1"/>
    <col min="15366" max="15368" width="8.88671875" style="719"/>
    <col min="15369" max="15369" width="9" style="719" bestFit="1" customWidth="1"/>
    <col min="15370" max="15617" width="8.88671875" style="719"/>
    <col min="15618" max="15618" width="8.44140625" style="719" customWidth="1"/>
    <col min="15619" max="15619" width="32.109375" style="719" customWidth="1"/>
    <col min="15620" max="15620" width="11.33203125" style="719" customWidth="1"/>
    <col min="15621" max="15621" width="12" style="719" customWidth="1"/>
    <col min="15622" max="15624" width="8.88671875" style="719"/>
    <col min="15625" max="15625" width="9" style="719" bestFit="1" customWidth="1"/>
    <col min="15626" max="15873" width="8.88671875" style="719"/>
    <col min="15874" max="15874" width="8.44140625" style="719" customWidth="1"/>
    <col min="15875" max="15875" width="32.109375" style="719" customWidth="1"/>
    <col min="15876" max="15876" width="11.33203125" style="719" customWidth="1"/>
    <col min="15877" max="15877" width="12" style="719" customWidth="1"/>
    <col min="15878" max="15880" width="8.88671875" style="719"/>
    <col min="15881" max="15881" width="9" style="719" bestFit="1" customWidth="1"/>
    <col min="15882" max="16129" width="8.88671875" style="719"/>
    <col min="16130" max="16130" width="8.44140625" style="719" customWidth="1"/>
    <col min="16131" max="16131" width="32.109375" style="719" customWidth="1"/>
    <col min="16132" max="16132" width="11.33203125" style="719" customWidth="1"/>
    <col min="16133" max="16133" width="12" style="719" customWidth="1"/>
    <col min="16134" max="16136" width="8.88671875" style="719"/>
    <col min="16137" max="16137" width="9" style="719" bestFit="1" customWidth="1"/>
    <col min="16138" max="16384" width="8.88671875" style="719"/>
  </cols>
  <sheetData>
    <row r="4" spans="1:5" ht="18" x14ac:dyDescent="0.25">
      <c r="D4" s="773" t="s">
        <v>615</v>
      </c>
      <c r="E4" s="721"/>
    </row>
    <row r="5" spans="1:5" ht="12.75" customHeight="1" x14ac:dyDescent="0.25">
      <c r="D5" s="773"/>
      <c r="E5" s="721"/>
    </row>
    <row r="6" spans="1:5" ht="22.5" customHeight="1" x14ac:dyDescent="0.2">
      <c r="A6" s="719" t="s">
        <v>0</v>
      </c>
      <c r="B6" s="965" t="s">
        <v>1</v>
      </c>
      <c r="C6" s="965"/>
      <c r="D6" s="965"/>
      <c r="E6" s="965"/>
    </row>
    <row r="7" spans="1:5" ht="22.5" customHeight="1" x14ac:dyDescent="0.2">
      <c r="B7" s="965" t="e">
        <f>#REF!</f>
        <v>#REF!</v>
      </c>
      <c r="C7" s="965"/>
      <c r="D7" s="965"/>
      <c r="E7" s="965"/>
    </row>
    <row r="8" spans="1:5" ht="24.75" customHeight="1" x14ac:dyDescent="0.2">
      <c r="B8" s="966" t="e">
        <f>#REF!</f>
        <v>#REF!</v>
      </c>
      <c r="C8" s="966"/>
      <c r="D8" s="966"/>
      <c r="E8" s="966"/>
    </row>
    <row r="9" spans="1:5" ht="24.75" customHeight="1" x14ac:dyDescent="0.2">
      <c r="B9" s="965" t="s">
        <v>616</v>
      </c>
      <c r="C9" s="965"/>
      <c r="D9" s="965"/>
      <c r="E9" s="965"/>
    </row>
    <row r="10" spans="1:5" s="762" customFormat="1" ht="25.5" customHeight="1" x14ac:dyDescent="0.2">
      <c r="B10" s="774"/>
      <c r="C10" s="774"/>
      <c r="D10" s="775" t="e">
        <f>#REF!</f>
        <v>#REF!</v>
      </c>
      <c r="E10" s="776"/>
    </row>
    <row r="11" spans="1:5" s="762" customFormat="1" ht="23.25" customHeight="1" x14ac:dyDescent="0.2">
      <c r="B11" s="777">
        <v>1</v>
      </c>
      <c r="C11" s="778" t="s">
        <v>234</v>
      </c>
      <c r="D11" s="779" t="s">
        <v>617</v>
      </c>
      <c r="E11" s="780" t="e">
        <f>#REF!</f>
        <v>#REF!</v>
      </c>
    </row>
    <row r="12" spans="1:5" ht="18" x14ac:dyDescent="0.25">
      <c r="B12" s="781"/>
      <c r="C12" s="782"/>
      <c r="D12" s="783"/>
      <c r="E12" s="784"/>
    </row>
    <row r="13" spans="1:5" s="762" customFormat="1" ht="18" x14ac:dyDescent="0.2">
      <c r="B13" s="785">
        <v>2</v>
      </c>
      <c r="C13" s="786" t="s">
        <v>123</v>
      </c>
      <c r="D13" s="776" t="s">
        <v>617</v>
      </c>
      <c r="E13" s="787">
        <f>'Gross Margin'!G18</f>
        <v>378.59644017496385</v>
      </c>
    </row>
    <row r="14" spans="1:5" ht="18" x14ac:dyDescent="0.25">
      <c r="B14" s="788"/>
      <c r="C14" s="789"/>
      <c r="D14" s="790"/>
      <c r="E14" s="791"/>
    </row>
    <row r="15" spans="1:5" s="762" customFormat="1" ht="18" x14ac:dyDescent="0.2">
      <c r="B15" s="785">
        <v>3</v>
      </c>
      <c r="C15" s="786" t="s">
        <v>618</v>
      </c>
      <c r="D15" s="776" t="s">
        <v>617</v>
      </c>
      <c r="E15" s="787" t="e">
        <f>CashFlow!O55</f>
        <v>#REF!</v>
      </c>
    </row>
    <row r="16" spans="1:5" ht="18" x14ac:dyDescent="0.25">
      <c r="B16" s="788"/>
      <c r="C16" s="789"/>
      <c r="D16" s="790"/>
      <c r="E16" s="791"/>
    </row>
    <row r="17" spans="2:13" s="762" customFormat="1" ht="22.5" customHeight="1" x14ac:dyDescent="0.2">
      <c r="B17" s="785">
        <v>4</v>
      </c>
      <c r="C17" s="786" t="s">
        <v>619</v>
      </c>
      <c r="D17" s="776" t="s">
        <v>33</v>
      </c>
      <c r="E17" s="792" t="e">
        <f>CashFlow!O58</f>
        <v>#VALUE!</v>
      </c>
      <c r="H17" s="793" t="s">
        <v>620</v>
      </c>
      <c r="I17" s="793" t="s">
        <v>621</v>
      </c>
      <c r="J17" s="793" t="s">
        <v>622</v>
      </c>
      <c r="K17" s="793" t="s">
        <v>623</v>
      </c>
    </row>
    <row r="18" spans="2:13" ht="22.5" customHeight="1" x14ac:dyDescent="0.25">
      <c r="B18" s="794"/>
      <c r="C18" s="795"/>
      <c r="D18" s="796"/>
      <c r="E18" s="797"/>
      <c r="H18" s="798">
        <f>I18/2</f>
        <v>189.29322008748193</v>
      </c>
      <c r="I18" s="798">
        <f>E13-0.01</f>
        <v>378.58644017496385</v>
      </c>
      <c r="J18" s="798">
        <f>I18*1.5</f>
        <v>567.87966026244578</v>
      </c>
      <c r="K18" s="798">
        <f>I18*2</f>
        <v>757.17288034992771</v>
      </c>
    </row>
    <row r="19" spans="2:13" ht="23.25" customHeight="1" x14ac:dyDescent="0.2"/>
    <row r="20" spans="2:13" ht="24.75" customHeight="1" x14ac:dyDescent="0.2">
      <c r="B20" s="762"/>
      <c r="C20" s="799"/>
      <c r="D20" s="799"/>
      <c r="E20" s="799"/>
    </row>
    <row r="21" spans="2:13" ht="24.75" customHeight="1" x14ac:dyDescent="0.25">
      <c r="B21" s="721"/>
      <c r="C21" s="800"/>
      <c r="D21" s="800"/>
      <c r="E21" s="800"/>
    </row>
    <row r="22" spans="2:13" ht="24.75" customHeight="1" x14ac:dyDescent="0.25">
      <c r="B22" s="967" t="s">
        <v>112</v>
      </c>
      <c r="C22" s="968"/>
      <c r="D22" s="969"/>
      <c r="E22" s="801">
        <v>1</v>
      </c>
    </row>
    <row r="23" spans="2:13" ht="20.25" customHeight="1" x14ac:dyDescent="0.25">
      <c r="B23" s="967" t="s">
        <v>101</v>
      </c>
      <c r="C23" s="968"/>
      <c r="D23" s="969"/>
      <c r="E23" s="801">
        <v>1</v>
      </c>
    </row>
    <row r="24" spans="2:13" ht="20.25" customHeight="1" x14ac:dyDescent="0.25">
      <c r="B24" s="961" t="s">
        <v>624</v>
      </c>
      <c r="C24" s="961"/>
      <c r="D24" s="961"/>
      <c r="E24" s="746">
        <v>1</v>
      </c>
    </row>
    <row r="25" spans="2:13" ht="18" x14ac:dyDescent="0.25">
      <c r="B25" s="962" t="s">
        <v>625</v>
      </c>
      <c r="C25" s="963"/>
      <c r="D25" s="963"/>
      <c r="E25" s="964"/>
      <c r="G25" s="719" t="s">
        <v>32</v>
      </c>
      <c r="K25" s="719" t="s">
        <v>34</v>
      </c>
    </row>
    <row r="26" spans="2:13" ht="15.75" x14ac:dyDescent="0.25">
      <c r="B26" s="801"/>
      <c r="C26" s="801"/>
      <c r="E26" s="801"/>
    </row>
    <row r="27" spans="2:13" ht="15.75" x14ac:dyDescent="0.25">
      <c r="B27" s="801"/>
      <c r="C27" s="801"/>
      <c r="D27" s="802" t="s">
        <v>32</v>
      </c>
      <c r="E27" s="803"/>
      <c r="G27" s="804">
        <v>0.05</v>
      </c>
      <c r="H27" s="804">
        <v>0.1</v>
      </c>
      <c r="I27" s="804">
        <v>0.15</v>
      </c>
      <c r="K27" s="804">
        <v>0.05</v>
      </c>
      <c r="L27" s="804">
        <v>0.1</v>
      </c>
      <c r="M27" s="804">
        <v>0.15</v>
      </c>
    </row>
    <row r="28" spans="2:13" ht="19.5" customHeight="1" x14ac:dyDescent="0.25">
      <c r="B28" s="801"/>
      <c r="C28" s="805" t="s">
        <v>629</v>
      </c>
      <c r="D28" s="806"/>
      <c r="E28" s="819">
        <v>0.34088392814978707</v>
      </c>
      <c r="G28" s="807">
        <v>0.33517328824477421</v>
      </c>
      <c r="H28" s="807">
        <v>0.32287443571538477</v>
      </c>
      <c r="I28" s="807">
        <v>0.31150764574627376</v>
      </c>
      <c r="K28" s="808">
        <v>560.68529784758175</v>
      </c>
      <c r="L28" s="808">
        <v>551.26662856305268</v>
      </c>
      <c r="M28" s="808">
        <v>541.84795927852349</v>
      </c>
    </row>
    <row r="29" spans="2:13" ht="20.25" customHeight="1" x14ac:dyDescent="0.25">
      <c r="B29" s="801"/>
      <c r="C29" s="805" t="s">
        <v>630</v>
      </c>
      <c r="D29" s="806"/>
      <c r="E29" s="819">
        <v>0.33836705492747465</v>
      </c>
      <c r="G29" s="807">
        <v>0.33535760719722707</v>
      </c>
      <c r="H29" s="807">
        <v>0.32197023410256231</v>
      </c>
      <c r="I29" s="807">
        <v>0.30835159246112487</v>
      </c>
      <c r="K29" s="808">
        <v>533.25733211999295</v>
      </c>
      <c r="L29" s="808">
        <v>496.41069710787514</v>
      </c>
      <c r="M29" s="808">
        <v>459.56406209575692</v>
      </c>
    </row>
    <row r="30" spans="2:13" ht="18" customHeight="1" x14ac:dyDescent="0.25">
      <c r="B30" s="801"/>
      <c r="C30" s="805" t="s">
        <v>626</v>
      </c>
      <c r="D30" s="806"/>
      <c r="E30" s="819">
        <v>0.31527707928522752</v>
      </c>
      <c r="G30" s="807">
        <v>0.32244464767067638</v>
      </c>
      <c r="H30" s="807">
        <v>0.29803391661489287</v>
      </c>
      <c r="I30" s="807">
        <v>0.27506255992234419</v>
      </c>
      <c r="K30" s="808">
        <v>523.83866283546377</v>
      </c>
      <c r="L30" s="808">
        <v>477.57335853881671</v>
      </c>
      <c r="M30" s="808">
        <v>431.29771316900229</v>
      </c>
    </row>
    <row r="31" spans="2:13" ht="21" customHeight="1" x14ac:dyDescent="0.25">
      <c r="B31" s="758"/>
      <c r="C31" s="801" t="s">
        <v>627</v>
      </c>
      <c r="D31" s="806"/>
      <c r="E31" s="819">
        <v>0.31227291863192708</v>
      </c>
      <c r="G31" s="807">
        <v>0.26241336028955198</v>
      </c>
      <c r="K31" s="808">
        <v>341.14033552412508</v>
      </c>
    </row>
    <row r="32" spans="2:13" ht="21" customHeight="1" x14ac:dyDescent="0.25">
      <c r="B32" s="758"/>
      <c r="C32" s="801" t="s">
        <v>628</v>
      </c>
      <c r="D32" s="758"/>
      <c r="E32" s="819">
        <v>0.25300277714394892</v>
      </c>
      <c r="G32" s="807">
        <v>0.15200316677200587</v>
      </c>
      <c r="K32" s="758">
        <v>97.419849250918517</v>
      </c>
    </row>
    <row r="38" spans="3:3" x14ac:dyDescent="0.2">
      <c r="C38" s="719" t="s">
        <v>0</v>
      </c>
    </row>
  </sheetData>
  <mergeCells count="8">
    <mergeCell ref="B24:D24"/>
    <mergeCell ref="B25:E25"/>
    <mergeCell ref="B6:E6"/>
    <mergeCell ref="B7:E7"/>
    <mergeCell ref="B8:E8"/>
    <mergeCell ref="B9:E9"/>
    <mergeCell ref="B22:D22"/>
    <mergeCell ref="B23:D23"/>
  </mergeCells>
  <pageMargins left="0.70866141732283472" right="0.70866141732283472"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S83"/>
  <sheetViews>
    <sheetView showZeros="0" zoomScale="59" zoomScaleNormal="59" workbookViewId="0">
      <selection activeCell="F6" sqref="F6"/>
    </sheetView>
  </sheetViews>
  <sheetFormatPr defaultRowHeight="20.25" x14ac:dyDescent="0.3"/>
  <cols>
    <col min="1" max="1" width="10.21875" style="125" customWidth="1"/>
    <col min="2" max="2" width="24.33203125" style="125" customWidth="1"/>
    <col min="3" max="3" width="38.33203125" style="125" customWidth="1"/>
    <col min="4" max="4" width="17.33203125" style="125" customWidth="1"/>
    <col min="5" max="5" width="10.109375" style="125" customWidth="1"/>
    <col min="6" max="6" width="12.88671875" style="125" customWidth="1"/>
    <col min="7" max="7" width="9.77734375" style="125" customWidth="1"/>
    <col min="8" max="8" width="8.21875" style="125" customWidth="1"/>
    <col min="9" max="9" width="9.44140625" style="125" customWidth="1"/>
    <col min="10" max="10" width="13.77734375" style="125" customWidth="1"/>
    <col min="11" max="11" width="9.21875" style="125" customWidth="1"/>
    <col min="12" max="12" width="11.6640625" style="125" customWidth="1"/>
    <col min="13" max="13" width="9.88671875" style="125" customWidth="1"/>
    <col min="14" max="14" width="8.33203125" style="125" customWidth="1"/>
    <col min="15" max="15" width="7" style="125" customWidth="1"/>
    <col min="16" max="16" width="9.77734375" style="125" customWidth="1"/>
    <col min="17" max="17" width="10.109375" style="125" customWidth="1"/>
    <col min="18" max="256" width="8.88671875" style="125"/>
    <col min="257" max="257" width="10.21875" style="125" customWidth="1"/>
    <col min="258" max="258" width="20.109375" style="125" customWidth="1"/>
    <col min="259" max="259" width="26" style="125" customWidth="1"/>
    <col min="260" max="260" width="14.109375" style="125" customWidth="1"/>
    <col min="261" max="261" width="10.109375" style="125" customWidth="1"/>
    <col min="262" max="262" width="12.88671875" style="125" customWidth="1"/>
    <col min="263" max="263" width="9.77734375" style="125" customWidth="1"/>
    <col min="264" max="264" width="7.44140625" style="125" customWidth="1"/>
    <col min="265" max="265" width="9.44140625" style="125" customWidth="1"/>
    <col min="266" max="266" width="13.77734375" style="125" customWidth="1"/>
    <col min="267" max="267" width="7.44140625" style="125" customWidth="1"/>
    <col min="268" max="268" width="9.6640625" style="125" customWidth="1"/>
    <col min="269" max="269" width="9.88671875" style="125" customWidth="1"/>
    <col min="270" max="270" width="8.33203125" style="125" customWidth="1"/>
    <col min="271" max="271" width="7.21875" style="125" customWidth="1"/>
    <col min="272" max="272" width="8.44140625" style="125" customWidth="1"/>
    <col min="273" max="273" width="10.109375" style="125" customWidth="1"/>
    <col min="274" max="512" width="8.88671875" style="125"/>
    <col min="513" max="513" width="10.21875" style="125" customWidth="1"/>
    <col min="514" max="514" width="20.109375" style="125" customWidth="1"/>
    <col min="515" max="515" width="26" style="125" customWidth="1"/>
    <col min="516" max="516" width="14.109375" style="125" customWidth="1"/>
    <col min="517" max="517" width="10.109375" style="125" customWidth="1"/>
    <col min="518" max="518" width="12.88671875" style="125" customWidth="1"/>
    <col min="519" max="519" width="9.77734375" style="125" customWidth="1"/>
    <col min="520" max="520" width="7.44140625" style="125" customWidth="1"/>
    <col min="521" max="521" width="9.44140625" style="125" customWidth="1"/>
    <col min="522" max="522" width="13.77734375" style="125" customWidth="1"/>
    <col min="523" max="523" width="7.44140625" style="125" customWidth="1"/>
    <col min="524" max="524" width="9.6640625" style="125" customWidth="1"/>
    <col min="525" max="525" width="9.88671875" style="125" customWidth="1"/>
    <col min="526" max="526" width="8.33203125" style="125" customWidth="1"/>
    <col min="527" max="527" width="7.21875" style="125" customWidth="1"/>
    <col min="528" max="528" width="8.44140625" style="125" customWidth="1"/>
    <col min="529" max="529" width="10.109375" style="125" customWidth="1"/>
    <col min="530" max="768" width="8.88671875" style="125"/>
    <col min="769" max="769" width="10.21875" style="125" customWidth="1"/>
    <col min="770" max="770" width="20.109375" style="125" customWidth="1"/>
    <col min="771" max="771" width="26" style="125" customWidth="1"/>
    <col min="772" max="772" width="14.109375" style="125" customWidth="1"/>
    <col min="773" max="773" width="10.109375" style="125" customWidth="1"/>
    <col min="774" max="774" width="12.88671875" style="125" customWidth="1"/>
    <col min="775" max="775" width="9.77734375" style="125" customWidth="1"/>
    <col min="776" max="776" width="7.44140625" style="125" customWidth="1"/>
    <col min="777" max="777" width="9.44140625" style="125" customWidth="1"/>
    <col min="778" max="778" width="13.77734375" style="125" customWidth="1"/>
    <col min="779" max="779" width="7.44140625" style="125" customWidth="1"/>
    <col min="780" max="780" width="9.6640625" style="125" customWidth="1"/>
    <col min="781" max="781" width="9.88671875" style="125" customWidth="1"/>
    <col min="782" max="782" width="8.33203125" style="125" customWidth="1"/>
    <col min="783" max="783" width="7.21875" style="125" customWidth="1"/>
    <col min="784" max="784" width="8.44140625" style="125" customWidth="1"/>
    <col min="785" max="785" width="10.109375" style="125" customWidth="1"/>
    <col min="786" max="1024" width="8.88671875" style="125"/>
    <col min="1025" max="1025" width="10.21875" style="125" customWidth="1"/>
    <col min="1026" max="1026" width="20.109375" style="125" customWidth="1"/>
    <col min="1027" max="1027" width="26" style="125" customWidth="1"/>
    <col min="1028" max="1028" width="14.109375" style="125" customWidth="1"/>
    <col min="1029" max="1029" width="10.109375" style="125" customWidth="1"/>
    <col min="1030" max="1030" width="12.88671875" style="125" customWidth="1"/>
    <col min="1031" max="1031" width="9.77734375" style="125" customWidth="1"/>
    <col min="1032" max="1032" width="7.44140625" style="125" customWidth="1"/>
    <col min="1033" max="1033" width="9.44140625" style="125" customWidth="1"/>
    <col min="1034" max="1034" width="13.77734375" style="125" customWidth="1"/>
    <col min="1035" max="1035" width="7.44140625" style="125" customWidth="1"/>
    <col min="1036" max="1036" width="9.6640625" style="125" customWidth="1"/>
    <col min="1037" max="1037" width="9.88671875" style="125" customWidth="1"/>
    <col min="1038" max="1038" width="8.33203125" style="125" customWidth="1"/>
    <col min="1039" max="1039" width="7.21875" style="125" customWidth="1"/>
    <col min="1040" max="1040" width="8.44140625" style="125" customWidth="1"/>
    <col min="1041" max="1041" width="10.109375" style="125" customWidth="1"/>
    <col min="1042" max="1280" width="8.88671875" style="125"/>
    <col min="1281" max="1281" width="10.21875" style="125" customWidth="1"/>
    <col min="1282" max="1282" width="20.109375" style="125" customWidth="1"/>
    <col min="1283" max="1283" width="26" style="125" customWidth="1"/>
    <col min="1284" max="1284" width="14.109375" style="125" customWidth="1"/>
    <col min="1285" max="1285" width="10.109375" style="125" customWidth="1"/>
    <col min="1286" max="1286" width="12.88671875" style="125" customWidth="1"/>
    <col min="1287" max="1287" width="9.77734375" style="125" customWidth="1"/>
    <col min="1288" max="1288" width="7.44140625" style="125" customWidth="1"/>
    <col min="1289" max="1289" width="9.44140625" style="125" customWidth="1"/>
    <col min="1290" max="1290" width="13.77734375" style="125" customWidth="1"/>
    <col min="1291" max="1291" width="7.44140625" style="125" customWidth="1"/>
    <col min="1292" max="1292" width="9.6640625" style="125" customWidth="1"/>
    <col min="1293" max="1293" width="9.88671875" style="125" customWidth="1"/>
    <col min="1294" max="1294" width="8.33203125" style="125" customWidth="1"/>
    <col min="1295" max="1295" width="7.21875" style="125" customWidth="1"/>
    <col min="1296" max="1296" width="8.44140625" style="125" customWidth="1"/>
    <col min="1297" max="1297" width="10.109375" style="125" customWidth="1"/>
    <col min="1298" max="1536" width="8.88671875" style="125"/>
    <col min="1537" max="1537" width="10.21875" style="125" customWidth="1"/>
    <col min="1538" max="1538" width="20.109375" style="125" customWidth="1"/>
    <col min="1539" max="1539" width="26" style="125" customWidth="1"/>
    <col min="1540" max="1540" width="14.109375" style="125" customWidth="1"/>
    <col min="1541" max="1541" width="10.109375" style="125" customWidth="1"/>
    <col min="1542" max="1542" width="12.88671875" style="125" customWidth="1"/>
    <col min="1543" max="1543" width="9.77734375" style="125" customWidth="1"/>
    <col min="1544" max="1544" width="7.44140625" style="125" customWidth="1"/>
    <col min="1545" max="1545" width="9.44140625" style="125" customWidth="1"/>
    <col min="1546" max="1546" width="13.77734375" style="125" customWidth="1"/>
    <col min="1547" max="1547" width="7.44140625" style="125" customWidth="1"/>
    <col min="1548" max="1548" width="9.6640625" style="125" customWidth="1"/>
    <col min="1549" max="1549" width="9.88671875" style="125" customWidth="1"/>
    <col min="1550" max="1550" width="8.33203125" style="125" customWidth="1"/>
    <col min="1551" max="1551" width="7.21875" style="125" customWidth="1"/>
    <col min="1552" max="1552" width="8.44140625" style="125" customWidth="1"/>
    <col min="1553" max="1553" width="10.109375" style="125" customWidth="1"/>
    <col min="1554" max="1792" width="8.88671875" style="125"/>
    <col min="1793" max="1793" width="10.21875" style="125" customWidth="1"/>
    <col min="1794" max="1794" width="20.109375" style="125" customWidth="1"/>
    <col min="1795" max="1795" width="26" style="125" customWidth="1"/>
    <col min="1796" max="1796" width="14.109375" style="125" customWidth="1"/>
    <col min="1797" max="1797" width="10.109375" style="125" customWidth="1"/>
    <col min="1798" max="1798" width="12.88671875" style="125" customWidth="1"/>
    <col min="1799" max="1799" width="9.77734375" style="125" customWidth="1"/>
    <col min="1800" max="1800" width="7.44140625" style="125" customWidth="1"/>
    <col min="1801" max="1801" width="9.44140625" style="125" customWidth="1"/>
    <col min="1802" max="1802" width="13.77734375" style="125" customWidth="1"/>
    <col min="1803" max="1803" width="7.44140625" style="125" customWidth="1"/>
    <col min="1804" max="1804" width="9.6640625" style="125" customWidth="1"/>
    <col min="1805" max="1805" width="9.88671875" style="125" customWidth="1"/>
    <col min="1806" max="1806" width="8.33203125" style="125" customWidth="1"/>
    <col min="1807" max="1807" width="7.21875" style="125" customWidth="1"/>
    <col min="1808" max="1808" width="8.44140625" style="125" customWidth="1"/>
    <col min="1809" max="1809" width="10.109375" style="125" customWidth="1"/>
    <col min="1810" max="2048" width="8.88671875" style="125"/>
    <col min="2049" max="2049" width="10.21875" style="125" customWidth="1"/>
    <col min="2050" max="2050" width="20.109375" style="125" customWidth="1"/>
    <col min="2051" max="2051" width="26" style="125" customWidth="1"/>
    <col min="2052" max="2052" width="14.109375" style="125" customWidth="1"/>
    <col min="2053" max="2053" width="10.109375" style="125" customWidth="1"/>
    <col min="2054" max="2054" width="12.88671875" style="125" customWidth="1"/>
    <col min="2055" max="2055" width="9.77734375" style="125" customWidth="1"/>
    <col min="2056" max="2056" width="7.44140625" style="125" customWidth="1"/>
    <col min="2057" max="2057" width="9.44140625" style="125" customWidth="1"/>
    <col min="2058" max="2058" width="13.77734375" style="125" customWidth="1"/>
    <col min="2059" max="2059" width="7.44140625" style="125" customWidth="1"/>
    <col min="2060" max="2060" width="9.6640625" style="125" customWidth="1"/>
    <col min="2061" max="2061" width="9.88671875" style="125" customWidth="1"/>
    <col min="2062" max="2062" width="8.33203125" style="125" customWidth="1"/>
    <col min="2063" max="2063" width="7.21875" style="125" customWidth="1"/>
    <col min="2064" max="2064" width="8.44140625" style="125" customWidth="1"/>
    <col min="2065" max="2065" width="10.109375" style="125" customWidth="1"/>
    <col min="2066" max="2304" width="8.88671875" style="125"/>
    <col min="2305" max="2305" width="10.21875" style="125" customWidth="1"/>
    <col min="2306" max="2306" width="20.109375" style="125" customWidth="1"/>
    <col min="2307" max="2307" width="26" style="125" customWidth="1"/>
    <col min="2308" max="2308" width="14.109375" style="125" customWidth="1"/>
    <col min="2309" max="2309" width="10.109375" style="125" customWidth="1"/>
    <col min="2310" max="2310" width="12.88671875" style="125" customWidth="1"/>
    <col min="2311" max="2311" width="9.77734375" style="125" customWidth="1"/>
    <col min="2312" max="2312" width="7.44140625" style="125" customWidth="1"/>
    <col min="2313" max="2313" width="9.44140625" style="125" customWidth="1"/>
    <col min="2314" max="2314" width="13.77734375" style="125" customWidth="1"/>
    <col min="2315" max="2315" width="7.44140625" style="125" customWidth="1"/>
    <col min="2316" max="2316" width="9.6640625" style="125" customWidth="1"/>
    <col min="2317" max="2317" width="9.88671875" style="125" customWidth="1"/>
    <col min="2318" max="2318" width="8.33203125" style="125" customWidth="1"/>
    <col min="2319" max="2319" width="7.21875" style="125" customWidth="1"/>
    <col min="2320" max="2320" width="8.44140625" style="125" customWidth="1"/>
    <col min="2321" max="2321" width="10.109375" style="125" customWidth="1"/>
    <col min="2322" max="2560" width="8.88671875" style="125"/>
    <col min="2561" max="2561" width="10.21875" style="125" customWidth="1"/>
    <col min="2562" max="2562" width="20.109375" style="125" customWidth="1"/>
    <col min="2563" max="2563" width="26" style="125" customWidth="1"/>
    <col min="2564" max="2564" width="14.109375" style="125" customWidth="1"/>
    <col min="2565" max="2565" width="10.109375" style="125" customWidth="1"/>
    <col min="2566" max="2566" width="12.88671875" style="125" customWidth="1"/>
    <col min="2567" max="2567" width="9.77734375" style="125" customWidth="1"/>
    <col min="2568" max="2568" width="7.44140625" style="125" customWidth="1"/>
    <col min="2569" max="2569" width="9.44140625" style="125" customWidth="1"/>
    <col min="2570" max="2570" width="13.77734375" style="125" customWidth="1"/>
    <col min="2571" max="2571" width="7.44140625" style="125" customWidth="1"/>
    <col min="2572" max="2572" width="9.6640625" style="125" customWidth="1"/>
    <col min="2573" max="2573" width="9.88671875" style="125" customWidth="1"/>
    <col min="2574" max="2574" width="8.33203125" style="125" customWidth="1"/>
    <col min="2575" max="2575" width="7.21875" style="125" customWidth="1"/>
    <col min="2576" max="2576" width="8.44140625" style="125" customWidth="1"/>
    <col min="2577" max="2577" width="10.109375" style="125" customWidth="1"/>
    <col min="2578" max="2816" width="8.88671875" style="125"/>
    <col min="2817" max="2817" width="10.21875" style="125" customWidth="1"/>
    <col min="2818" max="2818" width="20.109375" style="125" customWidth="1"/>
    <col min="2819" max="2819" width="26" style="125" customWidth="1"/>
    <col min="2820" max="2820" width="14.109375" style="125" customWidth="1"/>
    <col min="2821" max="2821" width="10.109375" style="125" customWidth="1"/>
    <col min="2822" max="2822" width="12.88671875" style="125" customWidth="1"/>
    <col min="2823" max="2823" width="9.77734375" style="125" customWidth="1"/>
    <col min="2824" max="2824" width="7.44140625" style="125" customWidth="1"/>
    <col min="2825" max="2825" width="9.44140625" style="125" customWidth="1"/>
    <col min="2826" max="2826" width="13.77734375" style="125" customWidth="1"/>
    <col min="2827" max="2827" width="7.44140625" style="125" customWidth="1"/>
    <col min="2828" max="2828" width="9.6640625" style="125" customWidth="1"/>
    <col min="2829" max="2829" width="9.88671875" style="125" customWidth="1"/>
    <col min="2830" max="2830" width="8.33203125" style="125" customWidth="1"/>
    <col min="2831" max="2831" width="7.21875" style="125" customWidth="1"/>
    <col min="2832" max="2832" width="8.44140625" style="125" customWidth="1"/>
    <col min="2833" max="2833" width="10.109375" style="125" customWidth="1"/>
    <col min="2834" max="3072" width="8.88671875" style="125"/>
    <col min="3073" max="3073" width="10.21875" style="125" customWidth="1"/>
    <col min="3074" max="3074" width="20.109375" style="125" customWidth="1"/>
    <col min="3075" max="3075" width="26" style="125" customWidth="1"/>
    <col min="3076" max="3076" width="14.109375" style="125" customWidth="1"/>
    <col min="3077" max="3077" width="10.109375" style="125" customWidth="1"/>
    <col min="3078" max="3078" width="12.88671875" style="125" customWidth="1"/>
    <col min="3079" max="3079" width="9.77734375" style="125" customWidth="1"/>
    <col min="3080" max="3080" width="7.44140625" style="125" customWidth="1"/>
    <col min="3081" max="3081" width="9.44140625" style="125" customWidth="1"/>
    <col min="3082" max="3082" width="13.77734375" style="125" customWidth="1"/>
    <col min="3083" max="3083" width="7.44140625" style="125" customWidth="1"/>
    <col min="3084" max="3084" width="9.6640625" style="125" customWidth="1"/>
    <col min="3085" max="3085" width="9.88671875" style="125" customWidth="1"/>
    <col min="3086" max="3086" width="8.33203125" style="125" customWidth="1"/>
    <col min="3087" max="3087" width="7.21875" style="125" customWidth="1"/>
    <col min="3088" max="3088" width="8.44140625" style="125" customWidth="1"/>
    <col min="3089" max="3089" width="10.109375" style="125" customWidth="1"/>
    <col min="3090" max="3328" width="8.88671875" style="125"/>
    <col min="3329" max="3329" width="10.21875" style="125" customWidth="1"/>
    <col min="3330" max="3330" width="20.109375" style="125" customWidth="1"/>
    <col min="3331" max="3331" width="26" style="125" customWidth="1"/>
    <col min="3332" max="3332" width="14.109375" style="125" customWidth="1"/>
    <col min="3333" max="3333" width="10.109375" style="125" customWidth="1"/>
    <col min="3334" max="3334" width="12.88671875" style="125" customWidth="1"/>
    <col min="3335" max="3335" width="9.77734375" style="125" customWidth="1"/>
    <col min="3336" max="3336" width="7.44140625" style="125" customWidth="1"/>
    <col min="3337" max="3337" width="9.44140625" style="125" customWidth="1"/>
    <col min="3338" max="3338" width="13.77734375" style="125" customWidth="1"/>
    <col min="3339" max="3339" width="7.44140625" style="125" customWidth="1"/>
    <col min="3340" max="3340" width="9.6640625" style="125" customWidth="1"/>
    <col min="3341" max="3341" width="9.88671875" style="125" customWidth="1"/>
    <col min="3342" max="3342" width="8.33203125" style="125" customWidth="1"/>
    <col min="3343" max="3343" width="7.21875" style="125" customWidth="1"/>
    <col min="3344" max="3344" width="8.44140625" style="125" customWidth="1"/>
    <col min="3345" max="3345" width="10.109375" style="125" customWidth="1"/>
    <col min="3346" max="3584" width="8.88671875" style="125"/>
    <col min="3585" max="3585" width="10.21875" style="125" customWidth="1"/>
    <col min="3586" max="3586" width="20.109375" style="125" customWidth="1"/>
    <col min="3587" max="3587" width="26" style="125" customWidth="1"/>
    <col min="3588" max="3588" width="14.109375" style="125" customWidth="1"/>
    <col min="3589" max="3589" width="10.109375" style="125" customWidth="1"/>
    <col min="3590" max="3590" width="12.88671875" style="125" customWidth="1"/>
    <col min="3591" max="3591" width="9.77734375" style="125" customWidth="1"/>
    <col min="3592" max="3592" width="7.44140625" style="125" customWidth="1"/>
    <col min="3593" max="3593" width="9.44140625" style="125" customWidth="1"/>
    <col min="3594" max="3594" width="13.77734375" style="125" customWidth="1"/>
    <col min="3595" max="3595" width="7.44140625" style="125" customWidth="1"/>
    <col min="3596" max="3596" width="9.6640625" style="125" customWidth="1"/>
    <col min="3597" max="3597" width="9.88671875" style="125" customWidth="1"/>
    <col min="3598" max="3598" width="8.33203125" style="125" customWidth="1"/>
    <col min="3599" max="3599" width="7.21875" style="125" customWidth="1"/>
    <col min="3600" max="3600" width="8.44140625" style="125" customWidth="1"/>
    <col min="3601" max="3601" width="10.109375" style="125" customWidth="1"/>
    <col min="3602" max="3840" width="8.88671875" style="125"/>
    <col min="3841" max="3841" width="10.21875" style="125" customWidth="1"/>
    <col min="3842" max="3842" width="20.109375" style="125" customWidth="1"/>
    <col min="3843" max="3843" width="26" style="125" customWidth="1"/>
    <col min="3844" max="3844" width="14.109375" style="125" customWidth="1"/>
    <col min="3845" max="3845" width="10.109375" style="125" customWidth="1"/>
    <col min="3846" max="3846" width="12.88671875" style="125" customWidth="1"/>
    <col min="3847" max="3847" width="9.77734375" style="125" customWidth="1"/>
    <col min="3848" max="3848" width="7.44140625" style="125" customWidth="1"/>
    <col min="3849" max="3849" width="9.44140625" style="125" customWidth="1"/>
    <col min="3850" max="3850" width="13.77734375" style="125" customWidth="1"/>
    <col min="3851" max="3851" width="7.44140625" style="125" customWidth="1"/>
    <col min="3852" max="3852" width="9.6640625" style="125" customWidth="1"/>
    <col min="3853" max="3853" width="9.88671875" style="125" customWidth="1"/>
    <col min="3854" max="3854" width="8.33203125" style="125" customWidth="1"/>
    <col min="3855" max="3855" width="7.21875" style="125" customWidth="1"/>
    <col min="3856" max="3856" width="8.44140625" style="125" customWidth="1"/>
    <col min="3857" max="3857" width="10.109375" style="125" customWidth="1"/>
    <col min="3858" max="4096" width="8.88671875" style="125"/>
    <col min="4097" max="4097" width="10.21875" style="125" customWidth="1"/>
    <col min="4098" max="4098" width="20.109375" style="125" customWidth="1"/>
    <col min="4099" max="4099" width="26" style="125" customWidth="1"/>
    <col min="4100" max="4100" width="14.109375" style="125" customWidth="1"/>
    <col min="4101" max="4101" width="10.109375" style="125" customWidth="1"/>
    <col min="4102" max="4102" width="12.88671875" style="125" customWidth="1"/>
    <col min="4103" max="4103" width="9.77734375" style="125" customWidth="1"/>
    <col min="4104" max="4104" width="7.44140625" style="125" customWidth="1"/>
    <col min="4105" max="4105" width="9.44140625" style="125" customWidth="1"/>
    <col min="4106" max="4106" width="13.77734375" style="125" customWidth="1"/>
    <col min="4107" max="4107" width="7.44140625" style="125" customWidth="1"/>
    <col min="4108" max="4108" width="9.6640625" style="125" customWidth="1"/>
    <col min="4109" max="4109" width="9.88671875" style="125" customWidth="1"/>
    <col min="4110" max="4110" width="8.33203125" style="125" customWidth="1"/>
    <col min="4111" max="4111" width="7.21875" style="125" customWidth="1"/>
    <col min="4112" max="4112" width="8.44140625" style="125" customWidth="1"/>
    <col min="4113" max="4113" width="10.109375" style="125" customWidth="1"/>
    <col min="4114" max="4352" width="8.88671875" style="125"/>
    <col min="4353" max="4353" width="10.21875" style="125" customWidth="1"/>
    <col min="4354" max="4354" width="20.109375" style="125" customWidth="1"/>
    <col min="4355" max="4355" width="26" style="125" customWidth="1"/>
    <col min="4356" max="4356" width="14.109375" style="125" customWidth="1"/>
    <col min="4357" max="4357" width="10.109375" style="125" customWidth="1"/>
    <col min="4358" max="4358" width="12.88671875" style="125" customWidth="1"/>
    <col min="4359" max="4359" width="9.77734375" style="125" customWidth="1"/>
    <col min="4360" max="4360" width="7.44140625" style="125" customWidth="1"/>
    <col min="4361" max="4361" width="9.44140625" style="125" customWidth="1"/>
    <col min="4362" max="4362" width="13.77734375" style="125" customWidth="1"/>
    <col min="4363" max="4363" width="7.44140625" style="125" customWidth="1"/>
    <col min="4364" max="4364" width="9.6640625" style="125" customWidth="1"/>
    <col min="4365" max="4365" width="9.88671875" style="125" customWidth="1"/>
    <col min="4366" max="4366" width="8.33203125" style="125" customWidth="1"/>
    <col min="4367" max="4367" width="7.21875" style="125" customWidth="1"/>
    <col min="4368" max="4368" width="8.44140625" style="125" customWidth="1"/>
    <col min="4369" max="4369" width="10.109375" style="125" customWidth="1"/>
    <col min="4370" max="4608" width="8.88671875" style="125"/>
    <col min="4609" max="4609" width="10.21875" style="125" customWidth="1"/>
    <col min="4610" max="4610" width="20.109375" style="125" customWidth="1"/>
    <col min="4611" max="4611" width="26" style="125" customWidth="1"/>
    <col min="4612" max="4612" width="14.109375" style="125" customWidth="1"/>
    <col min="4613" max="4613" width="10.109375" style="125" customWidth="1"/>
    <col min="4614" max="4614" width="12.88671875" style="125" customWidth="1"/>
    <col min="4615" max="4615" width="9.77734375" style="125" customWidth="1"/>
    <col min="4616" max="4616" width="7.44140625" style="125" customWidth="1"/>
    <col min="4617" max="4617" width="9.44140625" style="125" customWidth="1"/>
    <col min="4618" max="4618" width="13.77734375" style="125" customWidth="1"/>
    <col min="4619" max="4619" width="7.44140625" style="125" customWidth="1"/>
    <col min="4620" max="4620" width="9.6640625" style="125" customWidth="1"/>
    <col min="4621" max="4621" width="9.88671875" style="125" customWidth="1"/>
    <col min="4622" max="4622" width="8.33203125" style="125" customWidth="1"/>
    <col min="4623" max="4623" width="7.21875" style="125" customWidth="1"/>
    <col min="4624" max="4624" width="8.44140625" style="125" customWidth="1"/>
    <col min="4625" max="4625" width="10.109375" style="125" customWidth="1"/>
    <col min="4626" max="4864" width="8.88671875" style="125"/>
    <col min="4865" max="4865" width="10.21875" style="125" customWidth="1"/>
    <col min="4866" max="4866" width="20.109375" style="125" customWidth="1"/>
    <col min="4867" max="4867" width="26" style="125" customWidth="1"/>
    <col min="4868" max="4868" width="14.109375" style="125" customWidth="1"/>
    <col min="4869" max="4869" width="10.109375" style="125" customWidth="1"/>
    <col min="4870" max="4870" width="12.88671875" style="125" customWidth="1"/>
    <col min="4871" max="4871" width="9.77734375" style="125" customWidth="1"/>
    <col min="4872" max="4872" width="7.44140625" style="125" customWidth="1"/>
    <col min="4873" max="4873" width="9.44140625" style="125" customWidth="1"/>
    <col min="4874" max="4874" width="13.77734375" style="125" customWidth="1"/>
    <col min="4875" max="4875" width="7.44140625" style="125" customWidth="1"/>
    <col min="4876" max="4876" width="9.6640625" style="125" customWidth="1"/>
    <col min="4877" max="4877" width="9.88671875" style="125" customWidth="1"/>
    <col min="4878" max="4878" width="8.33203125" style="125" customWidth="1"/>
    <col min="4879" max="4879" width="7.21875" style="125" customWidth="1"/>
    <col min="4880" max="4880" width="8.44140625" style="125" customWidth="1"/>
    <col min="4881" max="4881" width="10.109375" style="125" customWidth="1"/>
    <col min="4882" max="5120" width="8.88671875" style="125"/>
    <col min="5121" max="5121" width="10.21875" style="125" customWidth="1"/>
    <col min="5122" max="5122" width="20.109375" style="125" customWidth="1"/>
    <col min="5123" max="5123" width="26" style="125" customWidth="1"/>
    <col min="5124" max="5124" width="14.109375" style="125" customWidth="1"/>
    <col min="5125" max="5125" width="10.109375" style="125" customWidth="1"/>
    <col min="5126" max="5126" width="12.88671875" style="125" customWidth="1"/>
    <col min="5127" max="5127" width="9.77734375" style="125" customWidth="1"/>
    <col min="5128" max="5128" width="7.44140625" style="125" customWidth="1"/>
    <col min="5129" max="5129" width="9.44140625" style="125" customWidth="1"/>
    <col min="5130" max="5130" width="13.77734375" style="125" customWidth="1"/>
    <col min="5131" max="5131" width="7.44140625" style="125" customWidth="1"/>
    <col min="5132" max="5132" width="9.6640625" style="125" customWidth="1"/>
    <col min="5133" max="5133" width="9.88671875" style="125" customWidth="1"/>
    <col min="5134" max="5134" width="8.33203125" style="125" customWidth="1"/>
    <col min="5135" max="5135" width="7.21875" style="125" customWidth="1"/>
    <col min="5136" max="5136" width="8.44140625" style="125" customWidth="1"/>
    <col min="5137" max="5137" width="10.109375" style="125" customWidth="1"/>
    <col min="5138" max="5376" width="8.88671875" style="125"/>
    <col min="5377" max="5377" width="10.21875" style="125" customWidth="1"/>
    <col min="5378" max="5378" width="20.109375" style="125" customWidth="1"/>
    <col min="5379" max="5379" width="26" style="125" customWidth="1"/>
    <col min="5380" max="5380" width="14.109375" style="125" customWidth="1"/>
    <col min="5381" max="5381" width="10.109375" style="125" customWidth="1"/>
    <col min="5382" max="5382" width="12.88671875" style="125" customWidth="1"/>
    <col min="5383" max="5383" width="9.77734375" style="125" customWidth="1"/>
    <col min="5384" max="5384" width="7.44140625" style="125" customWidth="1"/>
    <col min="5385" max="5385" width="9.44140625" style="125" customWidth="1"/>
    <col min="5386" max="5386" width="13.77734375" style="125" customWidth="1"/>
    <col min="5387" max="5387" width="7.44140625" style="125" customWidth="1"/>
    <col min="5388" max="5388" width="9.6640625" style="125" customWidth="1"/>
    <col min="5389" max="5389" width="9.88671875" style="125" customWidth="1"/>
    <col min="5390" max="5390" width="8.33203125" style="125" customWidth="1"/>
    <col min="5391" max="5391" width="7.21875" style="125" customWidth="1"/>
    <col min="5392" max="5392" width="8.44140625" style="125" customWidth="1"/>
    <col min="5393" max="5393" width="10.109375" style="125" customWidth="1"/>
    <col min="5394" max="5632" width="8.88671875" style="125"/>
    <col min="5633" max="5633" width="10.21875" style="125" customWidth="1"/>
    <col min="5634" max="5634" width="20.109375" style="125" customWidth="1"/>
    <col min="5635" max="5635" width="26" style="125" customWidth="1"/>
    <col min="5636" max="5636" width="14.109375" style="125" customWidth="1"/>
    <col min="5637" max="5637" width="10.109375" style="125" customWidth="1"/>
    <col min="5638" max="5638" width="12.88671875" style="125" customWidth="1"/>
    <col min="5639" max="5639" width="9.77734375" style="125" customWidth="1"/>
    <col min="5640" max="5640" width="7.44140625" style="125" customWidth="1"/>
    <col min="5641" max="5641" width="9.44140625" style="125" customWidth="1"/>
    <col min="5642" max="5642" width="13.77734375" style="125" customWidth="1"/>
    <col min="5643" max="5643" width="7.44140625" style="125" customWidth="1"/>
    <col min="5644" max="5644" width="9.6640625" style="125" customWidth="1"/>
    <col min="5645" max="5645" width="9.88671875" style="125" customWidth="1"/>
    <col min="5646" max="5646" width="8.33203125" style="125" customWidth="1"/>
    <col min="5647" max="5647" width="7.21875" style="125" customWidth="1"/>
    <col min="5648" max="5648" width="8.44140625" style="125" customWidth="1"/>
    <col min="5649" max="5649" width="10.109375" style="125" customWidth="1"/>
    <col min="5650" max="5888" width="8.88671875" style="125"/>
    <col min="5889" max="5889" width="10.21875" style="125" customWidth="1"/>
    <col min="5890" max="5890" width="20.109375" style="125" customWidth="1"/>
    <col min="5891" max="5891" width="26" style="125" customWidth="1"/>
    <col min="5892" max="5892" width="14.109375" style="125" customWidth="1"/>
    <col min="5893" max="5893" width="10.109375" style="125" customWidth="1"/>
    <col min="5894" max="5894" width="12.88671875" style="125" customWidth="1"/>
    <col min="5895" max="5895" width="9.77734375" style="125" customWidth="1"/>
    <col min="5896" max="5896" width="7.44140625" style="125" customWidth="1"/>
    <col min="5897" max="5897" width="9.44140625" style="125" customWidth="1"/>
    <col min="5898" max="5898" width="13.77734375" style="125" customWidth="1"/>
    <col min="5899" max="5899" width="7.44140625" style="125" customWidth="1"/>
    <col min="5900" max="5900" width="9.6640625" style="125" customWidth="1"/>
    <col min="5901" max="5901" width="9.88671875" style="125" customWidth="1"/>
    <col min="5902" max="5902" width="8.33203125" style="125" customWidth="1"/>
    <col min="5903" max="5903" width="7.21875" style="125" customWidth="1"/>
    <col min="5904" max="5904" width="8.44140625" style="125" customWidth="1"/>
    <col min="5905" max="5905" width="10.109375" style="125" customWidth="1"/>
    <col min="5906" max="6144" width="8.88671875" style="125"/>
    <col min="6145" max="6145" width="10.21875" style="125" customWidth="1"/>
    <col min="6146" max="6146" width="20.109375" style="125" customWidth="1"/>
    <col min="6147" max="6147" width="26" style="125" customWidth="1"/>
    <col min="6148" max="6148" width="14.109375" style="125" customWidth="1"/>
    <col min="6149" max="6149" width="10.109375" style="125" customWidth="1"/>
    <col min="6150" max="6150" width="12.88671875" style="125" customWidth="1"/>
    <col min="6151" max="6151" width="9.77734375" style="125" customWidth="1"/>
    <col min="6152" max="6152" width="7.44140625" style="125" customWidth="1"/>
    <col min="6153" max="6153" width="9.44140625" style="125" customWidth="1"/>
    <col min="6154" max="6154" width="13.77734375" style="125" customWidth="1"/>
    <col min="6155" max="6155" width="7.44140625" style="125" customWidth="1"/>
    <col min="6156" max="6156" width="9.6640625" style="125" customWidth="1"/>
    <col min="6157" max="6157" width="9.88671875" style="125" customWidth="1"/>
    <col min="6158" max="6158" width="8.33203125" style="125" customWidth="1"/>
    <col min="6159" max="6159" width="7.21875" style="125" customWidth="1"/>
    <col min="6160" max="6160" width="8.44140625" style="125" customWidth="1"/>
    <col min="6161" max="6161" width="10.109375" style="125" customWidth="1"/>
    <col min="6162" max="6400" width="8.88671875" style="125"/>
    <col min="6401" max="6401" width="10.21875" style="125" customWidth="1"/>
    <col min="6402" max="6402" width="20.109375" style="125" customWidth="1"/>
    <col min="6403" max="6403" width="26" style="125" customWidth="1"/>
    <col min="6404" max="6404" width="14.109375" style="125" customWidth="1"/>
    <col min="6405" max="6405" width="10.109375" style="125" customWidth="1"/>
    <col min="6406" max="6406" width="12.88671875" style="125" customWidth="1"/>
    <col min="6407" max="6407" width="9.77734375" style="125" customWidth="1"/>
    <col min="6408" max="6408" width="7.44140625" style="125" customWidth="1"/>
    <col min="6409" max="6409" width="9.44140625" style="125" customWidth="1"/>
    <col min="6410" max="6410" width="13.77734375" style="125" customWidth="1"/>
    <col min="6411" max="6411" width="7.44140625" style="125" customWidth="1"/>
    <col min="6412" max="6412" width="9.6640625" style="125" customWidth="1"/>
    <col min="6413" max="6413" width="9.88671875" style="125" customWidth="1"/>
    <col min="6414" max="6414" width="8.33203125" style="125" customWidth="1"/>
    <col min="6415" max="6415" width="7.21875" style="125" customWidth="1"/>
    <col min="6416" max="6416" width="8.44140625" style="125" customWidth="1"/>
    <col min="6417" max="6417" width="10.109375" style="125" customWidth="1"/>
    <col min="6418" max="6656" width="8.88671875" style="125"/>
    <col min="6657" max="6657" width="10.21875" style="125" customWidth="1"/>
    <col min="6658" max="6658" width="20.109375" style="125" customWidth="1"/>
    <col min="6659" max="6659" width="26" style="125" customWidth="1"/>
    <col min="6660" max="6660" width="14.109375" style="125" customWidth="1"/>
    <col min="6661" max="6661" width="10.109375" style="125" customWidth="1"/>
    <col min="6662" max="6662" width="12.88671875" style="125" customWidth="1"/>
    <col min="6663" max="6663" width="9.77734375" style="125" customWidth="1"/>
    <col min="6664" max="6664" width="7.44140625" style="125" customWidth="1"/>
    <col min="6665" max="6665" width="9.44140625" style="125" customWidth="1"/>
    <col min="6666" max="6666" width="13.77734375" style="125" customWidth="1"/>
    <col min="6667" max="6667" width="7.44140625" style="125" customWidth="1"/>
    <col min="6668" max="6668" width="9.6640625" style="125" customWidth="1"/>
    <col min="6669" max="6669" width="9.88671875" style="125" customWidth="1"/>
    <col min="6670" max="6670" width="8.33203125" style="125" customWidth="1"/>
    <col min="6671" max="6671" width="7.21875" style="125" customWidth="1"/>
    <col min="6672" max="6672" width="8.44140625" style="125" customWidth="1"/>
    <col min="6673" max="6673" width="10.109375" style="125" customWidth="1"/>
    <col min="6674" max="6912" width="8.88671875" style="125"/>
    <col min="6913" max="6913" width="10.21875" style="125" customWidth="1"/>
    <col min="6914" max="6914" width="20.109375" style="125" customWidth="1"/>
    <col min="6915" max="6915" width="26" style="125" customWidth="1"/>
    <col min="6916" max="6916" width="14.109375" style="125" customWidth="1"/>
    <col min="6917" max="6917" width="10.109375" style="125" customWidth="1"/>
    <col min="6918" max="6918" width="12.88671875" style="125" customWidth="1"/>
    <col min="6919" max="6919" width="9.77734375" style="125" customWidth="1"/>
    <col min="6920" max="6920" width="7.44140625" style="125" customWidth="1"/>
    <col min="6921" max="6921" width="9.44140625" style="125" customWidth="1"/>
    <col min="6922" max="6922" width="13.77734375" style="125" customWidth="1"/>
    <col min="6923" max="6923" width="7.44140625" style="125" customWidth="1"/>
    <col min="6924" max="6924" width="9.6640625" style="125" customWidth="1"/>
    <col min="6925" max="6925" width="9.88671875" style="125" customWidth="1"/>
    <col min="6926" max="6926" width="8.33203125" style="125" customWidth="1"/>
    <col min="6927" max="6927" width="7.21875" style="125" customWidth="1"/>
    <col min="6928" max="6928" width="8.44140625" style="125" customWidth="1"/>
    <col min="6929" max="6929" width="10.109375" style="125" customWidth="1"/>
    <col min="6930" max="7168" width="8.88671875" style="125"/>
    <col min="7169" max="7169" width="10.21875" style="125" customWidth="1"/>
    <col min="7170" max="7170" width="20.109375" style="125" customWidth="1"/>
    <col min="7171" max="7171" width="26" style="125" customWidth="1"/>
    <col min="7172" max="7172" width="14.109375" style="125" customWidth="1"/>
    <col min="7173" max="7173" width="10.109375" style="125" customWidth="1"/>
    <col min="7174" max="7174" width="12.88671875" style="125" customWidth="1"/>
    <col min="7175" max="7175" width="9.77734375" style="125" customWidth="1"/>
    <col min="7176" max="7176" width="7.44140625" style="125" customWidth="1"/>
    <col min="7177" max="7177" width="9.44140625" style="125" customWidth="1"/>
    <col min="7178" max="7178" width="13.77734375" style="125" customWidth="1"/>
    <col min="7179" max="7179" width="7.44140625" style="125" customWidth="1"/>
    <col min="7180" max="7180" width="9.6640625" style="125" customWidth="1"/>
    <col min="7181" max="7181" width="9.88671875" style="125" customWidth="1"/>
    <col min="7182" max="7182" width="8.33203125" style="125" customWidth="1"/>
    <col min="7183" max="7183" width="7.21875" style="125" customWidth="1"/>
    <col min="7184" max="7184" width="8.44140625" style="125" customWidth="1"/>
    <col min="7185" max="7185" width="10.109375" style="125" customWidth="1"/>
    <col min="7186" max="7424" width="8.88671875" style="125"/>
    <col min="7425" max="7425" width="10.21875" style="125" customWidth="1"/>
    <col min="7426" max="7426" width="20.109375" style="125" customWidth="1"/>
    <col min="7427" max="7427" width="26" style="125" customWidth="1"/>
    <col min="7428" max="7428" width="14.109375" style="125" customWidth="1"/>
    <col min="7429" max="7429" width="10.109375" style="125" customWidth="1"/>
    <col min="7430" max="7430" width="12.88671875" style="125" customWidth="1"/>
    <col min="7431" max="7431" width="9.77734375" style="125" customWidth="1"/>
    <col min="7432" max="7432" width="7.44140625" style="125" customWidth="1"/>
    <col min="7433" max="7433" width="9.44140625" style="125" customWidth="1"/>
    <col min="7434" max="7434" width="13.77734375" style="125" customWidth="1"/>
    <col min="7435" max="7435" width="7.44140625" style="125" customWidth="1"/>
    <col min="7436" max="7436" width="9.6640625" style="125" customWidth="1"/>
    <col min="7437" max="7437" width="9.88671875" style="125" customWidth="1"/>
    <col min="7438" max="7438" width="8.33203125" style="125" customWidth="1"/>
    <col min="7439" max="7439" width="7.21875" style="125" customWidth="1"/>
    <col min="7440" max="7440" width="8.44140625" style="125" customWidth="1"/>
    <col min="7441" max="7441" width="10.109375" style="125" customWidth="1"/>
    <col min="7442" max="7680" width="8.88671875" style="125"/>
    <col min="7681" max="7681" width="10.21875" style="125" customWidth="1"/>
    <col min="7682" max="7682" width="20.109375" style="125" customWidth="1"/>
    <col min="7683" max="7683" width="26" style="125" customWidth="1"/>
    <col min="7684" max="7684" width="14.109375" style="125" customWidth="1"/>
    <col min="7685" max="7685" width="10.109375" style="125" customWidth="1"/>
    <col min="7686" max="7686" width="12.88671875" style="125" customWidth="1"/>
    <col min="7687" max="7687" width="9.77734375" style="125" customWidth="1"/>
    <col min="7688" max="7688" width="7.44140625" style="125" customWidth="1"/>
    <col min="7689" max="7689" width="9.44140625" style="125" customWidth="1"/>
    <col min="7690" max="7690" width="13.77734375" style="125" customWidth="1"/>
    <col min="7691" max="7691" width="7.44140625" style="125" customWidth="1"/>
    <col min="7692" max="7692" width="9.6640625" style="125" customWidth="1"/>
    <col min="7693" max="7693" width="9.88671875" style="125" customWidth="1"/>
    <col min="7694" max="7694" width="8.33203125" style="125" customWidth="1"/>
    <col min="7695" max="7695" width="7.21875" style="125" customWidth="1"/>
    <col min="7696" max="7696" width="8.44140625" style="125" customWidth="1"/>
    <col min="7697" max="7697" width="10.109375" style="125" customWidth="1"/>
    <col min="7698" max="7936" width="8.88671875" style="125"/>
    <col min="7937" max="7937" width="10.21875" style="125" customWidth="1"/>
    <col min="7938" max="7938" width="20.109375" style="125" customWidth="1"/>
    <col min="7939" max="7939" width="26" style="125" customWidth="1"/>
    <col min="7940" max="7940" width="14.109375" style="125" customWidth="1"/>
    <col min="7941" max="7941" width="10.109375" style="125" customWidth="1"/>
    <col min="7942" max="7942" width="12.88671875" style="125" customWidth="1"/>
    <col min="7943" max="7943" width="9.77734375" style="125" customWidth="1"/>
    <col min="7944" max="7944" width="7.44140625" style="125" customWidth="1"/>
    <col min="7945" max="7945" width="9.44140625" style="125" customWidth="1"/>
    <col min="7946" max="7946" width="13.77734375" style="125" customWidth="1"/>
    <col min="7947" max="7947" width="7.44140625" style="125" customWidth="1"/>
    <col min="7948" max="7948" width="9.6640625" style="125" customWidth="1"/>
    <col min="7949" max="7949" width="9.88671875" style="125" customWidth="1"/>
    <col min="7950" max="7950" width="8.33203125" style="125" customWidth="1"/>
    <col min="7951" max="7951" width="7.21875" style="125" customWidth="1"/>
    <col min="7952" max="7952" width="8.44140625" style="125" customWidth="1"/>
    <col min="7953" max="7953" width="10.109375" style="125" customWidth="1"/>
    <col min="7954" max="8192" width="8.88671875" style="125"/>
    <col min="8193" max="8193" width="10.21875" style="125" customWidth="1"/>
    <col min="8194" max="8194" width="20.109375" style="125" customWidth="1"/>
    <col min="8195" max="8195" width="26" style="125" customWidth="1"/>
    <col min="8196" max="8196" width="14.109375" style="125" customWidth="1"/>
    <col min="8197" max="8197" width="10.109375" style="125" customWidth="1"/>
    <col min="8198" max="8198" width="12.88671875" style="125" customWidth="1"/>
    <col min="8199" max="8199" width="9.77734375" style="125" customWidth="1"/>
    <col min="8200" max="8200" width="7.44140625" style="125" customWidth="1"/>
    <col min="8201" max="8201" width="9.44140625" style="125" customWidth="1"/>
    <col min="8202" max="8202" width="13.77734375" style="125" customWidth="1"/>
    <col min="8203" max="8203" width="7.44140625" style="125" customWidth="1"/>
    <col min="8204" max="8204" width="9.6640625" style="125" customWidth="1"/>
    <col min="8205" max="8205" width="9.88671875" style="125" customWidth="1"/>
    <col min="8206" max="8206" width="8.33203125" style="125" customWidth="1"/>
    <col min="8207" max="8207" width="7.21875" style="125" customWidth="1"/>
    <col min="8208" max="8208" width="8.44140625" style="125" customWidth="1"/>
    <col min="8209" max="8209" width="10.109375" style="125" customWidth="1"/>
    <col min="8210" max="8448" width="8.88671875" style="125"/>
    <col min="8449" max="8449" width="10.21875" style="125" customWidth="1"/>
    <col min="8450" max="8450" width="20.109375" style="125" customWidth="1"/>
    <col min="8451" max="8451" width="26" style="125" customWidth="1"/>
    <col min="8452" max="8452" width="14.109375" style="125" customWidth="1"/>
    <col min="8453" max="8453" width="10.109375" style="125" customWidth="1"/>
    <col min="8454" max="8454" width="12.88671875" style="125" customWidth="1"/>
    <col min="8455" max="8455" width="9.77734375" style="125" customWidth="1"/>
    <col min="8456" max="8456" width="7.44140625" style="125" customWidth="1"/>
    <col min="8457" max="8457" width="9.44140625" style="125" customWidth="1"/>
    <col min="8458" max="8458" width="13.77734375" style="125" customWidth="1"/>
    <col min="8459" max="8459" width="7.44140625" style="125" customWidth="1"/>
    <col min="8460" max="8460" width="9.6640625" style="125" customWidth="1"/>
    <col min="8461" max="8461" width="9.88671875" style="125" customWidth="1"/>
    <col min="8462" max="8462" width="8.33203125" style="125" customWidth="1"/>
    <col min="8463" max="8463" width="7.21875" style="125" customWidth="1"/>
    <col min="8464" max="8464" width="8.44140625" style="125" customWidth="1"/>
    <col min="8465" max="8465" width="10.109375" style="125" customWidth="1"/>
    <col min="8466" max="8704" width="8.88671875" style="125"/>
    <col min="8705" max="8705" width="10.21875" style="125" customWidth="1"/>
    <col min="8706" max="8706" width="20.109375" style="125" customWidth="1"/>
    <col min="8707" max="8707" width="26" style="125" customWidth="1"/>
    <col min="8708" max="8708" width="14.109375" style="125" customWidth="1"/>
    <col min="8709" max="8709" width="10.109375" style="125" customWidth="1"/>
    <col min="8710" max="8710" width="12.88671875" style="125" customWidth="1"/>
    <col min="8711" max="8711" width="9.77734375" style="125" customWidth="1"/>
    <col min="8712" max="8712" width="7.44140625" style="125" customWidth="1"/>
    <col min="8713" max="8713" width="9.44140625" style="125" customWidth="1"/>
    <col min="8714" max="8714" width="13.77734375" style="125" customWidth="1"/>
    <col min="8715" max="8715" width="7.44140625" style="125" customWidth="1"/>
    <col min="8716" max="8716" width="9.6640625" style="125" customWidth="1"/>
    <col min="8717" max="8717" width="9.88671875" style="125" customWidth="1"/>
    <col min="8718" max="8718" width="8.33203125" style="125" customWidth="1"/>
    <col min="8719" max="8719" width="7.21875" style="125" customWidth="1"/>
    <col min="8720" max="8720" width="8.44140625" style="125" customWidth="1"/>
    <col min="8721" max="8721" width="10.109375" style="125" customWidth="1"/>
    <col min="8722" max="8960" width="8.88671875" style="125"/>
    <col min="8961" max="8961" width="10.21875" style="125" customWidth="1"/>
    <col min="8962" max="8962" width="20.109375" style="125" customWidth="1"/>
    <col min="8963" max="8963" width="26" style="125" customWidth="1"/>
    <col min="8964" max="8964" width="14.109375" style="125" customWidth="1"/>
    <col min="8965" max="8965" width="10.109375" style="125" customWidth="1"/>
    <col min="8966" max="8966" width="12.88671875" style="125" customWidth="1"/>
    <col min="8967" max="8967" width="9.77734375" style="125" customWidth="1"/>
    <col min="8968" max="8968" width="7.44140625" style="125" customWidth="1"/>
    <col min="8969" max="8969" width="9.44140625" style="125" customWidth="1"/>
    <col min="8970" max="8970" width="13.77734375" style="125" customWidth="1"/>
    <col min="8971" max="8971" width="7.44140625" style="125" customWidth="1"/>
    <col min="8972" max="8972" width="9.6640625" style="125" customWidth="1"/>
    <col min="8973" max="8973" width="9.88671875" style="125" customWidth="1"/>
    <col min="8974" max="8974" width="8.33203125" style="125" customWidth="1"/>
    <col min="8975" max="8975" width="7.21875" style="125" customWidth="1"/>
    <col min="8976" max="8976" width="8.44140625" style="125" customWidth="1"/>
    <col min="8977" max="8977" width="10.109375" style="125" customWidth="1"/>
    <col min="8978" max="9216" width="8.88671875" style="125"/>
    <col min="9217" max="9217" width="10.21875" style="125" customWidth="1"/>
    <col min="9218" max="9218" width="20.109375" style="125" customWidth="1"/>
    <col min="9219" max="9219" width="26" style="125" customWidth="1"/>
    <col min="9220" max="9220" width="14.109375" style="125" customWidth="1"/>
    <col min="9221" max="9221" width="10.109375" style="125" customWidth="1"/>
    <col min="9222" max="9222" width="12.88671875" style="125" customWidth="1"/>
    <col min="9223" max="9223" width="9.77734375" style="125" customWidth="1"/>
    <col min="9224" max="9224" width="7.44140625" style="125" customWidth="1"/>
    <col min="9225" max="9225" width="9.44140625" style="125" customWidth="1"/>
    <col min="9226" max="9226" width="13.77734375" style="125" customWidth="1"/>
    <col min="9227" max="9227" width="7.44140625" style="125" customWidth="1"/>
    <col min="9228" max="9228" width="9.6640625" style="125" customWidth="1"/>
    <col min="9229" max="9229" width="9.88671875" style="125" customWidth="1"/>
    <col min="9230" max="9230" width="8.33203125" style="125" customWidth="1"/>
    <col min="9231" max="9231" width="7.21875" style="125" customWidth="1"/>
    <col min="9232" max="9232" width="8.44140625" style="125" customWidth="1"/>
    <col min="9233" max="9233" width="10.109375" style="125" customWidth="1"/>
    <col min="9234" max="9472" width="8.88671875" style="125"/>
    <col min="9473" max="9473" width="10.21875" style="125" customWidth="1"/>
    <col min="9474" max="9474" width="20.109375" style="125" customWidth="1"/>
    <col min="9475" max="9475" width="26" style="125" customWidth="1"/>
    <col min="9476" max="9476" width="14.109375" style="125" customWidth="1"/>
    <col min="9477" max="9477" width="10.109375" style="125" customWidth="1"/>
    <col min="9478" max="9478" width="12.88671875" style="125" customWidth="1"/>
    <col min="9479" max="9479" width="9.77734375" style="125" customWidth="1"/>
    <col min="9480" max="9480" width="7.44140625" style="125" customWidth="1"/>
    <col min="9481" max="9481" width="9.44140625" style="125" customWidth="1"/>
    <col min="9482" max="9482" width="13.77734375" style="125" customWidth="1"/>
    <col min="9483" max="9483" width="7.44140625" style="125" customWidth="1"/>
    <col min="9484" max="9484" width="9.6640625" style="125" customWidth="1"/>
    <col min="9485" max="9485" width="9.88671875" style="125" customWidth="1"/>
    <col min="9486" max="9486" width="8.33203125" style="125" customWidth="1"/>
    <col min="9487" max="9487" width="7.21875" style="125" customWidth="1"/>
    <col min="9488" max="9488" width="8.44140625" style="125" customWidth="1"/>
    <col min="9489" max="9489" width="10.109375" style="125" customWidth="1"/>
    <col min="9490" max="9728" width="8.88671875" style="125"/>
    <col min="9729" max="9729" width="10.21875" style="125" customWidth="1"/>
    <col min="9730" max="9730" width="20.109375" style="125" customWidth="1"/>
    <col min="9731" max="9731" width="26" style="125" customWidth="1"/>
    <col min="9732" max="9732" width="14.109375" style="125" customWidth="1"/>
    <col min="9733" max="9733" width="10.109375" style="125" customWidth="1"/>
    <col min="9734" max="9734" width="12.88671875" style="125" customWidth="1"/>
    <col min="9735" max="9735" width="9.77734375" style="125" customWidth="1"/>
    <col min="9736" max="9736" width="7.44140625" style="125" customWidth="1"/>
    <col min="9737" max="9737" width="9.44140625" style="125" customWidth="1"/>
    <col min="9738" max="9738" width="13.77734375" style="125" customWidth="1"/>
    <col min="9739" max="9739" width="7.44140625" style="125" customWidth="1"/>
    <col min="9740" max="9740" width="9.6640625" style="125" customWidth="1"/>
    <col min="9741" max="9741" width="9.88671875" style="125" customWidth="1"/>
    <col min="9742" max="9742" width="8.33203125" style="125" customWidth="1"/>
    <col min="9743" max="9743" width="7.21875" style="125" customWidth="1"/>
    <col min="9744" max="9744" width="8.44140625" style="125" customWidth="1"/>
    <col min="9745" max="9745" width="10.109375" style="125" customWidth="1"/>
    <col min="9746" max="9984" width="8.88671875" style="125"/>
    <col min="9985" max="9985" width="10.21875" style="125" customWidth="1"/>
    <col min="9986" max="9986" width="20.109375" style="125" customWidth="1"/>
    <col min="9987" max="9987" width="26" style="125" customWidth="1"/>
    <col min="9988" max="9988" width="14.109375" style="125" customWidth="1"/>
    <col min="9989" max="9989" width="10.109375" style="125" customWidth="1"/>
    <col min="9990" max="9990" width="12.88671875" style="125" customWidth="1"/>
    <col min="9991" max="9991" width="9.77734375" style="125" customWidth="1"/>
    <col min="9992" max="9992" width="7.44140625" style="125" customWidth="1"/>
    <col min="9993" max="9993" width="9.44140625" style="125" customWidth="1"/>
    <col min="9994" max="9994" width="13.77734375" style="125" customWidth="1"/>
    <col min="9995" max="9995" width="7.44140625" style="125" customWidth="1"/>
    <col min="9996" max="9996" width="9.6640625" style="125" customWidth="1"/>
    <col min="9997" max="9997" width="9.88671875" style="125" customWidth="1"/>
    <col min="9998" max="9998" width="8.33203125" style="125" customWidth="1"/>
    <col min="9999" max="9999" width="7.21875" style="125" customWidth="1"/>
    <col min="10000" max="10000" width="8.44140625" style="125" customWidth="1"/>
    <col min="10001" max="10001" width="10.109375" style="125" customWidth="1"/>
    <col min="10002" max="10240" width="8.88671875" style="125"/>
    <col min="10241" max="10241" width="10.21875" style="125" customWidth="1"/>
    <col min="10242" max="10242" width="20.109375" style="125" customWidth="1"/>
    <col min="10243" max="10243" width="26" style="125" customWidth="1"/>
    <col min="10244" max="10244" width="14.109375" style="125" customWidth="1"/>
    <col min="10245" max="10245" width="10.109375" style="125" customWidth="1"/>
    <col min="10246" max="10246" width="12.88671875" style="125" customWidth="1"/>
    <col min="10247" max="10247" width="9.77734375" style="125" customWidth="1"/>
    <col min="10248" max="10248" width="7.44140625" style="125" customWidth="1"/>
    <col min="10249" max="10249" width="9.44140625" style="125" customWidth="1"/>
    <col min="10250" max="10250" width="13.77734375" style="125" customWidth="1"/>
    <col min="10251" max="10251" width="7.44140625" style="125" customWidth="1"/>
    <col min="10252" max="10252" width="9.6640625" style="125" customWidth="1"/>
    <col min="10253" max="10253" width="9.88671875" style="125" customWidth="1"/>
    <col min="10254" max="10254" width="8.33203125" style="125" customWidth="1"/>
    <col min="10255" max="10255" width="7.21875" style="125" customWidth="1"/>
    <col min="10256" max="10256" width="8.44140625" style="125" customWidth="1"/>
    <col min="10257" max="10257" width="10.109375" style="125" customWidth="1"/>
    <col min="10258" max="10496" width="8.88671875" style="125"/>
    <col min="10497" max="10497" width="10.21875" style="125" customWidth="1"/>
    <col min="10498" max="10498" width="20.109375" style="125" customWidth="1"/>
    <col min="10499" max="10499" width="26" style="125" customWidth="1"/>
    <col min="10500" max="10500" width="14.109375" style="125" customWidth="1"/>
    <col min="10501" max="10501" width="10.109375" style="125" customWidth="1"/>
    <col min="10502" max="10502" width="12.88671875" style="125" customWidth="1"/>
    <col min="10503" max="10503" width="9.77734375" style="125" customWidth="1"/>
    <col min="10504" max="10504" width="7.44140625" style="125" customWidth="1"/>
    <col min="10505" max="10505" width="9.44140625" style="125" customWidth="1"/>
    <col min="10506" max="10506" width="13.77734375" style="125" customWidth="1"/>
    <col min="10507" max="10507" width="7.44140625" style="125" customWidth="1"/>
    <col min="10508" max="10508" width="9.6640625" style="125" customWidth="1"/>
    <col min="10509" max="10509" width="9.88671875" style="125" customWidth="1"/>
    <col min="10510" max="10510" width="8.33203125" style="125" customWidth="1"/>
    <col min="10511" max="10511" width="7.21875" style="125" customWidth="1"/>
    <col min="10512" max="10512" width="8.44140625" style="125" customWidth="1"/>
    <col min="10513" max="10513" width="10.109375" style="125" customWidth="1"/>
    <col min="10514" max="10752" width="8.88671875" style="125"/>
    <col min="10753" max="10753" width="10.21875" style="125" customWidth="1"/>
    <col min="10754" max="10754" width="20.109375" style="125" customWidth="1"/>
    <col min="10755" max="10755" width="26" style="125" customWidth="1"/>
    <col min="10756" max="10756" width="14.109375" style="125" customWidth="1"/>
    <col min="10757" max="10757" width="10.109375" style="125" customWidth="1"/>
    <col min="10758" max="10758" width="12.88671875" style="125" customWidth="1"/>
    <col min="10759" max="10759" width="9.77734375" style="125" customWidth="1"/>
    <col min="10760" max="10760" width="7.44140625" style="125" customWidth="1"/>
    <col min="10761" max="10761" width="9.44140625" style="125" customWidth="1"/>
    <col min="10762" max="10762" width="13.77734375" style="125" customWidth="1"/>
    <col min="10763" max="10763" width="7.44140625" style="125" customWidth="1"/>
    <col min="10764" max="10764" width="9.6640625" style="125" customWidth="1"/>
    <col min="10765" max="10765" width="9.88671875" style="125" customWidth="1"/>
    <col min="10766" max="10766" width="8.33203125" style="125" customWidth="1"/>
    <col min="10767" max="10767" width="7.21875" style="125" customWidth="1"/>
    <col min="10768" max="10768" width="8.44140625" style="125" customWidth="1"/>
    <col min="10769" max="10769" width="10.109375" style="125" customWidth="1"/>
    <col min="10770" max="11008" width="8.88671875" style="125"/>
    <col min="11009" max="11009" width="10.21875" style="125" customWidth="1"/>
    <col min="11010" max="11010" width="20.109375" style="125" customWidth="1"/>
    <col min="11011" max="11011" width="26" style="125" customWidth="1"/>
    <col min="11012" max="11012" width="14.109375" style="125" customWidth="1"/>
    <col min="11013" max="11013" width="10.109375" style="125" customWidth="1"/>
    <col min="11014" max="11014" width="12.88671875" style="125" customWidth="1"/>
    <col min="11015" max="11015" width="9.77734375" style="125" customWidth="1"/>
    <col min="11016" max="11016" width="7.44140625" style="125" customWidth="1"/>
    <col min="11017" max="11017" width="9.44140625" style="125" customWidth="1"/>
    <col min="11018" max="11018" width="13.77734375" style="125" customWidth="1"/>
    <col min="11019" max="11019" width="7.44140625" style="125" customWidth="1"/>
    <col min="11020" max="11020" width="9.6640625" style="125" customWidth="1"/>
    <col min="11021" max="11021" width="9.88671875" style="125" customWidth="1"/>
    <col min="11022" max="11022" width="8.33203125" style="125" customWidth="1"/>
    <col min="11023" max="11023" width="7.21875" style="125" customWidth="1"/>
    <col min="11024" max="11024" width="8.44140625" style="125" customWidth="1"/>
    <col min="11025" max="11025" width="10.109375" style="125" customWidth="1"/>
    <col min="11026" max="11264" width="8.88671875" style="125"/>
    <col min="11265" max="11265" width="10.21875" style="125" customWidth="1"/>
    <col min="11266" max="11266" width="20.109375" style="125" customWidth="1"/>
    <col min="11267" max="11267" width="26" style="125" customWidth="1"/>
    <col min="11268" max="11268" width="14.109375" style="125" customWidth="1"/>
    <col min="11269" max="11269" width="10.109375" style="125" customWidth="1"/>
    <col min="11270" max="11270" width="12.88671875" style="125" customWidth="1"/>
    <col min="11271" max="11271" width="9.77734375" style="125" customWidth="1"/>
    <col min="11272" max="11272" width="7.44140625" style="125" customWidth="1"/>
    <col min="11273" max="11273" width="9.44140625" style="125" customWidth="1"/>
    <col min="11274" max="11274" width="13.77734375" style="125" customWidth="1"/>
    <col min="11275" max="11275" width="7.44140625" style="125" customWidth="1"/>
    <col min="11276" max="11276" width="9.6640625" style="125" customWidth="1"/>
    <col min="11277" max="11277" width="9.88671875" style="125" customWidth="1"/>
    <col min="11278" max="11278" width="8.33203125" style="125" customWidth="1"/>
    <col min="11279" max="11279" width="7.21875" style="125" customWidth="1"/>
    <col min="11280" max="11280" width="8.44140625" style="125" customWidth="1"/>
    <col min="11281" max="11281" width="10.109375" style="125" customWidth="1"/>
    <col min="11282" max="11520" width="8.88671875" style="125"/>
    <col min="11521" max="11521" width="10.21875" style="125" customWidth="1"/>
    <col min="11522" max="11522" width="20.109375" style="125" customWidth="1"/>
    <col min="11523" max="11523" width="26" style="125" customWidth="1"/>
    <col min="11524" max="11524" width="14.109375" style="125" customWidth="1"/>
    <col min="11525" max="11525" width="10.109375" style="125" customWidth="1"/>
    <col min="11526" max="11526" width="12.88671875" style="125" customWidth="1"/>
    <col min="11527" max="11527" width="9.77734375" style="125" customWidth="1"/>
    <col min="11528" max="11528" width="7.44140625" style="125" customWidth="1"/>
    <col min="11529" max="11529" width="9.44140625" style="125" customWidth="1"/>
    <col min="11530" max="11530" width="13.77734375" style="125" customWidth="1"/>
    <col min="11531" max="11531" width="7.44140625" style="125" customWidth="1"/>
    <col min="11532" max="11532" width="9.6640625" style="125" customWidth="1"/>
    <col min="11533" max="11533" width="9.88671875" style="125" customWidth="1"/>
    <col min="11534" max="11534" width="8.33203125" style="125" customWidth="1"/>
    <col min="11535" max="11535" width="7.21875" style="125" customWidth="1"/>
    <col min="11536" max="11536" width="8.44140625" style="125" customWidth="1"/>
    <col min="11537" max="11537" width="10.109375" style="125" customWidth="1"/>
    <col min="11538" max="11776" width="8.88671875" style="125"/>
    <col min="11777" max="11777" width="10.21875" style="125" customWidth="1"/>
    <col min="11778" max="11778" width="20.109375" style="125" customWidth="1"/>
    <col min="11779" max="11779" width="26" style="125" customWidth="1"/>
    <col min="11780" max="11780" width="14.109375" style="125" customWidth="1"/>
    <col min="11781" max="11781" width="10.109375" style="125" customWidth="1"/>
    <col min="11782" max="11782" width="12.88671875" style="125" customWidth="1"/>
    <col min="11783" max="11783" width="9.77734375" style="125" customWidth="1"/>
    <col min="11784" max="11784" width="7.44140625" style="125" customWidth="1"/>
    <col min="11785" max="11785" width="9.44140625" style="125" customWidth="1"/>
    <col min="11786" max="11786" width="13.77734375" style="125" customWidth="1"/>
    <col min="11787" max="11787" width="7.44140625" style="125" customWidth="1"/>
    <col min="11788" max="11788" width="9.6640625" style="125" customWidth="1"/>
    <col min="11789" max="11789" width="9.88671875" style="125" customWidth="1"/>
    <col min="11790" max="11790" width="8.33203125" style="125" customWidth="1"/>
    <col min="11791" max="11791" width="7.21875" style="125" customWidth="1"/>
    <col min="11792" max="11792" width="8.44140625" style="125" customWidth="1"/>
    <col min="11793" max="11793" width="10.109375" style="125" customWidth="1"/>
    <col min="11794" max="12032" width="8.88671875" style="125"/>
    <col min="12033" max="12033" width="10.21875" style="125" customWidth="1"/>
    <col min="12034" max="12034" width="20.109375" style="125" customWidth="1"/>
    <col min="12035" max="12035" width="26" style="125" customWidth="1"/>
    <col min="12036" max="12036" width="14.109375" style="125" customWidth="1"/>
    <col min="12037" max="12037" width="10.109375" style="125" customWidth="1"/>
    <col min="12038" max="12038" width="12.88671875" style="125" customWidth="1"/>
    <col min="12039" max="12039" width="9.77734375" style="125" customWidth="1"/>
    <col min="12040" max="12040" width="7.44140625" style="125" customWidth="1"/>
    <col min="12041" max="12041" width="9.44140625" style="125" customWidth="1"/>
    <col min="12042" max="12042" width="13.77734375" style="125" customWidth="1"/>
    <col min="12043" max="12043" width="7.44140625" style="125" customWidth="1"/>
    <col min="12044" max="12044" width="9.6640625" style="125" customWidth="1"/>
    <col min="12045" max="12045" width="9.88671875" style="125" customWidth="1"/>
    <col min="12046" max="12046" width="8.33203125" style="125" customWidth="1"/>
    <col min="12047" max="12047" width="7.21875" style="125" customWidth="1"/>
    <col min="12048" max="12048" width="8.44140625" style="125" customWidth="1"/>
    <col min="12049" max="12049" width="10.109375" style="125" customWidth="1"/>
    <col min="12050" max="12288" width="8.88671875" style="125"/>
    <col min="12289" max="12289" width="10.21875" style="125" customWidth="1"/>
    <col min="12290" max="12290" width="20.109375" style="125" customWidth="1"/>
    <col min="12291" max="12291" width="26" style="125" customWidth="1"/>
    <col min="12292" max="12292" width="14.109375" style="125" customWidth="1"/>
    <col min="12293" max="12293" width="10.109375" style="125" customWidth="1"/>
    <col min="12294" max="12294" width="12.88671875" style="125" customWidth="1"/>
    <col min="12295" max="12295" width="9.77734375" style="125" customWidth="1"/>
    <col min="12296" max="12296" width="7.44140625" style="125" customWidth="1"/>
    <col min="12297" max="12297" width="9.44140625" style="125" customWidth="1"/>
    <col min="12298" max="12298" width="13.77734375" style="125" customWidth="1"/>
    <col min="12299" max="12299" width="7.44140625" style="125" customWidth="1"/>
    <col min="12300" max="12300" width="9.6640625" style="125" customWidth="1"/>
    <col min="12301" max="12301" width="9.88671875" style="125" customWidth="1"/>
    <col min="12302" max="12302" width="8.33203125" style="125" customWidth="1"/>
    <col min="12303" max="12303" width="7.21875" style="125" customWidth="1"/>
    <col min="12304" max="12304" width="8.44140625" style="125" customWidth="1"/>
    <col min="12305" max="12305" width="10.109375" style="125" customWidth="1"/>
    <col min="12306" max="12544" width="8.88671875" style="125"/>
    <col min="12545" max="12545" width="10.21875" style="125" customWidth="1"/>
    <col min="12546" max="12546" width="20.109375" style="125" customWidth="1"/>
    <col min="12547" max="12547" width="26" style="125" customWidth="1"/>
    <col min="12548" max="12548" width="14.109375" style="125" customWidth="1"/>
    <col min="12549" max="12549" width="10.109375" style="125" customWidth="1"/>
    <col min="12550" max="12550" width="12.88671875" style="125" customWidth="1"/>
    <col min="12551" max="12551" width="9.77734375" style="125" customWidth="1"/>
    <col min="12552" max="12552" width="7.44140625" style="125" customWidth="1"/>
    <col min="12553" max="12553" width="9.44140625" style="125" customWidth="1"/>
    <col min="12554" max="12554" width="13.77734375" style="125" customWidth="1"/>
    <col min="12555" max="12555" width="7.44140625" style="125" customWidth="1"/>
    <col min="12556" max="12556" width="9.6640625" style="125" customWidth="1"/>
    <col min="12557" max="12557" width="9.88671875" style="125" customWidth="1"/>
    <col min="12558" max="12558" width="8.33203125" style="125" customWidth="1"/>
    <col min="12559" max="12559" width="7.21875" style="125" customWidth="1"/>
    <col min="12560" max="12560" width="8.44140625" style="125" customWidth="1"/>
    <col min="12561" max="12561" width="10.109375" style="125" customWidth="1"/>
    <col min="12562" max="12800" width="8.88671875" style="125"/>
    <col min="12801" max="12801" width="10.21875" style="125" customWidth="1"/>
    <col min="12802" max="12802" width="20.109375" style="125" customWidth="1"/>
    <col min="12803" max="12803" width="26" style="125" customWidth="1"/>
    <col min="12804" max="12804" width="14.109375" style="125" customWidth="1"/>
    <col min="12805" max="12805" width="10.109375" style="125" customWidth="1"/>
    <col min="12806" max="12806" width="12.88671875" style="125" customWidth="1"/>
    <col min="12807" max="12807" width="9.77734375" style="125" customWidth="1"/>
    <col min="12808" max="12808" width="7.44140625" style="125" customWidth="1"/>
    <col min="12809" max="12809" width="9.44140625" style="125" customWidth="1"/>
    <col min="12810" max="12810" width="13.77734375" style="125" customWidth="1"/>
    <col min="12811" max="12811" width="7.44140625" style="125" customWidth="1"/>
    <col min="12812" max="12812" width="9.6640625" style="125" customWidth="1"/>
    <col min="12813" max="12813" width="9.88671875" style="125" customWidth="1"/>
    <col min="12814" max="12814" width="8.33203125" style="125" customWidth="1"/>
    <col min="12815" max="12815" width="7.21875" style="125" customWidth="1"/>
    <col min="12816" max="12816" width="8.44140625" style="125" customWidth="1"/>
    <col min="12817" max="12817" width="10.109375" style="125" customWidth="1"/>
    <col min="12818" max="13056" width="8.88671875" style="125"/>
    <col min="13057" max="13057" width="10.21875" style="125" customWidth="1"/>
    <col min="13058" max="13058" width="20.109375" style="125" customWidth="1"/>
    <col min="13059" max="13059" width="26" style="125" customWidth="1"/>
    <col min="13060" max="13060" width="14.109375" style="125" customWidth="1"/>
    <col min="13061" max="13061" width="10.109375" style="125" customWidth="1"/>
    <col min="13062" max="13062" width="12.88671875" style="125" customWidth="1"/>
    <col min="13063" max="13063" width="9.77734375" style="125" customWidth="1"/>
    <col min="13064" max="13064" width="7.44140625" style="125" customWidth="1"/>
    <col min="13065" max="13065" width="9.44140625" style="125" customWidth="1"/>
    <col min="13066" max="13066" width="13.77734375" style="125" customWidth="1"/>
    <col min="13067" max="13067" width="7.44140625" style="125" customWidth="1"/>
    <col min="13068" max="13068" width="9.6640625" style="125" customWidth="1"/>
    <col min="13069" max="13069" width="9.88671875" style="125" customWidth="1"/>
    <col min="13070" max="13070" width="8.33203125" style="125" customWidth="1"/>
    <col min="13071" max="13071" width="7.21875" style="125" customWidth="1"/>
    <col min="13072" max="13072" width="8.44140625" style="125" customWidth="1"/>
    <col min="13073" max="13073" width="10.109375" style="125" customWidth="1"/>
    <col min="13074" max="13312" width="8.88671875" style="125"/>
    <col min="13313" max="13313" width="10.21875" style="125" customWidth="1"/>
    <col min="13314" max="13314" width="20.109375" style="125" customWidth="1"/>
    <col min="13315" max="13315" width="26" style="125" customWidth="1"/>
    <col min="13316" max="13316" width="14.109375" style="125" customWidth="1"/>
    <col min="13317" max="13317" width="10.109375" style="125" customWidth="1"/>
    <col min="13318" max="13318" width="12.88671875" style="125" customWidth="1"/>
    <col min="13319" max="13319" width="9.77734375" style="125" customWidth="1"/>
    <col min="13320" max="13320" width="7.44140625" style="125" customWidth="1"/>
    <col min="13321" max="13321" width="9.44140625" style="125" customWidth="1"/>
    <col min="13322" max="13322" width="13.77734375" style="125" customWidth="1"/>
    <col min="13323" max="13323" width="7.44140625" style="125" customWidth="1"/>
    <col min="13324" max="13324" width="9.6640625" style="125" customWidth="1"/>
    <col min="13325" max="13325" width="9.88671875" style="125" customWidth="1"/>
    <col min="13326" max="13326" width="8.33203125" style="125" customWidth="1"/>
    <col min="13327" max="13327" width="7.21875" style="125" customWidth="1"/>
    <col min="13328" max="13328" width="8.44140625" style="125" customWidth="1"/>
    <col min="13329" max="13329" width="10.109375" style="125" customWidth="1"/>
    <col min="13330" max="13568" width="8.88671875" style="125"/>
    <col min="13569" max="13569" width="10.21875" style="125" customWidth="1"/>
    <col min="13570" max="13570" width="20.109375" style="125" customWidth="1"/>
    <col min="13571" max="13571" width="26" style="125" customWidth="1"/>
    <col min="13572" max="13572" width="14.109375" style="125" customWidth="1"/>
    <col min="13573" max="13573" width="10.109375" style="125" customWidth="1"/>
    <col min="13574" max="13574" width="12.88671875" style="125" customWidth="1"/>
    <col min="13575" max="13575" width="9.77734375" style="125" customWidth="1"/>
    <col min="13576" max="13576" width="7.44140625" style="125" customWidth="1"/>
    <col min="13577" max="13577" width="9.44140625" style="125" customWidth="1"/>
    <col min="13578" max="13578" width="13.77734375" style="125" customWidth="1"/>
    <col min="13579" max="13579" width="7.44140625" style="125" customWidth="1"/>
    <col min="13580" max="13580" width="9.6640625" style="125" customWidth="1"/>
    <col min="13581" max="13581" width="9.88671875" style="125" customWidth="1"/>
    <col min="13582" max="13582" width="8.33203125" style="125" customWidth="1"/>
    <col min="13583" max="13583" width="7.21875" style="125" customWidth="1"/>
    <col min="13584" max="13584" width="8.44140625" style="125" customWidth="1"/>
    <col min="13585" max="13585" width="10.109375" style="125" customWidth="1"/>
    <col min="13586" max="13824" width="8.88671875" style="125"/>
    <col min="13825" max="13825" width="10.21875" style="125" customWidth="1"/>
    <col min="13826" max="13826" width="20.109375" style="125" customWidth="1"/>
    <col min="13827" max="13827" width="26" style="125" customWidth="1"/>
    <col min="13828" max="13828" width="14.109375" style="125" customWidth="1"/>
    <col min="13829" max="13829" width="10.109375" style="125" customWidth="1"/>
    <col min="13830" max="13830" width="12.88671875" style="125" customWidth="1"/>
    <col min="13831" max="13831" width="9.77734375" style="125" customWidth="1"/>
    <col min="13832" max="13832" width="7.44140625" style="125" customWidth="1"/>
    <col min="13833" max="13833" width="9.44140625" style="125" customWidth="1"/>
    <col min="13834" max="13834" width="13.77734375" style="125" customWidth="1"/>
    <col min="13835" max="13835" width="7.44140625" style="125" customWidth="1"/>
    <col min="13836" max="13836" width="9.6640625" style="125" customWidth="1"/>
    <col min="13837" max="13837" width="9.88671875" style="125" customWidth="1"/>
    <col min="13838" max="13838" width="8.33203125" style="125" customWidth="1"/>
    <col min="13839" max="13839" width="7.21875" style="125" customWidth="1"/>
    <col min="13840" max="13840" width="8.44140625" style="125" customWidth="1"/>
    <col min="13841" max="13841" width="10.109375" style="125" customWidth="1"/>
    <col min="13842" max="14080" width="8.88671875" style="125"/>
    <col min="14081" max="14081" width="10.21875" style="125" customWidth="1"/>
    <col min="14082" max="14082" width="20.109375" style="125" customWidth="1"/>
    <col min="14083" max="14083" width="26" style="125" customWidth="1"/>
    <col min="14084" max="14084" width="14.109375" style="125" customWidth="1"/>
    <col min="14085" max="14085" width="10.109375" style="125" customWidth="1"/>
    <col min="14086" max="14086" width="12.88671875" style="125" customWidth="1"/>
    <col min="14087" max="14087" width="9.77734375" style="125" customWidth="1"/>
    <col min="14088" max="14088" width="7.44140625" style="125" customWidth="1"/>
    <col min="14089" max="14089" width="9.44140625" style="125" customWidth="1"/>
    <col min="14090" max="14090" width="13.77734375" style="125" customWidth="1"/>
    <col min="14091" max="14091" width="7.44140625" style="125" customWidth="1"/>
    <col min="14092" max="14092" width="9.6640625" style="125" customWidth="1"/>
    <col min="14093" max="14093" width="9.88671875" style="125" customWidth="1"/>
    <col min="14094" max="14094" width="8.33203125" style="125" customWidth="1"/>
    <col min="14095" max="14095" width="7.21875" style="125" customWidth="1"/>
    <col min="14096" max="14096" width="8.44140625" style="125" customWidth="1"/>
    <col min="14097" max="14097" width="10.109375" style="125" customWidth="1"/>
    <col min="14098" max="14336" width="8.88671875" style="125"/>
    <col min="14337" max="14337" width="10.21875" style="125" customWidth="1"/>
    <col min="14338" max="14338" width="20.109375" style="125" customWidth="1"/>
    <col min="14339" max="14339" width="26" style="125" customWidth="1"/>
    <col min="14340" max="14340" width="14.109375" style="125" customWidth="1"/>
    <col min="14341" max="14341" width="10.109375" style="125" customWidth="1"/>
    <col min="14342" max="14342" width="12.88671875" style="125" customWidth="1"/>
    <col min="14343" max="14343" width="9.77734375" style="125" customWidth="1"/>
    <col min="14344" max="14344" width="7.44140625" style="125" customWidth="1"/>
    <col min="14345" max="14345" width="9.44140625" style="125" customWidth="1"/>
    <col min="14346" max="14346" width="13.77734375" style="125" customWidth="1"/>
    <col min="14347" max="14347" width="7.44140625" style="125" customWidth="1"/>
    <col min="14348" max="14348" width="9.6640625" style="125" customWidth="1"/>
    <col min="14349" max="14349" width="9.88671875" style="125" customWidth="1"/>
    <col min="14350" max="14350" width="8.33203125" style="125" customWidth="1"/>
    <col min="14351" max="14351" width="7.21875" style="125" customWidth="1"/>
    <col min="14352" max="14352" width="8.44140625" style="125" customWidth="1"/>
    <col min="14353" max="14353" width="10.109375" style="125" customWidth="1"/>
    <col min="14354" max="14592" width="8.88671875" style="125"/>
    <col min="14593" max="14593" width="10.21875" style="125" customWidth="1"/>
    <col min="14594" max="14594" width="20.109375" style="125" customWidth="1"/>
    <col min="14595" max="14595" width="26" style="125" customWidth="1"/>
    <col min="14596" max="14596" width="14.109375" style="125" customWidth="1"/>
    <col min="14597" max="14597" width="10.109375" style="125" customWidth="1"/>
    <col min="14598" max="14598" width="12.88671875" style="125" customWidth="1"/>
    <col min="14599" max="14599" width="9.77734375" style="125" customWidth="1"/>
    <col min="14600" max="14600" width="7.44140625" style="125" customWidth="1"/>
    <col min="14601" max="14601" width="9.44140625" style="125" customWidth="1"/>
    <col min="14602" max="14602" width="13.77734375" style="125" customWidth="1"/>
    <col min="14603" max="14603" width="7.44140625" style="125" customWidth="1"/>
    <col min="14604" max="14604" width="9.6640625" style="125" customWidth="1"/>
    <col min="14605" max="14605" width="9.88671875" style="125" customWidth="1"/>
    <col min="14606" max="14606" width="8.33203125" style="125" customWidth="1"/>
    <col min="14607" max="14607" width="7.21875" style="125" customWidth="1"/>
    <col min="14608" max="14608" width="8.44140625" style="125" customWidth="1"/>
    <col min="14609" max="14609" width="10.109375" style="125" customWidth="1"/>
    <col min="14610" max="14848" width="8.88671875" style="125"/>
    <col min="14849" max="14849" width="10.21875" style="125" customWidth="1"/>
    <col min="14850" max="14850" width="20.109375" style="125" customWidth="1"/>
    <col min="14851" max="14851" width="26" style="125" customWidth="1"/>
    <col min="14852" max="14852" width="14.109375" style="125" customWidth="1"/>
    <col min="14853" max="14853" width="10.109375" style="125" customWidth="1"/>
    <col min="14854" max="14854" width="12.88671875" style="125" customWidth="1"/>
    <col min="14855" max="14855" width="9.77734375" style="125" customWidth="1"/>
    <col min="14856" max="14856" width="7.44140625" style="125" customWidth="1"/>
    <col min="14857" max="14857" width="9.44140625" style="125" customWidth="1"/>
    <col min="14858" max="14858" width="13.77734375" style="125" customWidth="1"/>
    <col min="14859" max="14859" width="7.44140625" style="125" customWidth="1"/>
    <col min="14860" max="14860" width="9.6640625" style="125" customWidth="1"/>
    <col min="14861" max="14861" width="9.88671875" style="125" customWidth="1"/>
    <col min="14862" max="14862" width="8.33203125" style="125" customWidth="1"/>
    <col min="14863" max="14863" width="7.21875" style="125" customWidth="1"/>
    <col min="14864" max="14864" width="8.44140625" style="125" customWidth="1"/>
    <col min="14865" max="14865" width="10.109375" style="125" customWidth="1"/>
    <col min="14866" max="15104" width="8.88671875" style="125"/>
    <col min="15105" max="15105" width="10.21875" style="125" customWidth="1"/>
    <col min="15106" max="15106" width="20.109375" style="125" customWidth="1"/>
    <col min="15107" max="15107" width="26" style="125" customWidth="1"/>
    <col min="15108" max="15108" width="14.109375" style="125" customWidth="1"/>
    <col min="15109" max="15109" width="10.109375" style="125" customWidth="1"/>
    <col min="15110" max="15110" width="12.88671875" style="125" customWidth="1"/>
    <col min="15111" max="15111" width="9.77734375" style="125" customWidth="1"/>
    <col min="15112" max="15112" width="7.44140625" style="125" customWidth="1"/>
    <col min="15113" max="15113" width="9.44140625" style="125" customWidth="1"/>
    <col min="15114" max="15114" width="13.77734375" style="125" customWidth="1"/>
    <col min="15115" max="15115" width="7.44140625" style="125" customWidth="1"/>
    <col min="15116" max="15116" width="9.6640625" style="125" customWidth="1"/>
    <col min="15117" max="15117" width="9.88671875" style="125" customWidth="1"/>
    <col min="15118" max="15118" width="8.33203125" style="125" customWidth="1"/>
    <col min="15119" max="15119" width="7.21875" style="125" customWidth="1"/>
    <col min="15120" max="15120" width="8.44140625" style="125" customWidth="1"/>
    <col min="15121" max="15121" width="10.109375" style="125" customWidth="1"/>
    <col min="15122" max="15360" width="8.88671875" style="125"/>
    <col min="15361" max="15361" width="10.21875" style="125" customWidth="1"/>
    <col min="15362" max="15362" width="20.109375" style="125" customWidth="1"/>
    <col min="15363" max="15363" width="26" style="125" customWidth="1"/>
    <col min="15364" max="15364" width="14.109375" style="125" customWidth="1"/>
    <col min="15365" max="15365" width="10.109375" style="125" customWidth="1"/>
    <col min="15366" max="15366" width="12.88671875" style="125" customWidth="1"/>
    <col min="15367" max="15367" width="9.77734375" style="125" customWidth="1"/>
    <col min="15368" max="15368" width="7.44140625" style="125" customWidth="1"/>
    <col min="15369" max="15369" width="9.44140625" style="125" customWidth="1"/>
    <col min="15370" max="15370" width="13.77734375" style="125" customWidth="1"/>
    <col min="15371" max="15371" width="7.44140625" style="125" customWidth="1"/>
    <col min="15372" max="15372" width="9.6640625" style="125" customWidth="1"/>
    <col min="15373" max="15373" width="9.88671875" style="125" customWidth="1"/>
    <col min="15374" max="15374" width="8.33203125" style="125" customWidth="1"/>
    <col min="15375" max="15375" width="7.21875" style="125" customWidth="1"/>
    <col min="15376" max="15376" width="8.44140625" style="125" customWidth="1"/>
    <col min="15377" max="15377" width="10.109375" style="125" customWidth="1"/>
    <col min="15378" max="15616" width="8.88671875" style="125"/>
    <col min="15617" max="15617" width="10.21875" style="125" customWidth="1"/>
    <col min="15618" max="15618" width="20.109375" style="125" customWidth="1"/>
    <col min="15619" max="15619" width="26" style="125" customWidth="1"/>
    <col min="15620" max="15620" width="14.109375" style="125" customWidth="1"/>
    <col min="15621" max="15621" width="10.109375" style="125" customWidth="1"/>
    <col min="15622" max="15622" width="12.88671875" style="125" customWidth="1"/>
    <col min="15623" max="15623" width="9.77734375" style="125" customWidth="1"/>
    <col min="15624" max="15624" width="7.44140625" style="125" customWidth="1"/>
    <col min="15625" max="15625" width="9.44140625" style="125" customWidth="1"/>
    <col min="15626" max="15626" width="13.77734375" style="125" customWidth="1"/>
    <col min="15627" max="15627" width="7.44140625" style="125" customWidth="1"/>
    <col min="15628" max="15628" width="9.6640625" style="125" customWidth="1"/>
    <col min="15629" max="15629" width="9.88671875" style="125" customWidth="1"/>
    <col min="15630" max="15630" width="8.33203125" style="125" customWidth="1"/>
    <col min="15631" max="15631" width="7.21875" style="125" customWidth="1"/>
    <col min="15632" max="15632" width="8.44140625" style="125" customWidth="1"/>
    <col min="15633" max="15633" width="10.109375" style="125" customWidth="1"/>
    <col min="15634" max="15872" width="8.88671875" style="125"/>
    <col min="15873" max="15873" width="10.21875" style="125" customWidth="1"/>
    <col min="15874" max="15874" width="20.109375" style="125" customWidth="1"/>
    <col min="15875" max="15875" width="26" style="125" customWidth="1"/>
    <col min="15876" max="15876" width="14.109375" style="125" customWidth="1"/>
    <col min="15877" max="15877" width="10.109375" style="125" customWidth="1"/>
    <col min="15878" max="15878" width="12.88671875" style="125" customWidth="1"/>
    <col min="15879" max="15879" width="9.77734375" style="125" customWidth="1"/>
    <col min="15880" max="15880" width="7.44140625" style="125" customWidth="1"/>
    <col min="15881" max="15881" width="9.44140625" style="125" customWidth="1"/>
    <col min="15882" max="15882" width="13.77734375" style="125" customWidth="1"/>
    <col min="15883" max="15883" width="7.44140625" style="125" customWidth="1"/>
    <col min="15884" max="15884" width="9.6640625" style="125" customWidth="1"/>
    <col min="15885" max="15885" width="9.88671875" style="125" customWidth="1"/>
    <col min="15886" max="15886" width="8.33203125" style="125" customWidth="1"/>
    <col min="15887" max="15887" width="7.21875" style="125" customWidth="1"/>
    <col min="15888" max="15888" width="8.44140625" style="125" customWidth="1"/>
    <col min="15889" max="15889" width="10.109375" style="125" customWidth="1"/>
    <col min="15890" max="16128" width="8.88671875" style="125"/>
    <col min="16129" max="16129" width="10.21875" style="125" customWidth="1"/>
    <col min="16130" max="16130" width="20.109375" style="125" customWidth="1"/>
    <col min="16131" max="16131" width="26" style="125" customWidth="1"/>
    <col min="16132" max="16132" width="14.109375" style="125" customWidth="1"/>
    <col min="16133" max="16133" width="10.109375" style="125" customWidth="1"/>
    <col min="16134" max="16134" width="12.88671875" style="125" customWidth="1"/>
    <col min="16135" max="16135" width="9.77734375" style="125" customWidth="1"/>
    <col min="16136" max="16136" width="7.44140625" style="125" customWidth="1"/>
    <col min="16137" max="16137" width="9.44140625" style="125" customWidth="1"/>
    <col min="16138" max="16138" width="13.77734375" style="125" customWidth="1"/>
    <col min="16139" max="16139" width="7.44140625" style="125" customWidth="1"/>
    <col min="16140" max="16140" width="9.6640625" style="125" customWidth="1"/>
    <col min="16141" max="16141" width="9.88671875" style="125" customWidth="1"/>
    <col min="16142" max="16142" width="8.33203125" style="125" customWidth="1"/>
    <col min="16143" max="16143" width="7.21875" style="125" customWidth="1"/>
    <col min="16144" max="16144" width="8.44140625" style="125" customWidth="1"/>
    <col min="16145" max="16145" width="10.109375" style="125" customWidth="1"/>
    <col min="16146" max="16384" width="8.88671875" style="125"/>
  </cols>
  <sheetData>
    <row r="1" spans="1:18" ht="24" customHeight="1" x14ac:dyDescent="0.3">
      <c r="A1" s="124" t="s">
        <v>156</v>
      </c>
    </row>
    <row r="2" spans="1:18" ht="24" customHeight="1" x14ac:dyDescent="0.3">
      <c r="A2" s="126" t="s">
        <v>157</v>
      </c>
      <c r="C2" s="410" t="e">
        <f>#REF!</f>
        <v>#REF!</v>
      </c>
      <c r="D2" s="410"/>
      <c r="E2" s="410"/>
      <c r="F2" s="410"/>
      <c r="G2" s="410"/>
    </row>
    <row r="3" spans="1:18" ht="24" customHeight="1" x14ac:dyDescent="0.3">
      <c r="A3" s="126" t="s">
        <v>158</v>
      </c>
      <c r="C3" s="878" t="s">
        <v>676</v>
      </c>
    </row>
    <row r="4" spans="1:18" ht="24" customHeight="1" x14ac:dyDescent="0.3">
      <c r="A4" s="126" t="s">
        <v>159</v>
      </c>
      <c r="C4" s="878" t="s">
        <v>677</v>
      </c>
    </row>
    <row r="5" spans="1:18" ht="24" customHeight="1" x14ac:dyDescent="0.3">
      <c r="A5" s="126" t="s">
        <v>160</v>
      </c>
      <c r="C5" s="878" t="s">
        <v>675</v>
      </c>
    </row>
    <row r="6" spans="1:18" ht="9.75" customHeight="1" x14ac:dyDescent="0.3">
      <c r="A6" s="128"/>
    </row>
    <row r="7" spans="1:18" ht="17.25" customHeight="1" x14ac:dyDescent="0.3">
      <c r="A7" s="1000" t="s">
        <v>239</v>
      </c>
      <c r="B7" s="1001"/>
      <c r="C7" s="1001"/>
    </row>
    <row r="8" spans="1:18" ht="23.25" customHeight="1" x14ac:dyDescent="0.3">
      <c r="A8" s="129" t="s">
        <v>200</v>
      </c>
      <c r="D8" s="435" t="s">
        <v>240</v>
      </c>
      <c r="E8" s="436" t="e">
        <f>#REF!</f>
        <v>#REF!</v>
      </c>
      <c r="F8" s="435" t="s">
        <v>326</v>
      </c>
      <c r="G8" s="437" t="e">
        <f>#REF!</f>
        <v>#REF!</v>
      </c>
      <c r="I8" s="437"/>
      <c r="J8" s="125" t="s">
        <v>241</v>
      </c>
    </row>
    <row r="9" spans="1:18" s="107" customFormat="1" ht="23.25" customHeight="1" x14ac:dyDescent="0.2">
      <c r="A9" s="1002" t="s">
        <v>138</v>
      </c>
      <c r="B9" s="1002" t="s">
        <v>169</v>
      </c>
      <c r="C9" s="1002" t="s">
        <v>170</v>
      </c>
      <c r="D9" s="1003" t="s">
        <v>171</v>
      </c>
      <c r="E9" s="1004"/>
      <c r="F9" s="1005"/>
      <c r="G9" s="1005"/>
      <c r="H9" s="1006"/>
      <c r="I9" s="979" t="s">
        <v>172</v>
      </c>
      <c r="J9" s="980"/>
      <c r="K9" s="980"/>
      <c r="L9" s="981"/>
      <c r="M9" s="975" t="s">
        <v>201</v>
      </c>
      <c r="N9" s="976"/>
      <c r="O9" s="975" t="s">
        <v>173</v>
      </c>
      <c r="P9" s="976"/>
      <c r="Q9" s="970" t="s">
        <v>242</v>
      </c>
    </row>
    <row r="10" spans="1:18" s="133" customFormat="1" ht="114" customHeight="1" x14ac:dyDescent="0.2">
      <c r="A10" s="1002"/>
      <c r="B10" s="1002"/>
      <c r="C10" s="1002"/>
      <c r="D10" s="975" t="s">
        <v>174</v>
      </c>
      <c r="E10" s="976"/>
      <c r="F10" s="130" t="s">
        <v>175</v>
      </c>
      <c r="G10" s="130" t="s">
        <v>176</v>
      </c>
      <c r="H10" s="131" t="s">
        <v>177</v>
      </c>
      <c r="I10" s="132" t="s">
        <v>174</v>
      </c>
      <c r="J10" s="132" t="s">
        <v>178</v>
      </c>
      <c r="K10" s="130" t="s">
        <v>176</v>
      </c>
      <c r="L10" s="131" t="s">
        <v>322</v>
      </c>
      <c r="M10" s="977"/>
      <c r="N10" s="978"/>
      <c r="O10" s="977"/>
      <c r="P10" s="978"/>
      <c r="Q10" s="971"/>
    </row>
    <row r="11" spans="1:18" s="133" customFormat="1" ht="64.5" customHeight="1" x14ac:dyDescent="0.2">
      <c r="A11" s="1002"/>
      <c r="B11" s="1002"/>
      <c r="C11" s="1002"/>
      <c r="D11" s="130" t="s">
        <v>179</v>
      </c>
      <c r="E11" s="130" t="s">
        <v>180</v>
      </c>
      <c r="F11" s="130" t="s">
        <v>180</v>
      </c>
      <c r="G11" s="134"/>
      <c r="H11" s="135">
        <v>0</v>
      </c>
      <c r="I11" s="132" t="s">
        <v>181</v>
      </c>
      <c r="J11" s="132" t="s">
        <v>181</v>
      </c>
      <c r="K11" s="136">
        <v>0</v>
      </c>
      <c r="L11" s="135">
        <f>-10%*0</f>
        <v>0</v>
      </c>
      <c r="M11" s="130" t="s">
        <v>202</v>
      </c>
      <c r="N11" s="130" t="s">
        <v>203</v>
      </c>
      <c r="O11" s="130" t="s">
        <v>204</v>
      </c>
      <c r="P11" s="130" t="s">
        <v>203</v>
      </c>
      <c r="Q11" s="972"/>
    </row>
    <row r="12" spans="1:18" ht="36" customHeight="1" x14ac:dyDescent="0.3">
      <c r="A12" s="137" t="s">
        <v>243</v>
      </c>
      <c r="B12" s="138"/>
      <c r="C12" s="138"/>
      <c r="D12" s="138"/>
      <c r="E12" s="138"/>
      <c r="F12" s="138"/>
      <c r="G12" s="138"/>
      <c r="H12" s="138"/>
      <c r="I12" s="138"/>
      <c r="J12" s="138"/>
      <c r="K12" s="138"/>
      <c r="L12" s="138"/>
      <c r="M12" s="138"/>
      <c r="N12" s="138"/>
      <c r="O12" s="138"/>
      <c r="P12" s="138"/>
      <c r="Q12" s="139"/>
    </row>
    <row r="13" spans="1:18" s="107" customFormat="1" ht="33.75" customHeight="1" x14ac:dyDescent="0.2">
      <c r="A13" s="140" t="s">
        <v>35</v>
      </c>
      <c r="B13" s="852" t="s">
        <v>710</v>
      </c>
      <c r="C13" s="853" t="s">
        <v>704</v>
      </c>
      <c r="D13" s="855"/>
      <c r="E13" s="856" t="e">
        <f>D13*E8/10^7</f>
        <v>#REF!</v>
      </c>
      <c r="F13" s="857" t="e">
        <f>E13</f>
        <v>#REF!</v>
      </c>
      <c r="G13" s="858"/>
      <c r="H13" s="859" t="e">
        <f>F13*$H$11</f>
        <v>#REF!</v>
      </c>
      <c r="I13" s="860" t="e">
        <f>#REF!/100</f>
        <v>#REF!</v>
      </c>
      <c r="J13" s="860" t="e">
        <f>#REF!/100</f>
        <v>#REF!</v>
      </c>
      <c r="K13" s="858" t="e">
        <f>J13*$K$11</f>
        <v>#REF!</v>
      </c>
      <c r="L13" s="859" t="e">
        <f>-J13*$L$11*0</f>
        <v>#REF!</v>
      </c>
      <c r="M13" s="861"/>
      <c r="N13" s="862"/>
      <c r="O13" s="859" t="e">
        <f>F13+G13+H13+M13</f>
        <v>#REF!</v>
      </c>
      <c r="P13" s="859" t="e">
        <f>J13+K13+L13+N13</f>
        <v>#REF!</v>
      </c>
      <c r="Q13" s="859" t="e">
        <f t="shared" ref="Q13" si="0">O13+P13</f>
        <v>#REF!</v>
      </c>
    </row>
    <row r="14" spans="1:18" s="107" customFormat="1" ht="35.25" customHeight="1" x14ac:dyDescent="0.2">
      <c r="A14" s="406" t="s">
        <v>17</v>
      </c>
      <c r="B14" s="852" t="s">
        <v>709</v>
      </c>
      <c r="C14" s="853" t="s">
        <v>705</v>
      </c>
      <c r="D14" s="863"/>
      <c r="E14" s="856"/>
      <c r="F14" s="857"/>
      <c r="G14" s="858"/>
      <c r="H14" s="859"/>
      <c r="I14" s="860" t="e">
        <f>#REF!/(100*0.9)</f>
        <v>#REF!</v>
      </c>
      <c r="J14" s="860" t="e">
        <f>I14*0.9</f>
        <v>#REF!</v>
      </c>
      <c r="K14" s="858" t="e">
        <f t="shared" ref="K14:K15" si="1">J14*$K$11</f>
        <v>#REF!</v>
      </c>
      <c r="L14" s="859" t="e">
        <f t="shared" ref="L14:L15" si="2">-J14*$L$11*0</f>
        <v>#REF!</v>
      </c>
      <c r="M14" s="861"/>
      <c r="N14" s="862"/>
      <c r="O14" s="859">
        <f t="shared" ref="O14" si="3">F14+G14+H14+M14</f>
        <v>0</v>
      </c>
      <c r="P14" s="859" t="e">
        <f t="shared" ref="P14" si="4">J14+K14+L14+N14</f>
        <v>#REF!</v>
      </c>
      <c r="Q14" s="859" t="e">
        <f>P14</f>
        <v>#REF!</v>
      </c>
    </row>
    <row r="15" spans="1:18" s="107" customFormat="1" ht="46.5" customHeight="1" x14ac:dyDescent="0.2">
      <c r="A15" s="406" t="s">
        <v>18</v>
      </c>
      <c r="B15" s="852" t="s">
        <v>708</v>
      </c>
      <c r="C15" s="853" t="s">
        <v>528</v>
      </c>
      <c r="D15" s="864"/>
      <c r="E15" s="857"/>
      <c r="F15" s="857"/>
      <c r="G15" s="858"/>
      <c r="H15" s="859"/>
      <c r="I15" s="860" t="e">
        <f>#REF!/10^7</f>
        <v>#REF!</v>
      </c>
      <c r="J15" s="860" t="e">
        <f>#REF!/100</f>
        <v>#REF!</v>
      </c>
      <c r="K15" s="858" t="e">
        <f t="shared" si="1"/>
        <v>#REF!</v>
      </c>
      <c r="L15" s="859" t="e">
        <f t="shared" si="2"/>
        <v>#REF!</v>
      </c>
      <c r="M15" s="865"/>
      <c r="N15" s="862"/>
      <c r="O15" s="859">
        <f>F15+G15+H15+M15</f>
        <v>0</v>
      </c>
      <c r="P15" s="859" t="e">
        <f>J15+K15+L15+N15</f>
        <v>#REF!</v>
      </c>
      <c r="Q15" s="859" t="e">
        <f>P15</f>
        <v>#REF!</v>
      </c>
      <c r="R15" s="849" t="s">
        <v>707</v>
      </c>
    </row>
    <row r="16" spans="1:18" s="107" customFormat="1" ht="32.25" customHeight="1" x14ac:dyDescent="0.2">
      <c r="A16" s="406" t="s">
        <v>19</v>
      </c>
      <c r="B16" s="851" t="s">
        <v>706</v>
      </c>
      <c r="C16" s="853" t="s">
        <v>528</v>
      </c>
      <c r="D16" s="866" t="s">
        <v>711</v>
      </c>
      <c r="E16" s="857" t="e">
        <f>12000000*E8/10^7</f>
        <v>#REF!</v>
      </c>
      <c r="F16" s="857" t="e">
        <f>E16*0.9</f>
        <v>#REF!</v>
      </c>
      <c r="G16" s="858"/>
      <c r="H16" s="859"/>
      <c r="I16" s="860"/>
      <c r="J16" s="860"/>
      <c r="K16" s="858"/>
      <c r="L16" s="859"/>
      <c r="M16" s="861"/>
      <c r="N16" s="862"/>
      <c r="O16" s="859"/>
      <c r="P16" s="859" t="e">
        <f>F16</f>
        <v>#REF!</v>
      </c>
      <c r="Q16" s="867" t="s">
        <v>519</v>
      </c>
    </row>
    <row r="17" spans="1:19" s="107" customFormat="1" ht="33" customHeight="1" x14ac:dyDescent="0.2">
      <c r="A17" s="106" t="s">
        <v>20</v>
      </c>
      <c r="B17" s="851" t="s">
        <v>720</v>
      </c>
      <c r="C17" s="854" t="s">
        <v>317</v>
      </c>
      <c r="D17" s="868"/>
      <c r="E17" s="869"/>
      <c r="F17" s="859"/>
      <c r="G17" s="858"/>
      <c r="H17" s="858"/>
      <c r="I17" s="870"/>
      <c r="J17" s="870"/>
      <c r="K17" s="858"/>
      <c r="L17" s="858"/>
      <c r="M17" s="862"/>
      <c r="N17" s="871" t="e">
        <f>(#REF!/100+#REF!/100-Q13-Q14-Q15)</f>
        <v>#REF!</v>
      </c>
      <c r="O17" s="859"/>
      <c r="P17" s="859" t="e">
        <f t="shared" ref="P17" si="5">J17+K17+L17+N17</f>
        <v>#REF!</v>
      </c>
      <c r="Q17" s="859" t="e">
        <f t="shared" ref="Q17" si="6">O17+P17</f>
        <v>#REF!</v>
      </c>
      <c r="R17" s="107" t="s">
        <v>0</v>
      </c>
      <c r="S17" s="107" t="s">
        <v>0</v>
      </c>
    </row>
    <row r="18" spans="1:19" s="107" customFormat="1" ht="20.25" customHeight="1" x14ac:dyDescent="0.2">
      <c r="A18" s="149"/>
      <c r="B18" s="664" t="s">
        <v>205</v>
      </c>
      <c r="C18" s="665"/>
      <c r="D18" s="872"/>
      <c r="E18" s="858"/>
      <c r="F18" s="859" t="e">
        <f>SUM(F13:F13)*0</f>
        <v>#REF!</v>
      </c>
      <c r="G18" s="873"/>
      <c r="H18" s="858"/>
      <c r="I18" s="858"/>
      <c r="J18" s="859" t="e">
        <f>SUM(J13:J13)*0</f>
        <v>#REF!</v>
      </c>
      <c r="K18" s="874"/>
      <c r="L18" s="858"/>
      <c r="M18" s="858"/>
      <c r="N18" s="858">
        <f>SUM(N13:N13)*0</f>
        <v>0</v>
      </c>
      <c r="O18" s="875" t="e">
        <f>SUM(O13:O17)*0</f>
        <v>#REF!</v>
      </c>
      <c r="P18" s="876" t="e">
        <f>SUM(P13+P14+P15+P17)</f>
        <v>#REF!</v>
      </c>
      <c r="Q18" s="875" t="e">
        <f>SUM(Q13:Q17)</f>
        <v>#REF!</v>
      </c>
      <c r="S18" s="145"/>
    </row>
    <row r="19" spans="1:19" customFormat="1" x14ac:dyDescent="0.2">
      <c r="A19" s="651" t="s">
        <v>516</v>
      </c>
      <c r="B19" s="652"/>
      <c r="C19" s="652"/>
      <c r="D19" s="652"/>
      <c r="E19" s="652"/>
      <c r="F19" s="652"/>
      <c r="G19" s="652"/>
      <c r="H19" s="652"/>
      <c r="I19" s="652"/>
      <c r="J19" s="652"/>
      <c r="K19" s="652"/>
      <c r="L19" s="652"/>
      <c r="M19" s="652"/>
      <c r="N19" s="652"/>
      <c r="O19" s="652"/>
      <c r="P19" s="652"/>
      <c r="Q19" s="653"/>
    </row>
    <row r="20" spans="1:19" customFormat="1" ht="65.25" customHeight="1" x14ac:dyDescent="0.2">
      <c r="A20" s="654" t="s">
        <v>503</v>
      </c>
      <c r="B20" s="655" t="s">
        <v>517</v>
      </c>
      <c r="C20" s="656" t="s">
        <v>518</v>
      </c>
      <c r="D20" s="657"/>
      <c r="E20" s="658">
        <v>0</v>
      </c>
      <c r="F20" s="659"/>
      <c r="G20" s="660"/>
      <c r="H20" s="660"/>
      <c r="I20" s="659"/>
      <c r="J20" s="661">
        <v>0</v>
      </c>
      <c r="K20" s="662"/>
      <c r="L20" s="660"/>
      <c r="M20" s="660"/>
      <c r="N20" s="661"/>
      <c r="O20" s="659">
        <v>0</v>
      </c>
      <c r="P20" s="659">
        <v>0</v>
      </c>
      <c r="Q20" s="663" t="s">
        <v>519</v>
      </c>
    </row>
    <row r="21" spans="1:19" customFormat="1" ht="64.5" customHeight="1" x14ac:dyDescent="0.2">
      <c r="A21" s="654" t="s">
        <v>504</v>
      </c>
      <c r="B21" s="655" t="s">
        <v>520</v>
      </c>
      <c r="C21" s="656" t="s">
        <v>521</v>
      </c>
      <c r="D21" s="657"/>
      <c r="E21" s="658"/>
      <c r="F21" s="659"/>
      <c r="G21" s="660"/>
      <c r="H21" s="660"/>
      <c r="I21" s="659"/>
      <c r="J21" s="661"/>
      <c r="K21" s="662"/>
      <c r="L21" s="660"/>
      <c r="M21" s="660"/>
      <c r="N21" s="661"/>
      <c r="O21" s="659"/>
      <c r="P21" s="659"/>
      <c r="Q21" s="663" t="s">
        <v>519</v>
      </c>
    </row>
    <row r="22" spans="1:19" s="107" customFormat="1" ht="20.25" customHeight="1" x14ac:dyDescent="0.2">
      <c r="A22" s="146"/>
      <c r="B22" s="644"/>
      <c r="C22" s="645"/>
      <c r="D22" s="147"/>
      <c r="E22" s="148"/>
      <c r="F22" s="646"/>
      <c r="G22" s="647"/>
      <c r="H22" s="148"/>
      <c r="I22" s="148"/>
      <c r="J22" s="646"/>
      <c r="K22" s="648"/>
      <c r="L22" s="148"/>
      <c r="M22" s="148"/>
      <c r="N22" s="148"/>
      <c r="O22" s="649"/>
      <c r="P22" s="650"/>
      <c r="Q22" s="649"/>
      <c r="S22" s="145"/>
    </row>
    <row r="23" spans="1:19" s="107" customFormat="1" ht="18.75" customHeight="1" x14ac:dyDescent="0.2">
      <c r="A23" s="154"/>
      <c r="B23" s="666"/>
      <c r="C23" s="157"/>
      <c r="D23" s="667"/>
      <c r="E23" s="168"/>
      <c r="F23" s="168"/>
      <c r="G23" s="168"/>
      <c r="H23" s="168"/>
      <c r="I23" s="168"/>
      <c r="J23" s="168"/>
      <c r="K23" s="168"/>
      <c r="L23" s="168"/>
      <c r="M23" s="168"/>
      <c r="N23" s="168"/>
      <c r="O23" s="168"/>
      <c r="P23" s="168"/>
      <c r="Q23" s="168"/>
      <c r="R23" s="432" t="e">
        <f>(Q13+Q14+Q15)/Q18</f>
        <v>#REF!</v>
      </c>
      <c r="S23" s="432" t="e">
        <f>Q17/Q18</f>
        <v>#REF!</v>
      </c>
    </row>
    <row r="24" spans="1:19" ht="64.5" hidden="1" customHeight="1" x14ac:dyDescent="0.3">
      <c r="A24" s="1009" t="s">
        <v>182</v>
      </c>
      <c r="B24" s="1010"/>
      <c r="C24" s="1010"/>
      <c r="D24" s="1010"/>
      <c r="E24" s="1010"/>
      <c r="F24" s="1010"/>
      <c r="G24" s="1010"/>
      <c r="H24" s="1010"/>
      <c r="I24" s="1010"/>
      <c r="J24" s="1010"/>
      <c r="K24" s="1010"/>
      <c r="L24" s="1010"/>
      <c r="M24" s="1010"/>
      <c r="N24" s="1010"/>
      <c r="O24" s="1010"/>
      <c r="P24" s="1010"/>
      <c r="Q24" s="1011"/>
    </row>
    <row r="25" spans="1:19" s="107" customFormat="1" ht="43.5" hidden="1" customHeight="1" x14ac:dyDescent="0.2">
      <c r="A25" s="149"/>
      <c r="B25" s="150" t="s">
        <v>206</v>
      </c>
      <c r="C25" s="151"/>
      <c r="D25" s="141"/>
      <c r="E25" s="142" t="e">
        <f>D25*$E$8/10^7</f>
        <v>#REF!</v>
      </c>
      <c r="F25" s="144"/>
      <c r="G25" s="143"/>
      <c r="H25" s="143"/>
      <c r="I25" s="144"/>
      <c r="J25" s="842">
        <f>I25</f>
        <v>0</v>
      </c>
      <c r="K25" s="843"/>
      <c r="L25" s="143"/>
      <c r="M25" s="143"/>
      <c r="N25" s="152"/>
      <c r="O25" s="144">
        <f t="shared" ref="O25" si="7">F25+G25+H25+M25</f>
        <v>0</v>
      </c>
      <c r="P25" s="144">
        <f>J25+K25+L25+N25</f>
        <v>0</v>
      </c>
      <c r="Q25" s="144">
        <f t="shared" ref="Q25" si="8">O25+P25</f>
        <v>0</v>
      </c>
    </row>
    <row r="26" spans="1:19" s="107" customFormat="1" ht="21" thickBot="1" x14ac:dyDescent="0.25">
      <c r="A26" s="153"/>
      <c r="D26" s="107" t="s">
        <v>183</v>
      </c>
      <c r="I26" s="154"/>
      <c r="J26" s="973"/>
      <c r="K26" s="973"/>
      <c r="P26" s="107" t="s">
        <v>699</v>
      </c>
    </row>
    <row r="27" spans="1:19" s="107" customFormat="1" ht="33" customHeight="1" thickBot="1" x14ac:dyDescent="0.25">
      <c r="A27" s="155" t="s">
        <v>184</v>
      </c>
      <c r="B27" s="1007" t="s">
        <v>319</v>
      </c>
      <c r="C27" s="1007"/>
      <c r="D27" s="156" t="e">
        <f>Q18</f>
        <v>#REF!</v>
      </c>
      <c r="F27" s="1013" t="s">
        <v>700</v>
      </c>
      <c r="G27" s="1013"/>
      <c r="H27" s="1013"/>
      <c r="I27" s="1013"/>
      <c r="J27" s="1013"/>
      <c r="K27" s="1013"/>
      <c r="L27" s="1013"/>
      <c r="M27" s="1013"/>
      <c r="N27" s="1013"/>
      <c r="O27" s="1014"/>
      <c r="P27" s="156">
        <v>164.10636830242748</v>
      </c>
      <c r="Q27" s="157"/>
    </row>
    <row r="28" spans="1:19" s="107" customFormat="1" ht="24" customHeight="1" x14ac:dyDescent="0.2">
      <c r="A28" s="158" t="s">
        <v>185</v>
      </c>
      <c r="B28" s="1008" t="s">
        <v>186</v>
      </c>
      <c r="C28" s="1008"/>
      <c r="D28" s="154"/>
      <c r="E28" s="154"/>
      <c r="F28" s="154"/>
      <c r="G28" s="154"/>
      <c r="H28" s="154"/>
      <c r="I28" s="154"/>
      <c r="J28" s="154"/>
      <c r="K28" s="154"/>
      <c r="L28" s="154"/>
      <c r="M28" s="154"/>
      <c r="N28" s="154"/>
      <c r="O28" s="154" t="s">
        <v>0</v>
      </c>
      <c r="P28" s="154"/>
      <c r="Q28" s="154"/>
    </row>
    <row r="29" spans="1:19" ht="47.25" customHeight="1" x14ac:dyDescent="0.3">
      <c r="A29" s="844" t="s">
        <v>693</v>
      </c>
      <c r="B29" s="1016" t="s">
        <v>719</v>
      </c>
      <c r="C29" s="1016"/>
      <c r="D29" s="1016"/>
      <c r="E29" s="1016"/>
      <c r="F29" s="1016"/>
      <c r="G29" s="1016"/>
      <c r="H29" s="1016"/>
      <c r="I29" s="1016"/>
      <c r="J29" s="1016"/>
      <c r="K29" s="1016"/>
      <c r="L29" s="1016"/>
      <c r="M29" s="1016"/>
      <c r="N29" s="1016"/>
      <c r="O29" s="1016"/>
      <c r="P29" s="1016"/>
      <c r="Q29" s="1016"/>
    </row>
    <row r="30" spans="1:19" ht="27" customHeight="1" x14ac:dyDescent="0.3">
      <c r="A30" s="845" t="s">
        <v>694</v>
      </c>
      <c r="B30" s="997" t="s">
        <v>692</v>
      </c>
      <c r="C30" s="997"/>
      <c r="D30" s="997"/>
      <c r="E30" s="997"/>
      <c r="F30" s="997"/>
      <c r="G30" s="997"/>
      <c r="H30" s="997"/>
      <c r="I30" s="997"/>
      <c r="J30" s="997"/>
      <c r="K30" s="997"/>
      <c r="L30" s="997"/>
      <c r="M30" s="997"/>
      <c r="N30" s="997"/>
      <c r="O30" s="997"/>
      <c r="P30" s="997"/>
      <c r="Q30" s="997"/>
    </row>
    <row r="31" spans="1:19" ht="65.25" customHeight="1" x14ac:dyDescent="0.3">
      <c r="A31" s="845" t="s">
        <v>695</v>
      </c>
      <c r="B31" s="982" t="s">
        <v>721</v>
      </c>
      <c r="C31" s="982"/>
      <c r="D31" s="982"/>
      <c r="E31" s="982"/>
      <c r="F31" s="982"/>
      <c r="G31" s="982"/>
      <c r="H31" s="982"/>
      <c r="I31" s="982"/>
      <c r="J31" s="982"/>
      <c r="K31" s="982"/>
      <c r="L31" s="982"/>
      <c r="M31" s="982"/>
      <c r="N31" s="982"/>
      <c r="O31" s="982"/>
      <c r="P31" s="982"/>
      <c r="Q31" s="982"/>
    </row>
    <row r="32" spans="1:19" ht="36.75" customHeight="1" x14ac:dyDescent="0.3">
      <c r="A32" s="845" t="s">
        <v>696</v>
      </c>
      <c r="B32" s="982" t="s">
        <v>738</v>
      </c>
      <c r="C32" s="982"/>
      <c r="D32" s="982"/>
      <c r="E32" s="982"/>
      <c r="F32" s="982"/>
      <c r="G32" s="982"/>
      <c r="H32" s="982"/>
      <c r="I32" s="982"/>
      <c r="J32" s="982"/>
      <c r="K32" s="982"/>
      <c r="L32" s="982"/>
      <c r="M32" s="982"/>
      <c r="N32" s="982"/>
      <c r="O32" s="982"/>
      <c r="P32" s="982"/>
      <c r="Q32" s="982"/>
    </row>
    <row r="33" spans="1:17" ht="45" customHeight="1" x14ac:dyDescent="0.3">
      <c r="A33" s="845" t="s">
        <v>697</v>
      </c>
      <c r="B33" s="974" t="s">
        <v>731</v>
      </c>
      <c r="C33" s="974"/>
      <c r="D33" s="974"/>
      <c r="E33" s="974"/>
      <c r="F33" s="974"/>
      <c r="G33" s="974"/>
      <c r="H33" s="974"/>
      <c r="I33" s="974"/>
      <c r="J33" s="974"/>
      <c r="K33" s="974"/>
      <c r="L33" s="974"/>
      <c r="M33" s="974"/>
      <c r="N33" s="974"/>
      <c r="O33" s="974"/>
      <c r="P33" s="974"/>
      <c r="Q33" s="974"/>
    </row>
    <row r="34" spans="1:17" ht="46.5" customHeight="1" x14ac:dyDescent="0.3">
      <c r="A34" s="845" t="s">
        <v>712</v>
      </c>
      <c r="B34" s="974" t="s">
        <v>718</v>
      </c>
      <c r="C34" s="974"/>
      <c r="D34" s="974"/>
      <c r="E34" s="974"/>
      <c r="F34" s="974"/>
      <c r="G34" s="974"/>
      <c r="H34" s="974"/>
      <c r="I34" s="974"/>
      <c r="J34" s="974"/>
      <c r="K34" s="974"/>
      <c r="L34" s="974"/>
      <c r="M34" s="974"/>
      <c r="N34" s="974"/>
      <c r="O34" s="974"/>
      <c r="P34" s="974"/>
      <c r="Q34" s="974"/>
    </row>
    <row r="35" spans="1:17" ht="48" customHeight="1" x14ac:dyDescent="0.3">
      <c r="A35" s="845" t="s">
        <v>713</v>
      </c>
      <c r="B35" s="974" t="s">
        <v>722</v>
      </c>
      <c r="C35" s="974"/>
      <c r="D35" s="974"/>
      <c r="E35" s="974"/>
      <c r="F35" s="974"/>
      <c r="G35" s="974"/>
      <c r="H35" s="974"/>
      <c r="I35" s="974"/>
      <c r="J35" s="974"/>
      <c r="K35" s="974"/>
      <c r="L35" s="974"/>
      <c r="M35" s="974"/>
      <c r="N35" s="974"/>
      <c r="O35" s="974"/>
      <c r="P35" s="974"/>
      <c r="Q35" s="974"/>
    </row>
    <row r="36" spans="1:17" ht="35.25" customHeight="1" x14ac:dyDescent="0.3">
      <c r="A36" s="845" t="s">
        <v>714</v>
      </c>
      <c r="B36" s="974" t="s">
        <v>739</v>
      </c>
      <c r="C36" s="974"/>
      <c r="D36" s="974"/>
      <c r="E36" s="974"/>
      <c r="F36" s="974"/>
      <c r="G36" s="974"/>
      <c r="H36" s="974"/>
      <c r="I36" s="974"/>
      <c r="J36" s="974"/>
      <c r="K36" s="974"/>
      <c r="L36" s="974"/>
      <c r="M36" s="974"/>
      <c r="N36" s="974"/>
      <c r="O36" s="974"/>
      <c r="P36" s="974"/>
      <c r="Q36" s="974"/>
    </row>
    <row r="37" spans="1:17" ht="42.75" customHeight="1" x14ac:dyDescent="0.3">
      <c r="A37" s="845" t="s">
        <v>715</v>
      </c>
      <c r="B37" s="974" t="s">
        <v>725</v>
      </c>
      <c r="C37" s="974"/>
      <c r="D37" s="974"/>
      <c r="E37" s="974"/>
      <c r="F37" s="974"/>
      <c r="G37" s="974"/>
      <c r="H37" s="974"/>
      <c r="I37" s="974"/>
      <c r="J37" s="974"/>
      <c r="K37" s="974"/>
      <c r="L37" s="974"/>
      <c r="M37" s="974"/>
      <c r="N37" s="974"/>
      <c r="O37" s="974"/>
      <c r="P37" s="974"/>
      <c r="Q37" s="974"/>
    </row>
    <row r="38" spans="1:17" ht="30" customHeight="1" x14ac:dyDescent="0.3">
      <c r="A38" s="845" t="s">
        <v>723</v>
      </c>
      <c r="B38" s="996" t="s">
        <v>717</v>
      </c>
      <c r="C38" s="996"/>
      <c r="D38" s="996"/>
      <c r="E38" s="996"/>
      <c r="F38" s="996"/>
      <c r="G38" s="996"/>
      <c r="H38" s="996"/>
      <c r="I38" s="996"/>
      <c r="J38" s="996"/>
      <c r="K38" s="996"/>
      <c r="L38" s="996"/>
      <c r="M38" s="996"/>
      <c r="N38" s="996"/>
      <c r="O38" s="996"/>
      <c r="P38" s="996"/>
      <c r="Q38" s="996"/>
    </row>
    <row r="39" spans="1:17" ht="27.75" customHeight="1" x14ac:dyDescent="0.3">
      <c r="A39" s="845" t="s">
        <v>724</v>
      </c>
      <c r="B39" s="996" t="s">
        <v>729</v>
      </c>
      <c r="C39" s="996"/>
      <c r="D39" s="996"/>
      <c r="E39" s="996"/>
      <c r="F39" s="996"/>
      <c r="G39" s="996"/>
      <c r="H39" s="996"/>
      <c r="I39" s="996"/>
      <c r="J39" s="996"/>
      <c r="K39" s="996"/>
      <c r="L39" s="996"/>
      <c r="M39" s="996"/>
      <c r="N39" s="996"/>
      <c r="O39" s="996"/>
      <c r="P39" s="996"/>
      <c r="Q39" s="996"/>
    </row>
    <row r="40" spans="1:17" ht="27.75" customHeight="1" x14ac:dyDescent="0.3">
      <c r="A40" s="845" t="s">
        <v>726</v>
      </c>
      <c r="B40" s="996" t="s">
        <v>730</v>
      </c>
      <c r="C40" s="996"/>
      <c r="D40" s="996"/>
      <c r="E40" s="996"/>
      <c r="F40" s="996"/>
      <c r="G40" s="996"/>
      <c r="H40" s="996"/>
      <c r="I40" s="996"/>
      <c r="J40" s="996"/>
      <c r="K40" s="996"/>
      <c r="L40" s="996"/>
      <c r="M40" s="996"/>
      <c r="N40" s="996"/>
      <c r="O40" s="996"/>
      <c r="P40" s="996"/>
      <c r="Q40" s="996"/>
    </row>
    <row r="41" spans="1:17" ht="33" customHeight="1" x14ac:dyDescent="0.3">
      <c r="A41" s="845" t="s">
        <v>727</v>
      </c>
      <c r="B41" s="997" t="s">
        <v>728</v>
      </c>
      <c r="C41" s="997"/>
      <c r="D41" s="997"/>
      <c r="E41" s="997"/>
      <c r="F41" s="997"/>
      <c r="G41" s="997"/>
      <c r="H41" s="997"/>
      <c r="I41" s="997"/>
      <c r="J41" s="997"/>
      <c r="K41" s="997"/>
      <c r="L41" s="997"/>
      <c r="M41" s="997"/>
      <c r="N41" s="997"/>
      <c r="O41" s="997"/>
      <c r="P41" s="997"/>
      <c r="Q41" s="997"/>
    </row>
    <row r="42" spans="1:17" ht="27.75" customHeight="1" x14ac:dyDescent="0.3">
      <c r="A42" s="159"/>
      <c r="B42" s="995"/>
      <c r="C42" s="995"/>
      <c r="D42" s="995"/>
      <c r="E42" s="995"/>
      <c r="F42" s="995"/>
      <c r="G42" s="995"/>
      <c r="H42" s="995"/>
      <c r="I42" s="995"/>
      <c r="J42" s="995"/>
      <c r="K42" s="995"/>
      <c r="L42" s="995"/>
      <c r="M42" s="995"/>
      <c r="N42" s="995"/>
      <c r="O42" s="995"/>
      <c r="P42" s="995"/>
      <c r="Q42" s="995"/>
    </row>
    <row r="43" spans="1:17" ht="21" customHeight="1" thickBot="1" x14ac:dyDescent="0.35">
      <c r="A43" s="129" t="s">
        <v>187</v>
      </c>
      <c r="B43" s="162" t="s">
        <v>244</v>
      </c>
      <c r="D43" s="160"/>
      <c r="E43" s="160"/>
      <c r="F43" s="160"/>
      <c r="G43" s="160"/>
      <c r="H43" s="160"/>
      <c r="I43" s="161"/>
      <c r="J43" s="161"/>
      <c r="K43" s="161"/>
      <c r="L43" s="161"/>
      <c r="M43" s="161"/>
      <c r="N43" s="161"/>
    </row>
    <row r="44" spans="1:17" s="107" customFormat="1" ht="39.75" customHeight="1" thickBot="1" x14ac:dyDescent="0.25">
      <c r="A44" s="998" t="s">
        <v>138</v>
      </c>
      <c r="B44" s="998" t="s">
        <v>122</v>
      </c>
      <c r="C44" s="983" t="s">
        <v>188</v>
      </c>
      <c r="D44" s="1012"/>
      <c r="E44" s="984"/>
      <c r="F44" s="163" t="s">
        <v>189</v>
      </c>
      <c r="G44" s="998" t="s">
        <v>4</v>
      </c>
      <c r="H44" s="989" t="s">
        <v>152</v>
      </c>
      <c r="I44" s="990"/>
    </row>
    <row r="45" spans="1:17" s="107" customFormat="1" ht="29.25" customHeight="1" thickBot="1" x14ac:dyDescent="0.25">
      <c r="A45" s="999"/>
      <c r="B45" s="999"/>
      <c r="C45" s="164" t="s">
        <v>190</v>
      </c>
      <c r="D45" s="983" t="s">
        <v>191</v>
      </c>
      <c r="E45" s="984"/>
      <c r="F45" s="165"/>
      <c r="G45" s="999"/>
      <c r="H45" s="991"/>
      <c r="I45" s="992"/>
    </row>
    <row r="46" spans="1:17" s="107" customFormat="1" ht="39.75" customHeight="1" thickBot="1" x14ac:dyDescent="0.25">
      <c r="A46" s="166">
        <v>1</v>
      </c>
      <c r="B46" s="850" t="s">
        <v>691</v>
      </c>
      <c r="C46" s="167" t="e">
        <f>O18</f>
        <v>#REF!</v>
      </c>
      <c r="D46" s="985" t="e">
        <f>Q18+#REF!/100</f>
        <v>#REF!</v>
      </c>
      <c r="E46" s="984"/>
      <c r="F46" s="168"/>
      <c r="G46" s="169" t="e">
        <f>C46+D46+F46</f>
        <v>#REF!</v>
      </c>
      <c r="H46" s="987" t="s">
        <v>245</v>
      </c>
      <c r="I46" s="988"/>
    </row>
    <row r="47" spans="1:17" s="107" customFormat="1" ht="27" customHeight="1" thickBot="1" x14ac:dyDescent="0.25">
      <c r="A47" s="170">
        <f>A46+1</f>
        <v>2</v>
      </c>
      <c r="B47" s="171" t="s">
        <v>192</v>
      </c>
      <c r="C47" s="172"/>
      <c r="D47" s="985" t="e">
        <f>#REF!</f>
        <v>#REF!</v>
      </c>
      <c r="E47" s="986"/>
      <c r="F47" s="173" t="e">
        <f>(D47+C47)*$F$45</f>
        <v>#REF!</v>
      </c>
      <c r="G47" s="169" t="e">
        <f>C47+D47+F47</f>
        <v>#REF!</v>
      </c>
      <c r="H47" s="993" t="s">
        <v>678</v>
      </c>
      <c r="I47" s="994"/>
    </row>
    <row r="48" spans="1:17" s="107" customFormat="1" ht="27" customHeight="1" thickBot="1" x14ac:dyDescent="0.25">
      <c r="A48" s="170">
        <f t="shared" ref="A48:A58" si="9">A47+1</f>
        <v>3</v>
      </c>
      <c r="B48" s="171" t="s">
        <v>151</v>
      </c>
      <c r="C48" s="172" t="e">
        <f>#REF!</f>
        <v>#REF!</v>
      </c>
      <c r="D48" s="985" t="e">
        <f>#REF!-#REF!</f>
        <v>#REF!</v>
      </c>
      <c r="E48" s="986"/>
      <c r="F48" s="173" t="e">
        <f t="shared" ref="F48:F57" si="10">(D48+C48)*$F$45</f>
        <v>#REF!</v>
      </c>
      <c r="G48" s="169" t="e">
        <f t="shared" ref="G48:G59" si="11">C48+D48+F48</f>
        <v>#REF!</v>
      </c>
      <c r="H48" s="983"/>
      <c r="I48" s="984"/>
    </row>
    <row r="49" spans="1:16" s="107" customFormat="1" ht="24.75" customHeight="1" thickBot="1" x14ac:dyDescent="0.25">
      <c r="A49" s="170">
        <f t="shared" si="9"/>
        <v>4</v>
      </c>
      <c r="B49" s="171" t="s">
        <v>193</v>
      </c>
      <c r="C49" s="167" t="e">
        <f>#REF!</f>
        <v>#REF!</v>
      </c>
      <c r="D49" s="985" t="e">
        <f>#REF!-#REF!</f>
        <v>#REF!</v>
      </c>
      <c r="E49" s="986"/>
      <c r="F49" s="173" t="e">
        <f t="shared" si="10"/>
        <v>#REF!</v>
      </c>
      <c r="G49" s="169" t="e">
        <f t="shared" si="11"/>
        <v>#REF!</v>
      </c>
      <c r="H49" s="993" t="s">
        <v>734</v>
      </c>
      <c r="I49" s="994"/>
    </row>
    <row r="50" spans="1:16" s="107" customFormat="1" ht="27" customHeight="1" thickBot="1" x14ac:dyDescent="0.25">
      <c r="A50" s="170">
        <f t="shared" si="9"/>
        <v>5</v>
      </c>
      <c r="B50" s="171" t="s">
        <v>23</v>
      </c>
      <c r="C50" s="167" t="e">
        <f>#REF!</f>
        <v>#REF!</v>
      </c>
      <c r="D50" s="985" t="e">
        <f>#REF!-#REF!</f>
        <v>#REF!</v>
      </c>
      <c r="E50" s="986"/>
      <c r="F50" s="173" t="e">
        <f t="shared" si="10"/>
        <v>#REF!</v>
      </c>
      <c r="G50" s="169" t="e">
        <f t="shared" si="11"/>
        <v>#REF!</v>
      </c>
      <c r="H50" s="983"/>
      <c r="I50" s="984"/>
    </row>
    <row r="51" spans="1:16" s="107" customFormat="1" ht="63" customHeight="1" thickBot="1" x14ac:dyDescent="0.25">
      <c r="A51" s="170">
        <f t="shared" si="9"/>
        <v>6</v>
      </c>
      <c r="B51" s="171" t="s">
        <v>194</v>
      </c>
      <c r="C51" s="172"/>
      <c r="D51" s="1030" t="e">
        <f>#REF!</f>
        <v>#REF!</v>
      </c>
      <c r="E51" s="1031"/>
      <c r="F51" s="173" t="e">
        <f t="shared" si="10"/>
        <v>#REF!</v>
      </c>
      <c r="G51" s="169" t="e">
        <f t="shared" si="11"/>
        <v>#REF!</v>
      </c>
      <c r="H51" s="1025" t="s">
        <v>737</v>
      </c>
      <c r="I51" s="1026"/>
    </row>
    <row r="52" spans="1:16" s="107" customFormat="1" ht="67.5" customHeight="1" thickBot="1" x14ac:dyDescent="0.25">
      <c r="A52" s="170">
        <f t="shared" si="9"/>
        <v>7</v>
      </c>
      <c r="B52" s="174" t="s">
        <v>207</v>
      </c>
      <c r="C52" s="167" t="e">
        <f>#REF!</f>
        <v>#REF!</v>
      </c>
      <c r="D52" s="985" t="e">
        <f>#REF!+#REF!</f>
        <v>#REF!</v>
      </c>
      <c r="E52" s="986"/>
      <c r="F52" s="173" t="e">
        <f t="shared" si="10"/>
        <v>#REF!</v>
      </c>
      <c r="G52" s="169" t="e">
        <f t="shared" si="11"/>
        <v>#REF!</v>
      </c>
      <c r="H52" s="1025" t="s">
        <v>505</v>
      </c>
      <c r="I52" s="1026"/>
    </row>
    <row r="53" spans="1:16" s="107" customFormat="1" ht="27.75" customHeight="1" thickBot="1" x14ac:dyDescent="0.25">
      <c r="A53" s="170">
        <f t="shared" si="9"/>
        <v>8</v>
      </c>
      <c r="B53" s="877" t="s">
        <v>208</v>
      </c>
      <c r="C53" s="167" t="e">
        <f>#REF!+#REF!</f>
        <v>#REF!</v>
      </c>
      <c r="D53" s="985" t="e">
        <f>#REF!+#REF!-#REF!-#REF!</f>
        <v>#REF!</v>
      </c>
      <c r="E53" s="986"/>
      <c r="F53" s="173" t="e">
        <f t="shared" si="10"/>
        <v>#REF!</v>
      </c>
      <c r="G53" s="169" t="e">
        <f t="shared" si="11"/>
        <v>#REF!</v>
      </c>
      <c r="H53" s="983"/>
      <c r="I53" s="984"/>
    </row>
    <row r="54" spans="1:16" s="107" customFormat="1" ht="27.75" customHeight="1" thickBot="1" x14ac:dyDescent="0.25">
      <c r="A54" s="170">
        <f t="shared" si="9"/>
        <v>9</v>
      </c>
      <c r="B54" s="171" t="s">
        <v>135</v>
      </c>
      <c r="C54" s="167" t="e">
        <f>#REF!</f>
        <v>#REF!</v>
      </c>
      <c r="D54" s="1028"/>
      <c r="E54" s="1029"/>
      <c r="F54" s="173" t="e">
        <f t="shared" si="10"/>
        <v>#REF!</v>
      </c>
      <c r="G54" s="169" t="e">
        <f t="shared" si="11"/>
        <v>#REF!</v>
      </c>
      <c r="H54" s="993"/>
      <c r="I54" s="994"/>
    </row>
    <row r="55" spans="1:16" s="107" customFormat="1" ht="27" customHeight="1" thickBot="1" x14ac:dyDescent="0.25">
      <c r="A55" s="170">
        <f t="shared" si="9"/>
        <v>10</v>
      </c>
      <c r="B55" s="171" t="s">
        <v>195</v>
      </c>
      <c r="C55" s="167" t="e">
        <f>#REF!</f>
        <v>#REF!</v>
      </c>
      <c r="D55" s="1028">
        <v>0</v>
      </c>
      <c r="E55" s="1029"/>
      <c r="F55" s="173" t="e">
        <f t="shared" si="10"/>
        <v>#REF!</v>
      </c>
      <c r="G55" s="169" t="e">
        <f t="shared" si="11"/>
        <v>#REF!</v>
      </c>
      <c r="H55" s="993"/>
      <c r="I55" s="994"/>
    </row>
    <row r="56" spans="1:16" s="107" customFormat="1" ht="27" customHeight="1" thickBot="1" x14ac:dyDescent="0.25">
      <c r="A56" s="170">
        <f>A54+1</f>
        <v>10</v>
      </c>
      <c r="B56" s="171" t="s">
        <v>490</v>
      </c>
      <c r="C56" s="167"/>
      <c r="D56" s="985" t="e">
        <f>#REF!</f>
        <v>#REF!</v>
      </c>
      <c r="E56" s="986"/>
      <c r="F56" s="173"/>
      <c r="G56" s="169" t="e">
        <f t="shared" si="11"/>
        <v>#REF!</v>
      </c>
      <c r="H56" s="993"/>
      <c r="I56" s="994"/>
    </row>
    <row r="57" spans="1:16" s="107" customFormat="1" ht="27.75" customHeight="1" thickBot="1" x14ac:dyDescent="0.25">
      <c r="A57" s="170">
        <f t="shared" si="9"/>
        <v>11</v>
      </c>
      <c r="B57" s="171" t="s">
        <v>247</v>
      </c>
      <c r="C57" s="167" t="e">
        <f>#REF!</f>
        <v>#REF!</v>
      </c>
      <c r="D57" s="1023" t="e">
        <f>#REF!-#REF!</f>
        <v>#REF!</v>
      </c>
      <c r="E57" s="1024"/>
      <c r="F57" s="173" t="e">
        <f t="shared" si="10"/>
        <v>#REF!</v>
      </c>
      <c r="G57" s="169" t="e">
        <f t="shared" si="11"/>
        <v>#REF!</v>
      </c>
      <c r="H57" s="1041" t="s">
        <v>210</v>
      </c>
      <c r="I57" s="1042"/>
    </row>
    <row r="58" spans="1:16" s="107" customFormat="1" ht="27.75" customHeight="1" thickBot="1" x14ac:dyDescent="0.25">
      <c r="A58" s="170">
        <f t="shared" si="9"/>
        <v>12</v>
      </c>
      <c r="B58" s="171" t="s">
        <v>209</v>
      </c>
      <c r="C58" s="167"/>
      <c r="D58" s="985" t="e">
        <f>#REF!</f>
        <v>#REF!</v>
      </c>
      <c r="E58" s="986"/>
      <c r="F58" s="175"/>
      <c r="G58" s="169" t="e">
        <f t="shared" si="11"/>
        <v>#REF!</v>
      </c>
      <c r="H58" s="983"/>
      <c r="I58" s="984"/>
    </row>
    <row r="59" spans="1:16" s="107" customFormat="1" ht="27.75" customHeight="1" thickBot="1" x14ac:dyDescent="0.25">
      <c r="A59" s="170">
        <v>14</v>
      </c>
      <c r="B59" s="171" t="s">
        <v>238</v>
      </c>
      <c r="C59" s="171"/>
      <c r="D59" s="985" t="e">
        <f>-#REF!</f>
        <v>#REF!</v>
      </c>
      <c r="E59" s="986"/>
      <c r="F59" s="175"/>
      <c r="G59" s="169" t="e">
        <f t="shared" si="11"/>
        <v>#REF!</v>
      </c>
      <c r="H59" s="983"/>
      <c r="I59" s="984"/>
    </row>
    <row r="60" spans="1:16" ht="27" customHeight="1" thickBot="1" x14ac:dyDescent="0.35">
      <c r="A60" s="176"/>
      <c r="B60" s="177" t="s">
        <v>4</v>
      </c>
      <c r="C60" s="178" t="e">
        <f>SUM(C46:C59)</f>
        <v>#REF!</v>
      </c>
      <c r="D60" s="1035" t="e">
        <f>SUM(D46:E59)</f>
        <v>#REF!</v>
      </c>
      <c r="E60" s="1036"/>
      <c r="F60" s="179"/>
      <c r="G60" s="180" t="e">
        <f>SUM(G46:G59)</f>
        <v>#REF!</v>
      </c>
      <c r="H60" s="1037"/>
      <c r="I60" s="1038"/>
      <c r="J60" s="161"/>
      <c r="K60" s="161"/>
      <c r="L60" s="161"/>
      <c r="M60" s="161"/>
      <c r="N60" s="161"/>
    </row>
    <row r="61" spans="1:16" ht="21" customHeight="1" x14ac:dyDescent="0.3">
      <c r="A61" s="159"/>
      <c r="D61" s="160"/>
      <c r="E61" s="160"/>
      <c r="F61" s="160"/>
      <c r="G61" s="160"/>
      <c r="H61" s="160"/>
      <c r="I61" s="161"/>
      <c r="J61" s="161"/>
      <c r="K61" s="161"/>
      <c r="L61" s="161"/>
      <c r="M61" s="161"/>
      <c r="N61" s="161"/>
    </row>
    <row r="62" spans="1:16" x14ac:dyDescent="0.3">
      <c r="A62" s="181" t="s">
        <v>318</v>
      </c>
      <c r="N62" s="161"/>
    </row>
    <row r="63" spans="1:16" x14ac:dyDescent="0.3">
      <c r="A63" s="181" t="s">
        <v>716</v>
      </c>
      <c r="N63" s="161"/>
    </row>
    <row r="64" spans="1:16" ht="21" thickBot="1" x14ac:dyDescent="0.35">
      <c r="A64" s="129" t="s">
        <v>733</v>
      </c>
      <c r="F64" s="125" t="s">
        <v>183</v>
      </c>
      <c r="P64" s="125" t="s">
        <v>699</v>
      </c>
    </row>
    <row r="65" spans="1:17" ht="42" customHeight="1" thickBot="1" x14ac:dyDescent="0.35">
      <c r="A65" s="1039" t="s">
        <v>248</v>
      </c>
      <c r="B65" s="1039"/>
      <c r="C65" s="1039"/>
      <c r="D65" s="1039"/>
      <c r="E65" s="1040"/>
      <c r="F65" s="182" t="e">
        <f>G60</f>
        <v>#REF!</v>
      </c>
      <c r="I65" s="1017" t="s">
        <v>698</v>
      </c>
      <c r="J65" s="1017"/>
      <c r="K65" s="1017"/>
      <c r="L65" s="1017"/>
      <c r="M65" s="1017"/>
      <c r="N65" s="1017"/>
      <c r="O65" s="1018"/>
      <c r="P65" s="1019">
        <v>390.46164842492198</v>
      </c>
      <c r="Q65" s="1020"/>
    </row>
    <row r="66" spans="1:17" x14ac:dyDescent="0.3">
      <c r="A66" s="107" t="s">
        <v>196</v>
      </c>
    </row>
    <row r="67" spans="1:17" x14ac:dyDescent="0.3">
      <c r="A67" s="183"/>
    </row>
    <row r="68" spans="1:17" x14ac:dyDescent="0.3">
      <c r="A68" s="127" t="s">
        <v>246</v>
      </c>
    </row>
    <row r="69" spans="1:17" ht="27.95" customHeight="1" x14ac:dyDescent="0.3">
      <c r="A69" s="668" t="s">
        <v>138</v>
      </c>
      <c r="B69" s="668" t="s">
        <v>161</v>
      </c>
      <c r="C69" s="668" t="s">
        <v>162</v>
      </c>
      <c r="D69" s="1027" t="s">
        <v>163</v>
      </c>
      <c r="E69" s="1027"/>
      <c r="F69" s="1027"/>
      <c r="G69" s="1027"/>
    </row>
    <row r="70" spans="1:17" ht="45" customHeight="1" x14ac:dyDescent="0.3">
      <c r="A70" s="407" t="s">
        <v>126</v>
      </c>
      <c r="B70" s="408" t="s">
        <v>363</v>
      </c>
      <c r="C70" s="408" t="s">
        <v>679</v>
      </c>
      <c r="D70" s="1021"/>
      <c r="E70" s="1021"/>
      <c r="F70" s="1021"/>
      <c r="G70" s="1021"/>
    </row>
    <row r="71" spans="1:17" ht="41.25" customHeight="1" x14ac:dyDescent="0.3">
      <c r="A71" s="407" t="s">
        <v>164</v>
      </c>
      <c r="B71" s="408" t="s">
        <v>682</v>
      </c>
      <c r="C71" s="408" t="s">
        <v>683</v>
      </c>
      <c r="D71" s="1021"/>
      <c r="E71" s="1021"/>
      <c r="F71" s="1021"/>
      <c r="G71" s="1021"/>
    </row>
    <row r="72" spans="1:17" ht="41.25" customHeight="1" x14ac:dyDescent="0.3">
      <c r="A72" s="407" t="s">
        <v>165</v>
      </c>
      <c r="B72" s="408" t="s">
        <v>735</v>
      </c>
      <c r="C72" s="408" t="s">
        <v>736</v>
      </c>
      <c r="D72" s="1032"/>
      <c r="E72" s="1033"/>
      <c r="F72" s="1033"/>
      <c r="G72" s="1034"/>
    </row>
    <row r="73" spans="1:17" ht="41.25" customHeight="1" x14ac:dyDescent="0.3">
      <c r="A73" s="407" t="s">
        <v>166</v>
      </c>
      <c r="B73" s="408" t="s">
        <v>684</v>
      </c>
      <c r="C73" s="408" t="s">
        <v>685</v>
      </c>
      <c r="D73" s="1021"/>
      <c r="E73" s="1021"/>
      <c r="F73" s="1021"/>
      <c r="G73" s="1021"/>
    </row>
    <row r="74" spans="1:17" ht="41.25" customHeight="1" x14ac:dyDescent="0.3">
      <c r="A74" s="407" t="s">
        <v>21</v>
      </c>
      <c r="B74" s="408" t="s">
        <v>496</v>
      </c>
      <c r="C74" s="408" t="s">
        <v>680</v>
      </c>
      <c r="D74" s="1021"/>
      <c r="E74" s="1021"/>
      <c r="F74" s="1021"/>
      <c r="G74" s="1021"/>
    </row>
    <row r="75" spans="1:17" ht="36.75" customHeight="1" x14ac:dyDescent="0.3">
      <c r="A75" s="409" t="s">
        <v>167</v>
      </c>
      <c r="B75" s="408" t="s">
        <v>320</v>
      </c>
      <c r="C75" s="408" t="s">
        <v>522</v>
      </c>
      <c r="D75" s="1021"/>
      <c r="E75" s="1021"/>
      <c r="F75" s="1021"/>
      <c r="G75" s="1021"/>
    </row>
    <row r="76" spans="1:17" ht="33.75" customHeight="1" x14ac:dyDescent="0.3">
      <c r="A76" s="409" t="s">
        <v>168</v>
      </c>
      <c r="B76" s="408" t="s">
        <v>686</v>
      </c>
      <c r="C76" s="408" t="s">
        <v>687</v>
      </c>
      <c r="D76" s="1022"/>
      <c r="E76" s="1022"/>
      <c r="F76" s="1022"/>
      <c r="G76" s="1022"/>
    </row>
    <row r="77" spans="1:17" ht="32.25" customHeight="1" x14ac:dyDescent="0.3">
      <c r="A77" s="409" t="s">
        <v>323</v>
      </c>
      <c r="B77" s="408" t="s">
        <v>688</v>
      </c>
      <c r="C77" s="408" t="s">
        <v>689</v>
      </c>
      <c r="D77" s="1022"/>
      <c r="E77" s="1022"/>
      <c r="F77" s="1022"/>
      <c r="G77" s="1022"/>
    </row>
    <row r="78" spans="1:17" ht="32.25" customHeight="1" x14ac:dyDescent="0.3">
      <c r="A78" s="409" t="s">
        <v>523</v>
      </c>
      <c r="B78" s="408" t="s">
        <v>681</v>
      </c>
      <c r="C78" s="408" t="s">
        <v>690</v>
      </c>
      <c r="D78" s="1022"/>
      <c r="E78" s="1022"/>
      <c r="F78" s="1022"/>
      <c r="G78" s="1022"/>
    </row>
    <row r="79" spans="1:17" ht="27.75" customHeight="1" x14ac:dyDescent="0.3">
      <c r="A79" s="409" t="s">
        <v>22</v>
      </c>
      <c r="B79" s="408" t="s">
        <v>524</v>
      </c>
      <c r="C79" s="408" t="s">
        <v>525</v>
      </c>
      <c r="D79" s="1015"/>
      <c r="E79" s="1015"/>
      <c r="F79" s="1015"/>
      <c r="G79" s="1015"/>
    </row>
    <row r="83" spans="2:2" x14ac:dyDescent="0.3">
      <c r="B83" s="125" t="s">
        <v>489</v>
      </c>
    </row>
  </sheetData>
  <mergeCells count="79">
    <mergeCell ref="H49:I49"/>
    <mergeCell ref="H52:I52"/>
    <mergeCell ref="D72:G72"/>
    <mergeCell ref="D49:E49"/>
    <mergeCell ref="D50:E50"/>
    <mergeCell ref="D53:E53"/>
    <mergeCell ref="D70:G70"/>
    <mergeCell ref="D71:G71"/>
    <mergeCell ref="D60:E60"/>
    <mergeCell ref="D59:E59"/>
    <mergeCell ref="H60:I60"/>
    <mergeCell ref="A65:E65"/>
    <mergeCell ref="H59:I59"/>
    <mergeCell ref="H57:I57"/>
    <mergeCell ref="H53:I53"/>
    <mergeCell ref="H50:I50"/>
    <mergeCell ref="H51:I51"/>
    <mergeCell ref="D69:G69"/>
    <mergeCell ref="D54:E54"/>
    <mergeCell ref="D55:E55"/>
    <mergeCell ref="D51:E51"/>
    <mergeCell ref="H58:I58"/>
    <mergeCell ref="D58:E58"/>
    <mergeCell ref="D79:G79"/>
    <mergeCell ref="B29:Q29"/>
    <mergeCell ref="I65:O65"/>
    <mergeCell ref="P65:Q65"/>
    <mergeCell ref="D73:G73"/>
    <mergeCell ref="D74:G74"/>
    <mergeCell ref="D75:G75"/>
    <mergeCell ref="D76:G76"/>
    <mergeCell ref="D77:G77"/>
    <mergeCell ref="H56:I56"/>
    <mergeCell ref="H55:I55"/>
    <mergeCell ref="H54:I54"/>
    <mergeCell ref="D57:E57"/>
    <mergeCell ref="D56:E56"/>
    <mergeCell ref="D52:E52"/>
    <mergeCell ref="D78:G78"/>
    <mergeCell ref="A7:C7"/>
    <mergeCell ref="A9:A11"/>
    <mergeCell ref="B9:B11"/>
    <mergeCell ref="C9:C11"/>
    <mergeCell ref="A44:A45"/>
    <mergeCell ref="B44:B45"/>
    <mergeCell ref="B33:Q33"/>
    <mergeCell ref="O9:P10"/>
    <mergeCell ref="D9:H9"/>
    <mergeCell ref="D10:E10"/>
    <mergeCell ref="B27:C27"/>
    <mergeCell ref="B28:C28"/>
    <mergeCell ref="B30:Q30"/>
    <mergeCell ref="A24:Q24"/>
    <mergeCell ref="C44:E44"/>
    <mergeCell ref="F27:O27"/>
    <mergeCell ref="H48:I48"/>
    <mergeCell ref="D47:E47"/>
    <mergeCell ref="D46:E46"/>
    <mergeCell ref="H46:I46"/>
    <mergeCell ref="B35:Q35"/>
    <mergeCell ref="H44:I45"/>
    <mergeCell ref="D45:E45"/>
    <mergeCell ref="H47:I47"/>
    <mergeCell ref="B42:Q42"/>
    <mergeCell ref="B38:Q38"/>
    <mergeCell ref="B41:Q41"/>
    <mergeCell ref="B39:Q39"/>
    <mergeCell ref="B40:Q40"/>
    <mergeCell ref="G44:G45"/>
    <mergeCell ref="D48:E48"/>
    <mergeCell ref="Q9:Q11"/>
    <mergeCell ref="J26:K26"/>
    <mergeCell ref="B36:Q36"/>
    <mergeCell ref="B37:Q37"/>
    <mergeCell ref="M9:N10"/>
    <mergeCell ref="I9:L9"/>
    <mergeCell ref="B32:Q32"/>
    <mergeCell ref="B31:Q31"/>
    <mergeCell ref="B34:Q34"/>
  </mergeCells>
  <pageMargins left="0.70866141732283472" right="0.70866141732283472" top="0.74803149606299213" bottom="0.74803149606299213" header="0.31496062992125984" footer="0.31496062992125984"/>
  <pageSetup paperSize="9" scale="40" fitToHeight="2" orientation="landscape" r:id="rId1"/>
  <headerFooter>
    <oddFooter>&amp;CPage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J130"/>
  <sheetViews>
    <sheetView topLeftCell="A31" workbookViewId="0">
      <selection activeCell="G15" sqref="G15"/>
    </sheetView>
  </sheetViews>
  <sheetFormatPr defaultRowHeight="15" x14ac:dyDescent="0.25"/>
  <cols>
    <col min="1" max="1" width="6.44140625" style="188" customWidth="1"/>
    <col min="2" max="2" width="43.33203125" style="188" customWidth="1"/>
    <col min="3" max="3" width="11.109375" style="188" customWidth="1"/>
    <col min="4" max="4" width="13.109375" style="188" customWidth="1"/>
    <col min="5" max="5" width="13.88671875" style="188" customWidth="1"/>
    <col min="6" max="6" width="12.44140625" style="188" customWidth="1"/>
    <col min="7" max="7" width="13" style="188" customWidth="1"/>
    <col min="8" max="8" width="11" style="188" customWidth="1"/>
    <col min="9" max="9" width="9.88671875" style="188" customWidth="1"/>
    <col min="10" max="10" width="11.109375" style="188" customWidth="1"/>
    <col min="11" max="11" width="9.44140625" style="188" customWidth="1"/>
    <col min="12" max="12" width="9.5546875" style="188" customWidth="1"/>
    <col min="13" max="13" width="10.77734375" style="188" customWidth="1"/>
    <col min="14" max="14" width="6.5546875" style="188" customWidth="1"/>
    <col min="15" max="15" width="7.5546875" style="188" customWidth="1"/>
    <col min="16" max="16" width="10.109375" style="188" customWidth="1"/>
    <col min="17" max="17" width="9.44140625" style="188" customWidth="1"/>
    <col min="18" max="18" width="11" style="188" customWidth="1"/>
    <col min="19" max="19" width="14" style="188" customWidth="1"/>
    <col min="20" max="20" width="9.88671875" style="188" customWidth="1"/>
    <col min="21" max="24" width="8.88671875" style="188"/>
    <col min="25" max="25" width="15" style="188" customWidth="1"/>
    <col min="26" max="26" width="6.44140625" style="188" customWidth="1"/>
    <col min="27" max="27" width="5.6640625" style="188" customWidth="1"/>
    <col min="28" max="28" width="9.109375" style="188" customWidth="1"/>
    <col min="29" max="31" width="8.88671875" style="188"/>
    <col min="32" max="32" width="11.6640625" style="188" customWidth="1"/>
    <col min="33" max="256" width="8.88671875" style="188"/>
    <col min="257" max="257" width="6.44140625" style="188" customWidth="1"/>
    <col min="258" max="258" width="43.33203125" style="188" customWidth="1"/>
    <col min="259" max="259" width="11.109375" style="188" customWidth="1"/>
    <col min="260" max="260" width="13.109375" style="188" customWidth="1"/>
    <col min="261" max="261" width="13.88671875" style="188" customWidth="1"/>
    <col min="262" max="262" width="8.33203125" style="188" customWidth="1"/>
    <col min="263" max="263" width="13" style="188" customWidth="1"/>
    <col min="264" max="264" width="8.109375" style="188" customWidth="1"/>
    <col min="265" max="265" width="7.88671875" style="188" customWidth="1"/>
    <col min="266" max="266" width="11.109375" style="188" customWidth="1"/>
    <col min="267" max="267" width="9.44140625" style="188" customWidth="1"/>
    <col min="268" max="268" width="9.5546875" style="188" customWidth="1"/>
    <col min="269" max="269" width="10.77734375" style="188" customWidth="1"/>
    <col min="270" max="270" width="6.5546875" style="188" customWidth="1"/>
    <col min="271" max="271" width="7.5546875" style="188" customWidth="1"/>
    <col min="272" max="272" width="10.109375" style="188" customWidth="1"/>
    <col min="273" max="273" width="9.44140625" style="188" customWidth="1"/>
    <col min="274" max="274" width="11" style="188" customWidth="1"/>
    <col min="275" max="275" width="14" style="188" customWidth="1"/>
    <col min="276" max="276" width="9.88671875" style="188" customWidth="1"/>
    <col min="277" max="280" width="8.88671875" style="188"/>
    <col min="281" max="281" width="15" style="188" customWidth="1"/>
    <col min="282" max="282" width="6.44140625" style="188" customWidth="1"/>
    <col min="283" max="283" width="5.6640625" style="188" customWidth="1"/>
    <col min="284" max="284" width="9.109375" style="188" customWidth="1"/>
    <col min="285" max="287" width="8.88671875" style="188"/>
    <col min="288" max="288" width="11.6640625" style="188" customWidth="1"/>
    <col min="289" max="512" width="8.88671875" style="188"/>
    <col min="513" max="513" width="6.44140625" style="188" customWidth="1"/>
    <col min="514" max="514" width="43.33203125" style="188" customWidth="1"/>
    <col min="515" max="515" width="11.109375" style="188" customWidth="1"/>
    <col min="516" max="516" width="13.109375" style="188" customWidth="1"/>
    <col min="517" max="517" width="13.88671875" style="188" customWidth="1"/>
    <col min="518" max="518" width="8.33203125" style="188" customWidth="1"/>
    <col min="519" max="519" width="13" style="188" customWidth="1"/>
    <col min="520" max="520" width="8.109375" style="188" customWidth="1"/>
    <col min="521" max="521" width="7.88671875" style="188" customWidth="1"/>
    <col min="522" max="522" width="11.109375" style="188" customWidth="1"/>
    <col min="523" max="523" width="9.44140625" style="188" customWidth="1"/>
    <col min="524" max="524" width="9.5546875" style="188" customWidth="1"/>
    <col min="525" max="525" width="10.77734375" style="188" customWidth="1"/>
    <col min="526" max="526" width="6.5546875" style="188" customWidth="1"/>
    <col min="527" max="527" width="7.5546875" style="188" customWidth="1"/>
    <col min="528" max="528" width="10.109375" style="188" customWidth="1"/>
    <col min="529" max="529" width="9.44140625" style="188" customWidth="1"/>
    <col min="530" max="530" width="11" style="188" customWidth="1"/>
    <col min="531" max="531" width="14" style="188" customWidth="1"/>
    <col min="532" max="532" width="9.88671875" style="188" customWidth="1"/>
    <col min="533" max="536" width="8.88671875" style="188"/>
    <col min="537" max="537" width="15" style="188" customWidth="1"/>
    <col min="538" max="538" width="6.44140625" style="188" customWidth="1"/>
    <col min="539" max="539" width="5.6640625" style="188" customWidth="1"/>
    <col min="540" max="540" width="9.109375" style="188" customWidth="1"/>
    <col min="541" max="543" width="8.88671875" style="188"/>
    <col min="544" max="544" width="11.6640625" style="188" customWidth="1"/>
    <col min="545" max="768" width="8.88671875" style="188"/>
    <col min="769" max="769" width="6.44140625" style="188" customWidth="1"/>
    <col min="770" max="770" width="43.33203125" style="188" customWidth="1"/>
    <col min="771" max="771" width="11.109375" style="188" customWidth="1"/>
    <col min="772" max="772" width="13.109375" style="188" customWidth="1"/>
    <col min="773" max="773" width="13.88671875" style="188" customWidth="1"/>
    <col min="774" max="774" width="8.33203125" style="188" customWidth="1"/>
    <col min="775" max="775" width="13" style="188" customWidth="1"/>
    <col min="776" max="776" width="8.109375" style="188" customWidth="1"/>
    <col min="777" max="777" width="7.88671875" style="188" customWidth="1"/>
    <col min="778" max="778" width="11.109375" style="188" customWidth="1"/>
    <col min="779" max="779" width="9.44140625" style="188" customWidth="1"/>
    <col min="780" max="780" width="9.5546875" style="188" customWidth="1"/>
    <col min="781" max="781" width="10.77734375" style="188" customWidth="1"/>
    <col min="782" max="782" width="6.5546875" style="188" customWidth="1"/>
    <col min="783" max="783" width="7.5546875" style="188" customWidth="1"/>
    <col min="784" max="784" width="10.109375" style="188" customWidth="1"/>
    <col min="785" max="785" width="9.44140625" style="188" customWidth="1"/>
    <col min="786" max="786" width="11" style="188" customWidth="1"/>
    <col min="787" max="787" width="14" style="188" customWidth="1"/>
    <col min="788" max="788" width="9.88671875" style="188" customWidth="1"/>
    <col min="789" max="792" width="8.88671875" style="188"/>
    <col min="793" max="793" width="15" style="188" customWidth="1"/>
    <col min="794" max="794" width="6.44140625" style="188" customWidth="1"/>
    <col min="795" max="795" width="5.6640625" style="188" customWidth="1"/>
    <col min="796" max="796" width="9.109375" style="188" customWidth="1"/>
    <col min="797" max="799" width="8.88671875" style="188"/>
    <col min="800" max="800" width="11.6640625" style="188" customWidth="1"/>
    <col min="801" max="1024" width="8.88671875" style="188"/>
    <col min="1025" max="1025" width="6.44140625" style="188" customWidth="1"/>
    <col min="1026" max="1026" width="43.33203125" style="188" customWidth="1"/>
    <col min="1027" max="1027" width="11.109375" style="188" customWidth="1"/>
    <col min="1028" max="1028" width="13.109375" style="188" customWidth="1"/>
    <col min="1029" max="1029" width="13.88671875" style="188" customWidth="1"/>
    <col min="1030" max="1030" width="8.33203125" style="188" customWidth="1"/>
    <col min="1031" max="1031" width="13" style="188" customWidth="1"/>
    <col min="1032" max="1032" width="8.109375" style="188" customWidth="1"/>
    <col min="1033" max="1033" width="7.88671875" style="188" customWidth="1"/>
    <col min="1034" max="1034" width="11.109375" style="188" customWidth="1"/>
    <col min="1035" max="1035" width="9.44140625" style="188" customWidth="1"/>
    <col min="1036" max="1036" width="9.5546875" style="188" customWidth="1"/>
    <col min="1037" max="1037" width="10.77734375" style="188" customWidth="1"/>
    <col min="1038" max="1038" width="6.5546875" style="188" customWidth="1"/>
    <col min="1039" max="1039" width="7.5546875" style="188" customWidth="1"/>
    <col min="1040" max="1040" width="10.109375" style="188" customWidth="1"/>
    <col min="1041" max="1041" width="9.44140625" style="188" customWidth="1"/>
    <col min="1042" max="1042" width="11" style="188" customWidth="1"/>
    <col min="1043" max="1043" width="14" style="188" customWidth="1"/>
    <col min="1044" max="1044" width="9.88671875" style="188" customWidth="1"/>
    <col min="1045" max="1048" width="8.88671875" style="188"/>
    <col min="1049" max="1049" width="15" style="188" customWidth="1"/>
    <col min="1050" max="1050" width="6.44140625" style="188" customWidth="1"/>
    <col min="1051" max="1051" width="5.6640625" style="188" customWidth="1"/>
    <col min="1052" max="1052" width="9.109375" style="188" customWidth="1"/>
    <col min="1053" max="1055" width="8.88671875" style="188"/>
    <col min="1056" max="1056" width="11.6640625" style="188" customWidth="1"/>
    <col min="1057" max="1280" width="8.88671875" style="188"/>
    <col min="1281" max="1281" width="6.44140625" style="188" customWidth="1"/>
    <col min="1282" max="1282" width="43.33203125" style="188" customWidth="1"/>
    <col min="1283" max="1283" width="11.109375" style="188" customWidth="1"/>
    <col min="1284" max="1284" width="13.109375" style="188" customWidth="1"/>
    <col min="1285" max="1285" width="13.88671875" style="188" customWidth="1"/>
    <col min="1286" max="1286" width="8.33203125" style="188" customWidth="1"/>
    <col min="1287" max="1287" width="13" style="188" customWidth="1"/>
    <col min="1288" max="1288" width="8.109375" style="188" customWidth="1"/>
    <col min="1289" max="1289" width="7.88671875" style="188" customWidth="1"/>
    <col min="1290" max="1290" width="11.109375" style="188" customWidth="1"/>
    <col min="1291" max="1291" width="9.44140625" style="188" customWidth="1"/>
    <col min="1292" max="1292" width="9.5546875" style="188" customWidth="1"/>
    <col min="1293" max="1293" width="10.77734375" style="188" customWidth="1"/>
    <col min="1294" max="1294" width="6.5546875" style="188" customWidth="1"/>
    <col min="1295" max="1295" width="7.5546875" style="188" customWidth="1"/>
    <col min="1296" max="1296" width="10.109375" style="188" customWidth="1"/>
    <col min="1297" max="1297" width="9.44140625" style="188" customWidth="1"/>
    <col min="1298" max="1298" width="11" style="188" customWidth="1"/>
    <col min="1299" max="1299" width="14" style="188" customWidth="1"/>
    <col min="1300" max="1300" width="9.88671875" style="188" customWidth="1"/>
    <col min="1301" max="1304" width="8.88671875" style="188"/>
    <col min="1305" max="1305" width="15" style="188" customWidth="1"/>
    <col min="1306" max="1306" width="6.44140625" style="188" customWidth="1"/>
    <col min="1307" max="1307" width="5.6640625" style="188" customWidth="1"/>
    <col min="1308" max="1308" width="9.109375" style="188" customWidth="1"/>
    <col min="1309" max="1311" width="8.88671875" style="188"/>
    <col min="1312" max="1312" width="11.6640625" style="188" customWidth="1"/>
    <col min="1313" max="1536" width="8.88671875" style="188"/>
    <col min="1537" max="1537" width="6.44140625" style="188" customWidth="1"/>
    <col min="1538" max="1538" width="43.33203125" style="188" customWidth="1"/>
    <col min="1539" max="1539" width="11.109375" style="188" customWidth="1"/>
    <col min="1540" max="1540" width="13.109375" style="188" customWidth="1"/>
    <col min="1541" max="1541" width="13.88671875" style="188" customWidth="1"/>
    <col min="1542" max="1542" width="8.33203125" style="188" customWidth="1"/>
    <col min="1543" max="1543" width="13" style="188" customWidth="1"/>
    <col min="1544" max="1544" width="8.109375" style="188" customWidth="1"/>
    <col min="1545" max="1545" width="7.88671875" style="188" customWidth="1"/>
    <col min="1546" max="1546" width="11.109375" style="188" customWidth="1"/>
    <col min="1547" max="1547" width="9.44140625" style="188" customWidth="1"/>
    <col min="1548" max="1548" width="9.5546875" style="188" customWidth="1"/>
    <col min="1549" max="1549" width="10.77734375" style="188" customWidth="1"/>
    <col min="1550" max="1550" width="6.5546875" style="188" customWidth="1"/>
    <col min="1551" max="1551" width="7.5546875" style="188" customWidth="1"/>
    <col min="1552" max="1552" width="10.109375" style="188" customWidth="1"/>
    <col min="1553" max="1553" width="9.44140625" style="188" customWidth="1"/>
    <col min="1554" max="1554" width="11" style="188" customWidth="1"/>
    <col min="1555" max="1555" width="14" style="188" customWidth="1"/>
    <col min="1556" max="1556" width="9.88671875" style="188" customWidth="1"/>
    <col min="1557" max="1560" width="8.88671875" style="188"/>
    <col min="1561" max="1561" width="15" style="188" customWidth="1"/>
    <col min="1562" max="1562" width="6.44140625" style="188" customWidth="1"/>
    <col min="1563" max="1563" width="5.6640625" style="188" customWidth="1"/>
    <col min="1564" max="1564" width="9.109375" style="188" customWidth="1"/>
    <col min="1565" max="1567" width="8.88671875" style="188"/>
    <col min="1568" max="1568" width="11.6640625" style="188" customWidth="1"/>
    <col min="1569" max="1792" width="8.88671875" style="188"/>
    <col min="1793" max="1793" width="6.44140625" style="188" customWidth="1"/>
    <col min="1794" max="1794" width="43.33203125" style="188" customWidth="1"/>
    <col min="1795" max="1795" width="11.109375" style="188" customWidth="1"/>
    <col min="1796" max="1796" width="13.109375" style="188" customWidth="1"/>
    <col min="1797" max="1797" width="13.88671875" style="188" customWidth="1"/>
    <col min="1798" max="1798" width="8.33203125" style="188" customWidth="1"/>
    <col min="1799" max="1799" width="13" style="188" customWidth="1"/>
    <col min="1800" max="1800" width="8.109375" style="188" customWidth="1"/>
    <col min="1801" max="1801" width="7.88671875" style="188" customWidth="1"/>
    <col min="1802" max="1802" width="11.109375" style="188" customWidth="1"/>
    <col min="1803" max="1803" width="9.44140625" style="188" customWidth="1"/>
    <col min="1804" max="1804" width="9.5546875" style="188" customWidth="1"/>
    <col min="1805" max="1805" width="10.77734375" style="188" customWidth="1"/>
    <col min="1806" max="1806" width="6.5546875" style="188" customWidth="1"/>
    <col min="1807" max="1807" width="7.5546875" style="188" customWidth="1"/>
    <col min="1808" max="1808" width="10.109375" style="188" customWidth="1"/>
    <col min="1809" max="1809" width="9.44140625" style="188" customWidth="1"/>
    <col min="1810" max="1810" width="11" style="188" customWidth="1"/>
    <col min="1811" max="1811" width="14" style="188" customWidth="1"/>
    <col min="1812" max="1812" width="9.88671875" style="188" customWidth="1"/>
    <col min="1813" max="1816" width="8.88671875" style="188"/>
    <col min="1817" max="1817" width="15" style="188" customWidth="1"/>
    <col min="1818" max="1818" width="6.44140625" style="188" customWidth="1"/>
    <col min="1819" max="1819" width="5.6640625" style="188" customWidth="1"/>
    <col min="1820" max="1820" width="9.109375" style="188" customWidth="1"/>
    <col min="1821" max="1823" width="8.88671875" style="188"/>
    <col min="1824" max="1824" width="11.6640625" style="188" customWidth="1"/>
    <col min="1825" max="2048" width="8.88671875" style="188"/>
    <col min="2049" max="2049" width="6.44140625" style="188" customWidth="1"/>
    <col min="2050" max="2050" width="43.33203125" style="188" customWidth="1"/>
    <col min="2051" max="2051" width="11.109375" style="188" customWidth="1"/>
    <col min="2052" max="2052" width="13.109375" style="188" customWidth="1"/>
    <col min="2053" max="2053" width="13.88671875" style="188" customWidth="1"/>
    <col min="2054" max="2054" width="8.33203125" style="188" customWidth="1"/>
    <col min="2055" max="2055" width="13" style="188" customWidth="1"/>
    <col min="2056" max="2056" width="8.109375" style="188" customWidth="1"/>
    <col min="2057" max="2057" width="7.88671875" style="188" customWidth="1"/>
    <col min="2058" max="2058" width="11.109375" style="188" customWidth="1"/>
    <col min="2059" max="2059" width="9.44140625" style="188" customWidth="1"/>
    <col min="2060" max="2060" width="9.5546875" style="188" customWidth="1"/>
    <col min="2061" max="2061" width="10.77734375" style="188" customWidth="1"/>
    <col min="2062" max="2062" width="6.5546875" style="188" customWidth="1"/>
    <col min="2063" max="2063" width="7.5546875" style="188" customWidth="1"/>
    <col min="2064" max="2064" width="10.109375" style="188" customWidth="1"/>
    <col min="2065" max="2065" width="9.44140625" style="188" customWidth="1"/>
    <col min="2066" max="2066" width="11" style="188" customWidth="1"/>
    <col min="2067" max="2067" width="14" style="188" customWidth="1"/>
    <col min="2068" max="2068" width="9.88671875" style="188" customWidth="1"/>
    <col min="2069" max="2072" width="8.88671875" style="188"/>
    <col min="2073" max="2073" width="15" style="188" customWidth="1"/>
    <col min="2074" max="2074" width="6.44140625" style="188" customWidth="1"/>
    <col min="2075" max="2075" width="5.6640625" style="188" customWidth="1"/>
    <col min="2076" max="2076" width="9.109375" style="188" customWidth="1"/>
    <col min="2077" max="2079" width="8.88671875" style="188"/>
    <col min="2080" max="2080" width="11.6640625" style="188" customWidth="1"/>
    <col min="2081" max="2304" width="8.88671875" style="188"/>
    <col min="2305" max="2305" width="6.44140625" style="188" customWidth="1"/>
    <col min="2306" max="2306" width="43.33203125" style="188" customWidth="1"/>
    <col min="2307" max="2307" width="11.109375" style="188" customWidth="1"/>
    <col min="2308" max="2308" width="13.109375" style="188" customWidth="1"/>
    <col min="2309" max="2309" width="13.88671875" style="188" customWidth="1"/>
    <col min="2310" max="2310" width="8.33203125" style="188" customWidth="1"/>
    <col min="2311" max="2311" width="13" style="188" customWidth="1"/>
    <col min="2312" max="2312" width="8.109375" style="188" customWidth="1"/>
    <col min="2313" max="2313" width="7.88671875" style="188" customWidth="1"/>
    <col min="2314" max="2314" width="11.109375" style="188" customWidth="1"/>
    <col min="2315" max="2315" width="9.44140625" style="188" customWidth="1"/>
    <col min="2316" max="2316" width="9.5546875" style="188" customWidth="1"/>
    <col min="2317" max="2317" width="10.77734375" style="188" customWidth="1"/>
    <col min="2318" max="2318" width="6.5546875" style="188" customWidth="1"/>
    <col min="2319" max="2319" width="7.5546875" style="188" customWidth="1"/>
    <col min="2320" max="2320" width="10.109375" style="188" customWidth="1"/>
    <col min="2321" max="2321" width="9.44140625" style="188" customWidth="1"/>
    <col min="2322" max="2322" width="11" style="188" customWidth="1"/>
    <col min="2323" max="2323" width="14" style="188" customWidth="1"/>
    <col min="2324" max="2324" width="9.88671875" style="188" customWidth="1"/>
    <col min="2325" max="2328" width="8.88671875" style="188"/>
    <col min="2329" max="2329" width="15" style="188" customWidth="1"/>
    <col min="2330" max="2330" width="6.44140625" style="188" customWidth="1"/>
    <col min="2331" max="2331" width="5.6640625" style="188" customWidth="1"/>
    <col min="2332" max="2332" width="9.109375" style="188" customWidth="1"/>
    <col min="2333" max="2335" width="8.88671875" style="188"/>
    <col min="2336" max="2336" width="11.6640625" style="188" customWidth="1"/>
    <col min="2337" max="2560" width="8.88671875" style="188"/>
    <col min="2561" max="2561" width="6.44140625" style="188" customWidth="1"/>
    <col min="2562" max="2562" width="43.33203125" style="188" customWidth="1"/>
    <col min="2563" max="2563" width="11.109375" style="188" customWidth="1"/>
    <col min="2564" max="2564" width="13.109375" style="188" customWidth="1"/>
    <col min="2565" max="2565" width="13.88671875" style="188" customWidth="1"/>
    <col min="2566" max="2566" width="8.33203125" style="188" customWidth="1"/>
    <col min="2567" max="2567" width="13" style="188" customWidth="1"/>
    <col min="2568" max="2568" width="8.109375" style="188" customWidth="1"/>
    <col min="2569" max="2569" width="7.88671875" style="188" customWidth="1"/>
    <col min="2570" max="2570" width="11.109375" style="188" customWidth="1"/>
    <col min="2571" max="2571" width="9.44140625" style="188" customWidth="1"/>
    <col min="2572" max="2572" width="9.5546875" style="188" customWidth="1"/>
    <col min="2573" max="2573" width="10.77734375" style="188" customWidth="1"/>
    <col min="2574" max="2574" width="6.5546875" style="188" customWidth="1"/>
    <col min="2575" max="2575" width="7.5546875" style="188" customWidth="1"/>
    <col min="2576" max="2576" width="10.109375" style="188" customWidth="1"/>
    <col min="2577" max="2577" width="9.44140625" style="188" customWidth="1"/>
    <col min="2578" max="2578" width="11" style="188" customWidth="1"/>
    <col min="2579" max="2579" width="14" style="188" customWidth="1"/>
    <col min="2580" max="2580" width="9.88671875" style="188" customWidth="1"/>
    <col min="2581" max="2584" width="8.88671875" style="188"/>
    <col min="2585" max="2585" width="15" style="188" customWidth="1"/>
    <col min="2586" max="2586" width="6.44140625" style="188" customWidth="1"/>
    <col min="2587" max="2587" width="5.6640625" style="188" customWidth="1"/>
    <col min="2588" max="2588" width="9.109375" style="188" customWidth="1"/>
    <col min="2589" max="2591" width="8.88671875" style="188"/>
    <col min="2592" max="2592" width="11.6640625" style="188" customWidth="1"/>
    <col min="2593" max="2816" width="8.88671875" style="188"/>
    <col min="2817" max="2817" width="6.44140625" style="188" customWidth="1"/>
    <col min="2818" max="2818" width="43.33203125" style="188" customWidth="1"/>
    <col min="2819" max="2819" width="11.109375" style="188" customWidth="1"/>
    <col min="2820" max="2820" width="13.109375" style="188" customWidth="1"/>
    <col min="2821" max="2821" width="13.88671875" style="188" customWidth="1"/>
    <col min="2822" max="2822" width="8.33203125" style="188" customWidth="1"/>
    <col min="2823" max="2823" width="13" style="188" customWidth="1"/>
    <col min="2824" max="2824" width="8.109375" style="188" customWidth="1"/>
    <col min="2825" max="2825" width="7.88671875" style="188" customWidth="1"/>
    <col min="2826" max="2826" width="11.109375" style="188" customWidth="1"/>
    <col min="2827" max="2827" width="9.44140625" style="188" customWidth="1"/>
    <col min="2828" max="2828" width="9.5546875" style="188" customWidth="1"/>
    <col min="2829" max="2829" width="10.77734375" style="188" customWidth="1"/>
    <col min="2830" max="2830" width="6.5546875" style="188" customWidth="1"/>
    <col min="2831" max="2831" width="7.5546875" style="188" customWidth="1"/>
    <col min="2832" max="2832" width="10.109375" style="188" customWidth="1"/>
    <col min="2833" max="2833" width="9.44140625" style="188" customWidth="1"/>
    <col min="2834" max="2834" width="11" style="188" customWidth="1"/>
    <col min="2835" max="2835" width="14" style="188" customWidth="1"/>
    <col min="2836" max="2836" width="9.88671875" style="188" customWidth="1"/>
    <col min="2837" max="2840" width="8.88671875" style="188"/>
    <col min="2841" max="2841" width="15" style="188" customWidth="1"/>
    <col min="2842" max="2842" width="6.44140625" style="188" customWidth="1"/>
    <col min="2843" max="2843" width="5.6640625" style="188" customWidth="1"/>
    <col min="2844" max="2844" width="9.109375" style="188" customWidth="1"/>
    <col min="2845" max="2847" width="8.88671875" style="188"/>
    <col min="2848" max="2848" width="11.6640625" style="188" customWidth="1"/>
    <col min="2849" max="3072" width="8.88671875" style="188"/>
    <col min="3073" max="3073" width="6.44140625" style="188" customWidth="1"/>
    <col min="3074" max="3074" width="43.33203125" style="188" customWidth="1"/>
    <col min="3075" max="3075" width="11.109375" style="188" customWidth="1"/>
    <col min="3076" max="3076" width="13.109375" style="188" customWidth="1"/>
    <col min="3077" max="3077" width="13.88671875" style="188" customWidth="1"/>
    <col min="3078" max="3078" width="8.33203125" style="188" customWidth="1"/>
    <col min="3079" max="3079" width="13" style="188" customWidth="1"/>
    <col min="3080" max="3080" width="8.109375" style="188" customWidth="1"/>
    <col min="3081" max="3081" width="7.88671875" style="188" customWidth="1"/>
    <col min="3082" max="3082" width="11.109375" style="188" customWidth="1"/>
    <col min="3083" max="3083" width="9.44140625" style="188" customWidth="1"/>
    <col min="3084" max="3084" width="9.5546875" style="188" customWidth="1"/>
    <col min="3085" max="3085" width="10.77734375" style="188" customWidth="1"/>
    <col min="3086" max="3086" width="6.5546875" style="188" customWidth="1"/>
    <col min="3087" max="3087" width="7.5546875" style="188" customWidth="1"/>
    <col min="3088" max="3088" width="10.109375" style="188" customWidth="1"/>
    <col min="3089" max="3089" width="9.44140625" style="188" customWidth="1"/>
    <col min="3090" max="3090" width="11" style="188" customWidth="1"/>
    <col min="3091" max="3091" width="14" style="188" customWidth="1"/>
    <col min="3092" max="3092" width="9.88671875" style="188" customWidth="1"/>
    <col min="3093" max="3096" width="8.88671875" style="188"/>
    <col min="3097" max="3097" width="15" style="188" customWidth="1"/>
    <col min="3098" max="3098" width="6.44140625" style="188" customWidth="1"/>
    <col min="3099" max="3099" width="5.6640625" style="188" customWidth="1"/>
    <col min="3100" max="3100" width="9.109375" style="188" customWidth="1"/>
    <col min="3101" max="3103" width="8.88671875" style="188"/>
    <col min="3104" max="3104" width="11.6640625" style="188" customWidth="1"/>
    <col min="3105" max="3328" width="8.88671875" style="188"/>
    <col min="3329" max="3329" width="6.44140625" style="188" customWidth="1"/>
    <col min="3330" max="3330" width="43.33203125" style="188" customWidth="1"/>
    <col min="3331" max="3331" width="11.109375" style="188" customWidth="1"/>
    <col min="3332" max="3332" width="13.109375" style="188" customWidth="1"/>
    <col min="3333" max="3333" width="13.88671875" style="188" customWidth="1"/>
    <col min="3334" max="3334" width="8.33203125" style="188" customWidth="1"/>
    <col min="3335" max="3335" width="13" style="188" customWidth="1"/>
    <col min="3336" max="3336" width="8.109375" style="188" customWidth="1"/>
    <col min="3337" max="3337" width="7.88671875" style="188" customWidth="1"/>
    <col min="3338" max="3338" width="11.109375" style="188" customWidth="1"/>
    <col min="3339" max="3339" width="9.44140625" style="188" customWidth="1"/>
    <col min="3340" max="3340" width="9.5546875" style="188" customWidth="1"/>
    <col min="3341" max="3341" width="10.77734375" style="188" customWidth="1"/>
    <col min="3342" max="3342" width="6.5546875" style="188" customWidth="1"/>
    <col min="3343" max="3343" width="7.5546875" style="188" customWidth="1"/>
    <col min="3344" max="3344" width="10.109375" style="188" customWidth="1"/>
    <col min="3345" max="3345" width="9.44140625" style="188" customWidth="1"/>
    <col min="3346" max="3346" width="11" style="188" customWidth="1"/>
    <col min="3347" max="3347" width="14" style="188" customWidth="1"/>
    <col min="3348" max="3348" width="9.88671875" style="188" customWidth="1"/>
    <col min="3349" max="3352" width="8.88671875" style="188"/>
    <col min="3353" max="3353" width="15" style="188" customWidth="1"/>
    <col min="3354" max="3354" width="6.44140625" style="188" customWidth="1"/>
    <col min="3355" max="3355" width="5.6640625" style="188" customWidth="1"/>
    <col min="3356" max="3356" width="9.109375" style="188" customWidth="1"/>
    <col min="3357" max="3359" width="8.88671875" style="188"/>
    <col min="3360" max="3360" width="11.6640625" style="188" customWidth="1"/>
    <col min="3361" max="3584" width="8.88671875" style="188"/>
    <col min="3585" max="3585" width="6.44140625" style="188" customWidth="1"/>
    <col min="3586" max="3586" width="43.33203125" style="188" customWidth="1"/>
    <col min="3587" max="3587" width="11.109375" style="188" customWidth="1"/>
    <col min="3588" max="3588" width="13.109375" style="188" customWidth="1"/>
    <col min="3589" max="3589" width="13.88671875" style="188" customWidth="1"/>
    <col min="3590" max="3590" width="8.33203125" style="188" customWidth="1"/>
    <col min="3591" max="3591" width="13" style="188" customWidth="1"/>
    <col min="3592" max="3592" width="8.109375" style="188" customWidth="1"/>
    <col min="3593" max="3593" width="7.88671875" style="188" customWidth="1"/>
    <col min="3594" max="3594" width="11.109375" style="188" customWidth="1"/>
    <col min="3595" max="3595" width="9.44140625" style="188" customWidth="1"/>
    <col min="3596" max="3596" width="9.5546875" style="188" customWidth="1"/>
    <col min="3597" max="3597" width="10.77734375" style="188" customWidth="1"/>
    <col min="3598" max="3598" width="6.5546875" style="188" customWidth="1"/>
    <col min="3599" max="3599" width="7.5546875" style="188" customWidth="1"/>
    <col min="3600" max="3600" width="10.109375" style="188" customWidth="1"/>
    <col min="3601" max="3601" width="9.44140625" style="188" customWidth="1"/>
    <col min="3602" max="3602" width="11" style="188" customWidth="1"/>
    <col min="3603" max="3603" width="14" style="188" customWidth="1"/>
    <col min="3604" max="3604" width="9.88671875" style="188" customWidth="1"/>
    <col min="3605" max="3608" width="8.88671875" style="188"/>
    <col min="3609" max="3609" width="15" style="188" customWidth="1"/>
    <col min="3610" max="3610" width="6.44140625" style="188" customWidth="1"/>
    <col min="3611" max="3611" width="5.6640625" style="188" customWidth="1"/>
    <col min="3612" max="3612" width="9.109375" style="188" customWidth="1"/>
    <col min="3613" max="3615" width="8.88671875" style="188"/>
    <col min="3616" max="3616" width="11.6640625" style="188" customWidth="1"/>
    <col min="3617" max="3840" width="8.88671875" style="188"/>
    <col min="3841" max="3841" width="6.44140625" style="188" customWidth="1"/>
    <col min="3842" max="3842" width="43.33203125" style="188" customWidth="1"/>
    <col min="3843" max="3843" width="11.109375" style="188" customWidth="1"/>
    <col min="3844" max="3844" width="13.109375" style="188" customWidth="1"/>
    <col min="3845" max="3845" width="13.88671875" style="188" customWidth="1"/>
    <col min="3846" max="3846" width="8.33203125" style="188" customWidth="1"/>
    <col min="3847" max="3847" width="13" style="188" customWidth="1"/>
    <col min="3848" max="3848" width="8.109375" style="188" customWidth="1"/>
    <col min="3849" max="3849" width="7.88671875" style="188" customWidth="1"/>
    <col min="3850" max="3850" width="11.109375" style="188" customWidth="1"/>
    <col min="3851" max="3851" width="9.44140625" style="188" customWidth="1"/>
    <col min="3852" max="3852" width="9.5546875" style="188" customWidth="1"/>
    <col min="3853" max="3853" width="10.77734375" style="188" customWidth="1"/>
    <col min="3854" max="3854" width="6.5546875" style="188" customWidth="1"/>
    <col min="3855" max="3855" width="7.5546875" style="188" customWidth="1"/>
    <col min="3856" max="3856" width="10.109375" style="188" customWidth="1"/>
    <col min="3857" max="3857" width="9.44140625" style="188" customWidth="1"/>
    <col min="3858" max="3858" width="11" style="188" customWidth="1"/>
    <col min="3859" max="3859" width="14" style="188" customWidth="1"/>
    <col min="3860" max="3860" width="9.88671875" style="188" customWidth="1"/>
    <col min="3861" max="3864" width="8.88671875" style="188"/>
    <col min="3865" max="3865" width="15" style="188" customWidth="1"/>
    <col min="3866" max="3866" width="6.44140625" style="188" customWidth="1"/>
    <col min="3867" max="3867" width="5.6640625" style="188" customWidth="1"/>
    <col min="3868" max="3868" width="9.109375" style="188" customWidth="1"/>
    <col min="3869" max="3871" width="8.88671875" style="188"/>
    <col min="3872" max="3872" width="11.6640625" style="188" customWidth="1"/>
    <col min="3873" max="4096" width="8.88671875" style="188"/>
    <col min="4097" max="4097" width="6.44140625" style="188" customWidth="1"/>
    <col min="4098" max="4098" width="43.33203125" style="188" customWidth="1"/>
    <col min="4099" max="4099" width="11.109375" style="188" customWidth="1"/>
    <col min="4100" max="4100" width="13.109375" style="188" customWidth="1"/>
    <col min="4101" max="4101" width="13.88671875" style="188" customWidth="1"/>
    <col min="4102" max="4102" width="8.33203125" style="188" customWidth="1"/>
    <col min="4103" max="4103" width="13" style="188" customWidth="1"/>
    <col min="4104" max="4104" width="8.109375" style="188" customWidth="1"/>
    <col min="4105" max="4105" width="7.88671875" style="188" customWidth="1"/>
    <col min="4106" max="4106" width="11.109375" style="188" customWidth="1"/>
    <col min="4107" max="4107" width="9.44140625" style="188" customWidth="1"/>
    <col min="4108" max="4108" width="9.5546875" style="188" customWidth="1"/>
    <col min="4109" max="4109" width="10.77734375" style="188" customWidth="1"/>
    <col min="4110" max="4110" width="6.5546875" style="188" customWidth="1"/>
    <col min="4111" max="4111" width="7.5546875" style="188" customWidth="1"/>
    <col min="4112" max="4112" width="10.109375" style="188" customWidth="1"/>
    <col min="4113" max="4113" width="9.44140625" style="188" customWidth="1"/>
    <col min="4114" max="4114" width="11" style="188" customWidth="1"/>
    <col min="4115" max="4115" width="14" style="188" customWidth="1"/>
    <col min="4116" max="4116" width="9.88671875" style="188" customWidth="1"/>
    <col min="4117" max="4120" width="8.88671875" style="188"/>
    <col min="4121" max="4121" width="15" style="188" customWidth="1"/>
    <col min="4122" max="4122" width="6.44140625" style="188" customWidth="1"/>
    <col min="4123" max="4123" width="5.6640625" style="188" customWidth="1"/>
    <col min="4124" max="4124" width="9.109375" style="188" customWidth="1"/>
    <col min="4125" max="4127" width="8.88671875" style="188"/>
    <col min="4128" max="4128" width="11.6640625" style="188" customWidth="1"/>
    <col min="4129" max="4352" width="8.88671875" style="188"/>
    <col min="4353" max="4353" width="6.44140625" style="188" customWidth="1"/>
    <col min="4354" max="4354" width="43.33203125" style="188" customWidth="1"/>
    <col min="4355" max="4355" width="11.109375" style="188" customWidth="1"/>
    <col min="4356" max="4356" width="13.109375" style="188" customWidth="1"/>
    <col min="4357" max="4357" width="13.88671875" style="188" customWidth="1"/>
    <col min="4358" max="4358" width="8.33203125" style="188" customWidth="1"/>
    <col min="4359" max="4359" width="13" style="188" customWidth="1"/>
    <col min="4360" max="4360" width="8.109375" style="188" customWidth="1"/>
    <col min="4361" max="4361" width="7.88671875" style="188" customWidth="1"/>
    <col min="4362" max="4362" width="11.109375" style="188" customWidth="1"/>
    <col min="4363" max="4363" width="9.44140625" style="188" customWidth="1"/>
    <col min="4364" max="4364" width="9.5546875" style="188" customWidth="1"/>
    <col min="4365" max="4365" width="10.77734375" style="188" customWidth="1"/>
    <col min="4366" max="4366" width="6.5546875" style="188" customWidth="1"/>
    <col min="4367" max="4367" width="7.5546875" style="188" customWidth="1"/>
    <col min="4368" max="4368" width="10.109375" style="188" customWidth="1"/>
    <col min="4369" max="4369" width="9.44140625" style="188" customWidth="1"/>
    <col min="4370" max="4370" width="11" style="188" customWidth="1"/>
    <col min="4371" max="4371" width="14" style="188" customWidth="1"/>
    <col min="4372" max="4372" width="9.88671875" style="188" customWidth="1"/>
    <col min="4373" max="4376" width="8.88671875" style="188"/>
    <col min="4377" max="4377" width="15" style="188" customWidth="1"/>
    <col min="4378" max="4378" width="6.44140625" style="188" customWidth="1"/>
    <col min="4379" max="4379" width="5.6640625" style="188" customWidth="1"/>
    <col min="4380" max="4380" width="9.109375" style="188" customWidth="1"/>
    <col min="4381" max="4383" width="8.88671875" style="188"/>
    <col min="4384" max="4384" width="11.6640625" style="188" customWidth="1"/>
    <col min="4385" max="4608" width="8.88671875" style="188"/>
    <col min="4609" max="4609" width="6.44140625" style="188" customWidth="1"/>
    <col min="4610" max="4610" width="43.33203125" style="188" customWidth="1"/>
    <col min="4611" max="4611" width="11.109375" style="188" customWidth="1"/>
    <col min="4612" max="4612" width="13.109375" style="188" customWidth="1"/>
    <col min="4613" max="4613" width="13.88671875" style="188" customWidth="1"/>
    <col min="4614" max="4614" width="8.33203125" style="188" customWidth="1"/>
    <col min="4615" max="4615" width="13" style="188" customWidth="1"/>
    <col min="4616" max="4616" width="8.109375" style="188" customWidth="1"/>
    <col min="4617" max="4617" width="7.88671875" style="188" customWidth="1"/>
    <col min="4618" max="4618" width="11.109375" style="188" customWidth="1"/>
    <col min="4619" max="4619" width="9.44140625" style="188" customWidth="1"/>
    <col min="4620" max="4620" width="9.5546875" style="188" customWidth="1"/>
    <col min="4621" max="4621" width="10.77734375" style="188" customWidth="1"/>
    <col min="4622" max="4622" width="6.5546875" style="188" customWidth="1"/>
    <col min="4623" max="4623" width="7.5546875" style="188" customWidth="1"/>
    <col min="4624" max="4624" width="10.109375" style="188" customWidth="1"/>
    <col min="4625" max="4625" width="9.44140625" style="188" customWidth="1"/>
    <col min="4626" max="4626" width="11" style="188" customWidth="1"/>
    <col min="4627" max="4627" width="14" style="188" customWidth="1"/>
    <col min="4628" max="4628" width="9.88671875" style="188" customWidth="1"/>
    <col min="4629" max="4632" width="8.88671875" style="188"/>
    <col min="4633" max="4633" width="15" style="188" customWidth="1"/>
    <col min="4634" max="4634" width="6.44140625" style="188" customWidth="1"/>
    <col min="4635" max="4635" width="5.6640625" style="188" customWidth="1"/>
    <col min="4636" max="4636" width="9.109375" style="188" customWidth="1"/>
    <col min="4637" max="4639" width="8.88671875" style="188"/>
    <col min="4640" max="4640" width="11.6640625" style="188" customWidth="1"/>
    <col min="4641" max="4864" width="8.88671875" style="188"/>
    <col min="4865" max="4865" width="6.44140625" style="188" customWidth="1"/>
    <col min="4866" max="4866" width="43.33203125" style="188" customWidth="1"/>
    <col min="4867" max="4867" width="11.109375" style="188" customWidth="1"/>
    <col min="4868" max="4868" width="13.109375" style="188" customWidth="1"/>
    <col min="4869" max="4869" width="13.88671875" style="188" customWidth="1"/>
    <col min="4870" max="4870" width="8.33203125" style="188" customWidth="1"/>
    <col min="4871" max="4871" width="13" style="188" customWidth="1"/>
    <col min="4872" max="4872" width="8.109375" style="188" customWidth="1"/>
    <col min="4873" max="4873" width="7.88671875" style="188" customWidth="1"/>
    <col min="4874" max="4874" width="11.109375" style="188" customWidth="1"/>
    <col min="4875" max="4875" width="9.44140625" style="188" customWidth="1"/>
    <col min="4876" max="4876" width="9.5546875" style="188" customWidth="1"/>
    <col min="4877" max="4877" width="10.77734375" style="188" customWidth="1"/>
    <col min="4878" max="4878" width="6.5546875" style="188" customWidth="1"/>
    <col min="4879" max="4879" width="7.5546875" style="188" customWidth="1"/>
    <col min="4880" max="4880" width="10.109375" style="188" customWidth="1"/>
    <col min="4881" max="4881" width="9.44140625" style="188" customWidth="1"/>
    <col min="4882" max="4882" width="11" style="188" customWidth="1"/>
    <col min="4883" max="4883" width="14" style="188" customWidth="1"/>
    <col min="4884" max="4884" width="9.88671875" style="188" customWidth="1"/>
    <col min="4885" max="4888" width="8.88671875" style="188"/>
    <col min="4889" max="4889" width="15" style="188" customWidth="1"/>
    <col min="4890" max="4890" width="6.44140625" style="188" customWidth="1"/>
    <col min="4891" max="4891" width="5.6640625" style="188" customWidth="1"/>
    <col min="4892" max="4892" width="9.109375" style="188" customWidth="1"/>
    <col min="4893" max="4895" width="8.88671875" style="188"/>
    <col min="4896" max="4896" width="11.6640625" style="188" customWidth="1"/>
    <col min="4897" max="5120" width="8.88671875" style="188"/>
    <col min="5121" max="5121" width="6.44140625" style="188" customWidth="1"/>
    <col min="5122" max="5122" width="43.33203125" style="188" customWidth="1"/>
    <col min="5123" max="5123" width="11.109375" style="188" customWidth="1"/>
    <col min="5124" max="5124" width="13.109375" style="188" customWidth="1"/>
    <col min="5125" max="5125" width="13.88671875" style="188" customWidth="1"/>
    <col min="5126" max="5126" width="8.33203125" style="188" customWidth="1"/>
    <col min="5127" max="5127" width="13" style="188" customWidth="1"/>
    <col min="5128" max="5128" width="8.109375" style="188" customWidth="1"/>
    <col min="5129" max="5129" width="7.88671875" style="188" customWidth="1"/>
    <col min="5130" max="5130" width="11.109375" style="188" customWidth="1"/>
    <col min="5131" max="5131" width="9.44140625" style="188" customWidth="1"/>
    <col min="5132" max="5132" width="9.5546875" style="188" customWidth="1"/>
    <col min="5133" max="5133" width="10.77734375" style="188" customWidth="1"/>
    <col min="5134" max="5134" width="6.5546875" style="188" customWidth="1"/>
    <col min="5135" max="5135" width="7.5546875" style="188" customWidth="1"/>
    <col min="5136" max="5136" width="10.109375" style="188" customWidth="1"/>
    <col min="5137" max="5137" width="9.44140625" style="188" customWidth="1"/>
    <col min="5138" max="5138" width="11" style="188" customWidth="1"/>
    <col min="5139" max="5139" width="14" style="188" customWidth="1"/>
    <col min="5140" max="5140" width="9.88671875" style="188" customWidth="1"/>
    <col min="5141" max="5144" width="8.88671875" style="188"/>
    <col min="5145" max="5145" width="15" style="188" customWidth="1"/>
    <col min="5146" max="5146" width="6.44140625" style="188" customWidth="1"/>
    <col min="5147" max="5147" width="5.6640625" style="188" customWidth="1"/>
    <col min="5148" max="5148" width="9.109375" style="188" customWidth="1"/>
    <col min="5149" max="5151" width="8.88671875" style="188"/>
    <col min="5152" max="5152" width="11.6640625" style="188" customWidth="1"/>
    <col min="5153" max="5376" width="8.88671875" style="188"/>
    <col min="5377" max="5377" width="6.44140625" style="188" customWidth="1"/>
    <col min="5378" max="5378" width="43.33203125" style="188" customWidth="1"/>
    <col min="5379" max="5379" width="11.109375" style="188" customWidth="1"/>
    <col min="5380" max="5380" width="13.109375" style="188" customWidth="1"/>
    <col min="5381" max="5381" width="13.88671875" style="188" customWidth="1"/>
    <col min="5382" max="5382" width="8.33203125" style="188" customWidth="1"/>
    <col min="5383" max="5383" width="13" style="188" customWidth="1"/>
    <col min="5384" max="5384" width="8.109375" style="188" customWidth="1"/>
    <col min="5385" max="5385" width="7.88671875" style="188" customWidth="1"/>
    <col min="5386" max="5386" width="11.109375" style="188" customWidth="1"/>
    <col min="5387" max="5387" width="9.44140625" style="188" customWidth="1"/>
    <col min="5388" max="5388" width="9.5546875" style="188" customWidth="1"/>
    <col min="5389" max="5389" width="10.77734375" style="188" customWidth="1"/>
    <col min="5390" max="5390" width="6.5546875" style="188" customWidth="1"/>
    <col min="5391" max="5391" width="7.5546875" style="188" customWidth="1"/>
    <col min="5392" max="5392" width="10.109375" style="188" customWidth="1"/>
    <col min="5393" max="5393" width="9.44140625" style="188" customWidth="1"/>
    <col min="5394" max="5394" width="11" style="188" customWidth="1"/>
    <col min="5395" max="5395" width="14" style="188" customWidth="1"/>
    <col min="5396" max="5396" width="9.88671875" style="188" customWidth="1"/>
    <col min="5397" max="5400" width="8.88671875" style="188"/>
    <col min="5401" max="5401" width="15" style="188" customWidth="1"/>
    <col min="5402" max="5402" width="6.44140625" style="188" customWidth="1"/>
    <col min="5403" max="5403" width="5.6640625" style="188" customWidth="1"/>
    <col min="5404" max="5404" width="9.109375" style="188" customWidth="1"/>
    <col min="5405" max="5407" width="8.88671875" style="188"/>
    <col min="5408" max="5408" width="11.6640625" style="188" customWidth="1"/>
    <col min="5409" max="5632" width="8.88671875" style="188"/>
    <col min="5633" max="5633" width="6.44140625" style="188" customWidth="1"/>
    <col min="5634" max="5634" width="43.33203125" style="188" customWidth="1"/>
    <col min="5635" max="5635" width="11.109375" style="188" customWidth="1"/>
    <col min="5636" max="5636" width="13.109375" style="188" customWidth="1"/>
    <col min="5637" max="5637" width="13.88671875" style="188" customWidth="1"/>
    <col min="5638" max="5638" width="8.33203125" style="188" customWidth="1"/>
    <col min="5639" max="5639" width="13" style="188" customWidth="1"/>
    <col min="5640" max="5640" width="8.109375" style="188" customWidth="1"/>
    <col min="5641" max="5641" width="7.88671875" style="188" customWidth="1"/>
    <col min="5642" max="5642" width="11.109375" style="188" customWidth="1"/>
    <col min="5643" max="5643" width="9.44140625" style="188" customWidth="1"/>
    <col min="5644" max="5644" width="9.5546875" style="188" customWidth="1"/>
    <col min="5645" max="5645" width="10.77734375" style="188" customWidth="1"/>
    <col min="5646" max="5646" width="6.5546875" style="188" customWidth="1"/>
    <col min="5647" max="5647" width="7.5546875" style="188" customWidth="1"/>
    <col min="5648" max="5648" width="10.109375" style="188" customWidth="1"/>
    <col min="5649" max="5649" width="9.44140625" style="188" customWidth="1"/>
    <col min="5650" max="5650" width="11" style="188" customWidth="1"/>
    <col min="5651" max="5651" width="14" style="188" customWidth="1"/>
    <col min="5652" max="5652" width="9.88671875" style="188" customWidth="1"/>
    <col min="5653" max="5656" width="8.88671875" style="188"/>
    <col min="5657" max="5657" width="15" style="188" customWidth="1"/>
    <col min="5658" max="5658" width="6.44140625" style="188" customWidth="1"/>
    <col min="5659" max="5659" width="5.6640625" style="188" customWidth="1"/>
    <col min="5660" max="5660" width="9.109375" style="188" customWidth="1"/>
    <col min="5661" max="5663" width="8.88671875" style="188"/>
    <col min="5664" max="5664" width="11.6640625" style="188" customWidth="1"/>
    <col min="5665" max="5888" width="8.88671875" style="188"/>
    <col min="5889" max="5889" width="6.44140625" style="188" customWidth="1"/>
    <col min="5890" max="5890" width="43.33203125" style="188" customWidth="1"/>
    <col min="5891" max="5891" width="11.109375" style="188" customWidth="1"/>
    <col min="5892" max="5892" width="13.109375" style="188" customWidth="1"/>
    <col min="5893" max="5893" width="13.88671875" style="188" customWidth="1"/>
    <col min="5894" max="5894" width="8.33203125" style="188" customWidth="1"/>
    <col min="5895" max="5895" width="13" style="188" customWidth="1"/>
    <col min="5896" max="5896" width="8.109375" style="188" customWidth="1"/>
    <col min="5897" max="5897" width="7.88671875" style="188" customWidth="1"/>
    <col min="5898" max="5898" width="11.109375" style="188" customWidth="1"/>
    <col min="5899" max="5899" width="9.44140625" style="188" customWidth="1"/>
    <col min="5900" max="5900" width="9.5546875" style="188" customWidth="1"/>
    <col min="5901" max="5901" width="10.77734375" style="188" customWidth="1"/>
    <col min="5902" max="5902" width="6.5546875" style="188" customWidth="1"/>
    <col min="5903" max="5903" width="7.5546875" style="188" customWidth="1"/>
    <col min="5904" max="5904" width="10.109375" style="188" customWidth="1"/>
    <col min="5905" max="5905" width="9.44140625" style="188" customWidth="1"/>
    <col min="5906" max="5906" width="11" style="188" customWidth="1"/>
    <col min="5907" max="5907" width="14" style="188" customWidth="1"/>
    <col min="5908" max="5908" width="9.88671875" style="188" customWidth="1"/>
    <col min="5909" max="5912" width="8.88671875" style="188"/>
    <col min="5913" max="5913" width="15" style="188" customWidth="1"/>
    <col min="5914" max="5914" width="6.44140625" style="188" customWidth="1"/>
    <col min="5915" max="5915" width="5.6640625" style="188" customWidth="1"/>
    <col min="5916" max="5916" width="9.109375" style="188" customWidth="1"/>
    <col min="5917" max="5919" width="8.88671875" style="188"/>
    <col min="5920" max="5920" width="11.6640625" style="188" customWidth="1"/>
    <col min="5921" max="6144" width="8.88671875" style="188"/>
    <col min="6145" max="6145" width="6.44140625" style="188" customWidth="1"/>
    <col min="6146" max="6146" width="43.33203125" style="188" customWidth="1"/>
    <col min="6147" max="6147" width="11.109375" style="188" customWidth="1"/>
    <col min="6148" max="6148" width="13.109375" style="188" customWidth="1"/>
    <col min="6149" max="6149" width="13.88671875" style="188" customWidth="1"/>
    <col min="6150" max="6150" width="8.33203125" style="188" customWidth="1"/>
    <col min="6151" max="6151" width="13" style="188" customWidth="1"/>
    <col min="6152" max="6152" width="8.109375" style="188" customWidth="1"/>
    <col min="6153" max="6153" width="7.88671875" style="188" customWidth="1"/>
    <col min="6154" max="6154" width="11.109375" style="188" customWidth="1"/>
    <col min="6155" max="6155" width="9.44140625" style="188" customWidth="1"/>
    <col min="6156" max="6156" width="9.5546875" style="188" customWidth="1"/>
    <col min="6157" max="6157" width="10.77734375" style="188" customWidth="1"/>
    <col min="6158" max="6158" width="6.5546875" style="188" customWidth="1"/>
    <col min="6159" max="6159" width="7.5546875" style="188" customWidth="1"/>
    <col min="6160" max="6160" width="10.109375" style="188" customWidth="1"/>
    <col min="6161" max="6161" width="9.44140625" style="188" customWidth="1"/>
    <col min="6162" max="6162" width="11" style="188" customWidth="1"/>
    <col min="6163" max="6163" width="14" style="188" customWidth="1"/>
    <col min="6164" max="6164" width="9.88671875" style="188" customWidth="1"/>
    <col min="6165" max="6168" width="8.88671875" style="188"/>
    <col min="6169" max="6169" width="15" style="188" customWidth="1"/>
    <col min="6170" max="6170" width="6.44140625" style="188" customWidth="1"/>
    <col min="6171" max="6171" width="5.6640625" style="188" customWidth="1"/>
    <col min="6172" max="6172" width="9.109375" style="188" customWidth="1"/>
    <col min="6173" max="6175" width="8.88671875" style="188"/>
    <col min="6176" max="6176" width="11.6640625" style="188" customWidth="1"/>
    <col min="6177" max="6400" width="8.88671875" style="188"/>
    <col min="6401" max="6401" width="6.44140625" style="188" customWidth="1"/>
    <col min="6402" max="6402" width="43.33203125" style="188" customWidth="1"/>
    <col min="6403" max="6403" width="11.109375" style="188" customWidth="1"/>
    <col min="6404" max="6404" width="13.109375" style="188" customWidth="1"/>
    <col min="6405" max="6405" width="13.88671875" style="188" customWidth="1"/>
    <col min="6406" max="6406" width="8.33203125" style="188" customWidth="1"/>
    <col min="6407" max="6407" width="13" style="188" customWidth="1"/>
    <col min="6408" max="6408" width="8.109375" style="188" customWidth="1"/>
    <col min="6409" max="6409" width="7.88671875" style="188" customWidth="1"/>
    <col min="6410" max="6410" width="11.109375" style="188" customWidth="1"/>
    <col min="6411" max="6411" width="9.44140625" style="188" customWidth="1"/>
    <col min="6412" max="6412" width="9.5546875" style="188" customWidth="1"/>
    <col min="6413" max="6413" width="10.77734375" style="188" customWidth="1"/>
    <col min="6414" max="6414" width="6.5546875" style="188" customWidth="1"/>
    <col min="6415" max="6415" width="7.5546875" style="188" customWidth="1"/>
    <col min="6416" max="6416" width="10.109375" style="188" customWidth="1"/>
    <col min="6417" max="6417" width="9.44140625" style="188" customWidth="1"/>
    <col min="6418" max="6418" width="11" style="188" customWidth="1"/>
    <col min="6419" max="6419" width="14" style="188" customWidth="1"/>
    <col min="6420" max="6420" width="9.88671875" style="188" customWidth="1"/>
    <col min="6421" max="6424" width="8.88671875" style="188"/>
    <col min="6425" max="6425" width="15" style="188" customWidth="1"/>
    <col min="6426" max="6426" width="6.44140625" style="188" customWidth="1"/>
    <col min="6427" max="6427" width="5.6640625" style="188" customWidth="1"/>
    <col min="6428" max="6428" width="9.109375" style="188" customWidth="1"/>
    <col min="6429" max="6431" width="8.88671875" style="188"/>
    <col min="6432" max="6432" width="11.6640625" style="188" customWidth="1"/>
    <col min="6433" max="6656" width="8.88671875" style="188"/>
    <col min="6657" max="6657" width="6.44140625" style="188" customWidth="1"/>
    <col min="6658" max="6658" width="43.33203125" style="188" customWidth="1"/>
    <col min="6659" max="6659" width="11.109375" style="188" customWidth="1"/>
    <col min="6660" max="6660" width="13.109375" style="188" customWidth="1"/>
    <col min="6661" max="6661" width="13.88671875" style="188" customWidth="1"/>
    <col min="6662" max="6662" width="8.33203125" style="188" customWidth="1"/>
    <col min="6663" max="6663" width="13" style="188" customWidth="1"/>
    <col min="6664" max="6664" width="8.109375" style="188" customWidth="1"/>
    <col min="6665" max="6665" width="7.88671875" style="188" customWidth="1"/>
    <col min="6666" max="6666" width="11.109375" style="188" customWidth="1"/>
    <col min="6667" max="6667" width="9.44140625" style="188" customWidth="1"/>
    <col min="6668" max="6668" width="9.5546875" style="188" customWidth="1"/>
    <col min="6669" max="6669" width="10.77734375" style="188" customWidth="1"/>
    <col min="6670" max="6670" width="6.5546875" style="188" customWidth="1"/>
    <col min="6671" max="6671" width="7.5546875" style="188" customWidth="1"/>
    <col min="6672" max="6672" width="10.109375" style="188" customWidth="1"/>
    <col min="6673" max="6673" width="9.44140625" style="188" customWidth="1"/>
    <col min="6674" max="6674" width="11" style="188" customWidth="1"/>
    <col min="6675" max="6675" width="14" style="188" customWidth="1"/>
    <col min="6676" max="6676" width="9.88671875" style="188" customWidth="1"/>
    <col min="6677" max="6680" width="8.88671875" style="188"/>
    <col min="6681" max="6681" width="15" style="188" customWidth="1"/>
    <col min="6682" max="6682" width="6.44140625" style="188" customWidth="1"/>
    <col min="6683" max="6683" width="5.6640625" style="188" customWidth="1"/>
    <col min="6684" max="6684" width="9.109375" style="188" customWidth="1"/>
    <col min="6685" max="6687" width="8.88671875" style="188"/>
    <col min="6688" max="6688" width="11.6640625" style="188" customWidth="1"/>
    <col min="6689" max="6912" width="8.88671875" style="188"/>
    <col min="6913" max="6913" width="6.44140625" style="188" customWidth="1"/>
    <col min="6914" max="6914" width="43.33203125" style="188" customWidth="1"/>
    <col min="6915" max="6915" width="11.109375" style="188" customWidth="1"/>
    <col min="6916" max="6916" width="13.109375" style="188" customWidth="1"/>
    <col min="6917" max="6917" width="13.88671875" style="188" customWidth="1"/>
    <col min="6918" max="6918" width="8.33203125" style="188" customWidth="1"/>
    <col min="6919" max="6919" width="13" style="188" customWidth="1"/>
    <col min="6920" max="6920" width="8.109375" style="188" customWidth="1"/>
    <col min="6921" max="6921" width="7.88671875" style="188" customWidth="1"/>
    <col min="6922" max="6922" width="11.109375" style="188" customWidth="1"/>
    <col min="6923" max="6923" width="9.44140625" style="188" customWidth="1"/>
    <col min="6924" max="6924" width="9.5546875" style="188" customWidth="1"/>
    <col min="6925" max="6925" width="10.77734375" style="188" customWidth="1"/>
    <col min="6926" max="6926" width="6.5546875" style="188" customWidth="1"/>
    <col min="6927" max="6927" width="7.5546875" style="188" customWidth="1"/>
    <col min="6928" max="6928" width="10.109375" style="188" customWidth="1"/>
    <col min="6929" max="6929" width="9.44140625" style="188" customWidth="1"/>
    <col min="6930" max="6930" width="11" style="188" customWidth="1"/>
    <col min="6931" max="6931" width="14" style="188" customWidth="1"/>
    <col min="6932" max="6932" width="9.88671875" style="188" customWidth="1"/>
    <col min="6933" max="6936" width="8.88671875" style="188"/>
    <col min="6937" max="6937" width="15" style="188" customWidth="1"/>
    <col min="6938" max="6938" width="6.44140625" style="188" customWidth="1"/>
    <col min="6939" max="6939" width="5.6640625" style="188" customWidth="1"/>
    <col min="6940" max="6940" width="9.109375" style="188" customWidth="1"/>
    <col min="6941" max="6943" width="8.88671875" style="188"/>
    <col min="6944" max="6944" width="11.6640625" style="188" customWidth="1"/>
    <col min="6945" max="7168" width="8.88671875" style="188"/>
    <col min="7169" max="7169" width="6.44140625" style="188" customWidth="1"/>
    <col min="7170" max="7170" width="43.33203125" style="188" customWidth="1"/>
    <col min="7171" max="7171" width="11.109375" style="188" customWidth="1"/>
    <col min="7172" max="7172" width="13.109375" style="188" customWidth="1"/>
    <col min="7173" max="7173" width="13.88671875" style="188" customWidth="1"/>
    <col min="7174" max="7174" width="8.33203125" style="188" customWidth="1"/>
    <col min="7175" max="7175" width="13" style="188" customWidth="1"/>
    <col min="7176" max="7176" width="8.109375" style="188" customWidth="1"/>
    <col min="7177" max="7177" width="7.88671875" style="188" customWidth="1"/>
    <col min="7178" max="7178" width="11.109375" style="188" customWidth="1"/>
    <col min="7179" max="7179" width="9.44140625" style="188" customWidth="1"/>
    <col min="7180" max="7180" width="9.5546875" style="188" customWidth="1"/>
    <col min="7181" max="7181" width="10.77734375" style="188" customWidth="1"/>
    <col min="7182" max="7182" width="6.5546875" style="188" customWidth="1"/>
    <col min="7183" max="7183" width="7.5546875" style="188" customWidth="1"/>
    <col min="7184" max="7184" width="10.109375" style="188" customWidth="1"/>
    <col min="7185" max="7185" width="9.44140625" style="188" customWidth="1"/>
    <col min="7186" max="7186" width="11" style="188" customWidth="1"/>
    <col min="7187" max="7187" width="14" style="188" customWidth="1"/>
    <col min="7188" max="7188" width="9.88671875" style="188" customWidth="1"/>
    <col min="7189" max="7192" width="8.88671875" style="188"/>
    <col min="7193" max="7193" width="15" style="188" customWidth="1"/>
    <col min="7194" max="7194" width="6.44140625" style="188" customWidth="1"/>
    <col min="7195" max="7195" width="5.6640625" style="188" customWidth="1"/>
    <col min="7196" max="7196" width="9.109375" style="188" customWidth="1"/>
    <col min="7197" max="7199" width="8.88671875" style="188"/>
    <col min="7200" max="7200" width="11.6640625" style="188" customWidth="1"/>
    <col min="7201" max="7424" width="8.88671875" style="188"/>
    <col min="7425" max="7425" width="6.44140625" style="188" customWidth="1"/>
    <col min="7426" max="7426" width="43.33203125" style="188" customWidth="1"/>
    <col min="7427" max="7427" width="11.109375" style="188" customWidth="1"/>
    <col min="7428" max="7428" width="13.109375" style="188" customWidth="1"/>
    <col min="7429" max="7429" width="13.88671875" style="188" customWidth="1"/>
    <col min="7430" max="7430" width="8.33203125" style="188" customWidth="1"/>
    <col min="7431" max="7431" width="13" style="188" customWidth="1"/>
    <col min="7432" max="7432" width="8.109375" style="188" customWidth="1"/>
    <col min="7433" max="7433" width="7.88671875" style="188" customWidth="1"/>
    <col min="7434" max="7434" width="11.109375" style="188" customWidth="1"/>
    <col min="7435" max="7435" width="9.44140625" style="188" customWidth="1"/>
    <col min="7436" max="7436" width="9.5546875" style="188" customWidth="1"/>
    <col min="7437" max="7437" width="10.77734375" style="188" customWidth="1"/>
    <col min="7438" max="7438" width="6.5546875" style="188" customWidth="1"/>
    <col min="7439" max="7439" width="7.5546875" style="188" customWidth="1"/>
    <col min="7440" max="7440" width="10.109375" style="188" customWidth="1"/>
    <col min="7441" max="7441" width="9.44140625" style="188" customWidth="1"/>
    <col min="7442" max="7442" width="11" style="188" customWidth="1"/>
    <col min="7443" max="7443" width="14" style="188" customWidth="1"/>
    <col min="7444" max="7444" width="9.88671875" style="188" customWidth="1"/>
    <col min="7445" max="7448" width="8.88671875" style="188"/>
    <col min="7449" max="7449" width="15" style="188" customWidth="1"/>
    <col min="7450" max="7450" width="6.44140625" style="188" customWidth="1"/>
    <col min="7451" max="7451" width="5.6640625" style="188" customWidth="1"/>
    <col min="7452" max="7452" width="9.109375" style="188" customWidth="1"/>
    <col min="7453" max="7455" width="8.88671875" style="188"/>
    <col min="7456" max="7456" width="11.6640625" style="188" customWidth="1"/>
    <col min="7457" max="7680" width="8.88671875" style="188"/>
    <col min="7681" max="7681" width="6.44140625" style="188" customWidth="1"/>
    <col min="7682" max="7682" width="43.33203125" style="188" customWidth="1"/>
    <col min="7683" max="7683" width="11.109375" style="188" customWidth="1"/>
    <col min="7684" max="7684" width="13.109375" style="188" customWidth="1"/>
    <col min="7685" max="7685" width="13.88671875" style="188" customWidth="1"/>
    <col min="7686" max="7686" width="8.33203125" style="188" customWidth="1"/>
    <col min="7687" max="7687" width="13" style="188" customWidth="1"/>
    <col min="7688" max="7688" width="8.109375" style="188" customWidth="1"/>
    <col min="7689" max="7689" width="7.88671875" style="188" customWidth="1"/>
    <col min="7690" max="7690" width="11.109375" style="188" customWidth="1"/>
    <col min="7691" max="7691" width="9.44140625" style="188" customWidth="1"/>
    <col min="7692" max="7692" width="9.5546875" style="188" customWidth="1"/>
    <col min="7693" max="7693" width="10.77734375" style="188" customWidth="1"/>
    <col min="7694" max="7694" width="6.5546875" style="188" customWidth="1"/>
    <col min="7695" max="7695" width="7.5546875" style="188" customWidth="1"/>
    <col min="7696" max="7696" width="10.109375" style="188" customWidth="1"/>
    <col min="7697" max="7697" width="9.44140625" style="188" customWidth="1"/>
    <col min="7698" max="7698" width="11" style="188" customWidth="1"/>
    <col min="7699" max="7699" width="14" style="188" customWidth="1"/>
    <col min="7700" max="7700" width="9.88671875" style="188" customWidth="1"/>
    <col min="7701" max="7704" width="8.88671875" style="188"/>
    <col min="7705" max="7705" width="15" style="188" customWidth="1"/>
    <col min="7706" max="7706" width="6.44140625" style="188" customWidth="1"/>
    <col min="7707" max="7707" width="5.6640625" style="188" customWidth="1"/>
    <col min="7708" max="7708" width="9.109375" style="188" customWidth="1"/>
    <col min="7709" max="7711" width="8.88671875" style="188"/>
    <col min="7712" max="7712" width="11.6640625" style="188" customWidth="1"/>
    <col min="7713" max="7936" width="8.88671875" style="188"/>
    <col min="7937" max="7937" width="6.44140625" style="188" customWidth="1"/>
    <col min="7938" max="7938" width="43.33203125" style="188" customWidth="1"/>
    <col min="7939" max="7939" width="11.109375" style="188" customWidth="1"/>
    <col min="7940" max="7940" width="13.109375" style="188" customWidth="1"/>
    <col min="7941" max="7941" width="13.88671875" style="188" customWidth="1"/>
    <col min="7942" max="7942" width="8.33203125" style="188" customWidth="1"/>
    <col min="7943" max="7943" width="13" style="188" customWidth="1"/>
    <col min="7944" max="7944" width="8.109375" style="188" customWidth="1"/>
    <col min="7945" max="7945" width="7.88671875" style="188" customWidth="1"/>
    <col min="7946" max="7946" width="11.109375" style="188" customWidth="1"/>
    <col min="7947" max="7947" width="9.44140625" style="188" customWidth="1"/>
    <col min="7948" max="7948" width="9.5546875" style="188" customWidth="1"/>
    <col min="7949" max="7949" width="10.77734375" style="188" customWidth="1"/>
    <col min="7950" max="7950" width="6.5546875" style="188" customWidth="1"/>
    <col min="7951" max="7951" width="7.5546875" style="188" customWidth="1"/>
    <col min="7952" max="7952" width="10.109375" style="188" customWidth="1"/>
    <col min="7953" max="7953" width="9.44140625" style="188" customWidth="1"/>
    <col min="7954" max="7954" width="11" style="188" customWidth="1"/>
    <col min="7955" max="7955" width="14" style="188" customWidth="1"/>
    <col min="7956" max="7956" width="9.88671875" style="188" customWidth="1"/>
    <col min="7957" max="7960" width="8.88671875" style="188"/>
    <col min="7961" max="7961" width="15" style="188" customWidth="1"/>
    <col min="7962" max="7962" width="6.44140625" style="188" customWidth="1"/>
    <col min="7963" max="7963" width="5.6640625" style="188" customWidth="1"/>
    <col min="7964" max="7964" width="9.109375" style="188" customWidth="1"/>
    <col min="7965" max="7967" width="8.88671875" style="188"/>
    <col min="7968" max="7968" width="11.6640625" style="188" customWidth="1"/>
    <col min="7969" max="8192" width="8.88671875" style="188"/>
    <col min="8193" max="8193" width="6.44140625" style="188" customWidth="1"/>
    <col min="8194" max="8194" width="43.33203125" style="188" customWidth="1"/>
    <col min="8195" max="8195" width="11.109375" style="188" customWidth="1"/>
    <col min="8196" max="8196" width="13.109375" style="188" customWidth="1"/>
    <col min="8197" max="8197" width="13.88671875" style="188" customWidth="1"/>
    <col min="8198" max="8198" width="8.33203125" style="188" customWidth="1"/>
    <col min="8199" max="8199" width="13" style="188" customWidth="1"/>
    <col min="8200" max="8200" width="8.109375" style="188" customWidth="1"/>
    <col min="8201" max="8201" width="7.88671875" style="188" customWidth="1"/>
    <col min="8202" max="8202" width="11.109375" style="188" customWidth="1"/>
    <col min="8203" max="8203" width="9.44140625" style="188" customWidth="1"/>
    <col min="8204" max="8204" width="9.5546875" style="188" customWidth="1"/>
    <col min="8205" max="8205" width="10.77734375" style="188" customWidth="1"/>
    <col min="8206" max="8206" width="6.5546875" style="188" customWidth="1"/>
    <col min="8207" max="8207" width="7.5546875" style="188" customWidth="1"/>
    <col min="8208" max="8208" width="10.109375" style="188" customWidth="1"/>
    <col min="8209" max="8209" width="9.44140625" style="188" customWidth="1"/>
    <col min="8210" max="8210" width="11" style="188" customWidth="1"/>
    <col min="8211" max="8211" width="14" style="188" customWidth="1"/>
    <col min="8212" max="8212" width="9.88671875" style="188" customWidth="1"/>
    <col min="8213" max="8216" width="8.88671875" style="188"/>
    <col min="8217" max="8217" width="15" style="188" customWidth="1"/>
    <col min="8218" max="8218" width="6.44140625" style="188" customWidth="1"/>
    <col min="8219" max="8219" width="5.6640625" style="188" customWidth="1"/>
    <col min="8220" max="8220" width="9.109375" style="188" customWidth="1"/>
    <col min="8221" max="8223" width="8.88671875" style="188"/>
    <col min="8224" max="8224" width="11.6640625" style="188" customWidth="1"/>
    <col min="8225" max="8448" width="8.88671875" style="188"/>
    <col min="8449" max="8449" width="6.44140625" style="188" customWidth="1"/>
    <col min="8450" max="8450" width="43.33203125" style="188" customWidth="1"/>
    <col min="8451" max="8451" width="11.109375" style="188" customWidth="1"/>
    <col min="8452" max="8452" width="13.109375" style="188" customWidth="1"/>
    <col min="8453" max="8453" width="13.88671875" style="188" customWidth="1"/>
    <col min="8454" max="8454" width="8.33203125" style="188" customWidth="1"/>
    <col min="8455" max="8455" width="13" style="188" customWidth="1"/>
    <col min="8456" max="8456" width="8.109375" style="188" customWidth="1"/>
    <col min="8457" max="8457" width="7.88671875" style="188" customWidth="1"/>
    <col min="8458" max="8458" width="11.109375" style="188" customWidth="1"/>
    <col min="8459" max="8459" width="9.44140625" style="188" customWidth="1"/>
    <col min="8460" max="8460" width="9.5546875" style="188" customWidth="1"/>
    <col min="8461" max="8461" width="10.77734375" style="188" customWidth="1"/>
    <col min="8462" max="8462" width="6.5546875" style="188" customWidth="1"/>
    <col min="8463" max="8463" width="7.5546875" style="188" customWidth="1"/>
    <col min="8464" max="8464" width="10.109375" style="188" customWidth="1"/>
    <col min="8465" max="8465" width="9.44140625" style="188" customWidth="1"/>
    <col min="8466" max="8466" width="11" style="188" customWidth="1"/>
    <col min="8467" max="8467" width="14" style="188" customWidth="1"/>
    <col min="8468" max="8468" width="9.88671875" style="188" customWidth="1"/>
    <col min="8469" max="8472" width="8.88671875" style="188"/>
    <col min="8473" max="8473" width="15" style="188" customWidth="1"/>
    <col min="8474" max="8474" width="6.44140625" style="188" customWidth="1"/>
    <col min="8475" max="8475" width="5.6640625" style="188" customWidth="1"/>
    <col min="8476" max="8476" width="9.109375" style="188" customWidth="1"/>
    <col min="8477" max="8479" width="8.88671875" style="188"/>
    <col min="8480" max="8480" width="11.6640625" style="188" customWidth="1"/>
    <col min="8481" max="8704" width="8.88671875" style="188"/>
    <col min="8705" max="8705" width="6.44140625" style="188" customWidth="1"/>
    <col min="8706" max="8706" width="43.33203125" style="188" customWidth="1"/>
    <col min="8707" max="8707" width="11.109375" style="188" customWidth="1"/>
    <col min="8708" max="8708" width="13.109375" style="188" customWidth="1"/>
    <col min="8709" max="8709" width="13.88671875" style="188" customWidth="1"/>
    <col min="8710" max="8710" width="8.33203125" style="188" customWidth="1"/>
    <col min="8711" max="8711" width="13" style="188" customWidth="1"/>
    <col min="8712" max="8712" width="8.109375" style="188" customWidth="1"/>
    <col min="8713" max="8713" width="7.88671875" style="188" customWidth="1"/>
    <col min="8714" max="8714" width="11.109375" style="188" customWidth="1"/>
    <col min="8715" max="8715" width="9.44140625" style="188" customWidth="1"/>
    <col min="8716" max="8716" width="9.5546875" style="188" customWidth="1"/>
    <col min="8717" max="8717" width="10.77734375" style="188" customWidth="1"/>
    <col min="8718" max="8718" width="6.5546875" style="188" customWidth="1"/>
    <col min="8719" max="8719" width="7.5546875" style="188" customWidth="1"/>
    <col min="8720" max="8720" width="10.109375" style="188" customWidth="1"/>
    <col min="8721" max="8721" width="9.44140625" style="188" customWidth="1"/>
    <col min="8722" max="8722" width="11" style="188" customWidth="1"/>
    <col min="8723" max="8723" width="14" style="188" customWidth="1"/>
    <col min="8724" max="8724" width="9.88671875" style="188" customWidth="1"/>
    <col min="8725" max="8728" width="8.88671875" style="188"/>
    <col min="8729" max="8729" width="15" style="188" customWidth="1"/>
    <col min="8730" max="8730" width="6.44140625" style="188" customWidth="1"/>
    <col min="8731" max="8731" width="5.6640625" style="188" customWidth="1"/>
    <col min="8732" max="8732" width="9.109375" style="188" customWidth="1"/>
    <col min="8733" max="8735" width="8.88671875" style="188"/>
    <col min="8736" max="8736" width="11.6640625" style="188" customWidth="1"/>
    <col min="8737" max="8960" width="8.88671875" style="188"/>
    <col min="8961" max="8961" width="6.44140625" style="188" customWidth="1"/>
    <col min="8962" max="8962" width="43.33203125" style="188" customWidth="1"/>
    <col min="8963" max="8963" width="11.109375" style="188" customWidth="1"/>
    <col min="8964" max="8964" width="13.109375" style="188" customWidth="1"/>
    <col min="8965" max="8965" width="13.88671875" style="188" customWidth="1"/>
    <col min="8966" max="8966" width="8.33203125" style="188" customWidth="1"/>
    <col min="8967" max="8967" width="13" style="188" customWidth="1"/>
    <col min="8968" max="8968" width="8.109375" style="188" customWidth="1"/>
    <col min="8969" max="8969" width="7.88671875" style="188" customWidth="1"/>
    <col min="8970" max="8970" width="11.109375" style="188" customWidth="1"/>
    <col min="8971" max="8971" width="9.44140625" style="188" customWidth="1"/>
    <col min="8972" max="8972" width="9.5546875" style="188" customWidth="1"/>
    <col min="8973" max="8973" width="10.77734375" style="188" customWidth="1"/>
    <col min="8974" max="8974" width="6.5546875" style="188" customWidth="1"/>
    <col min="8975" max="8975" width="7.5546875" style="188" customWidth="1"/>
    <col min="8976" max="8976" width="10.109375" style="188" customWidth="1"/>
    <col min="8977" max="8977" width="9.44140625" style="188" customWidth="1"/>
    <col min="8978" max="8978" width="11" style="188" customWidth="1"/>
    <col min="8979" max="8979" width="14" style="188" customWidth="1"/>
    <col min="8980" max="8980" width="9.88671875" style="188" customWidth="1"/>
    <col min="8981" max="8984" width="8.88671875" style="188"/>
    <col min="8985" max="8985" width="15" style="188" customWidth="1"/>
    <col min="8986" max="8986" width="6.44140625" style="188" customWidth="1"/>
    <col min="8987" max="8987" width="5.6640625" style="188" customWidth="1"/>
    <col min="8988" max="8988" width="9.109375" style="188" customWidth="1"/>
    <col min="8989" max="8991" width="8.88671875" style="188"/>
    <col min="8992" max="8992" width="11.6640625" style="188" customWidth="1"/>
    <col min="8993" max="9216" width="8.88671875" style="188"/>
    <col min="9217" max="9217" width="6.44140625" style="188" customWidth="1"/>
    <col min="9218" max="9218" width="43.33203125" style="188" customWidth="1"/>
    <col min="9219" max="9219" width="11.109375" style="188" customWidth="1"/>
    <col min="9220" max="9220" width="13.109375" style="188" customWidth="1"/>
    <col min="9221" max="9221" width="13.88671875" style="188" customWidth="1"/>
    <col min="9222" max="9222" width="8.33203125" style="188" customWidth="1"/>
    <col min="9223" max="9223" width="13" style="188" customWidth="1"/>
    <col min="9224" max="9224" width="8.109375" style="188" customWidth="1"/>
    <col min="9225" max="9225" width="7.88671875" style="188" customWidth="1"/>
    <col min="9226" max="9226" width="11.109375" style="188" customWidth="1"/>
    <col min="9227" max="9227" width="9.44140625" style="188" customWidth="1"/>
    <col min="9228" max="9228" width="9.5546875" style="188" customWidth="1"/>
    <col min="9229" max="9229" width="10.77734375" style="188" customWidth="1"/>
    <col min="9230" max="9230" width="6.5546875" style="188" customWidth="1"/>
    <col min="9231" max="9231" width="7.5546875" style="188" customWidth="1"/>
    <col min="9232" max="9232" width="10.109375" style="188" customWidth="1"/>
    <col min="9233" max="9233" width="9.44140625" style="188" customWidth="1"/>
    <col min="9234" max="9234" width="11" style="188" customWidth="1"/>
    <col min="9235" max="9235" width="14" style="188" customWidth="1"/>
    <col min="9236" max="9236" width="9.88671875" style="188" customWidth="1"/>
    <col min="9237" max="9240" width="8.88671875" style="188"/>
    <col min="9241" max="9241" width="15" style="188" customWidth="1"/>
    <col min="9242" max="9242" width="6.44140625" style="188" customWidth="1"/>
    <col min="9243" max="9243" width="5.6640625" style="188" customWidth="1"/>
    <col min="9244" max="9244" width="9.109375" style="188" customWidth="1"/>
    <col min="9245" max="9247" width="8.88671875" style="188"/>
    <col min="9248" max="9248" width="11.6640625" style="188" customWidth="1"/>
    <col min="9249" max="9472" width="8.88671875" style="188"/>
    <col min="9473" max="9473" width="6.44140625" style="188" customWidth="1"/>
    <col min="9474" max="9474" width="43.33203125" style="188" customWidth="1"/>
    <col min="9475" max="9475" width="11.109375" style="188" customWidth="1"/>
    <col min="9476" max="9476" width="13.109375" style="188" customWidth="1"/>
    <col min="9477" max="9477" width="13.88671875" style="188" customWidth="1"/>
    <col min="9478" max="9478" width="8.33203125" style="188" customWidth="1"/>
    <col min="9479" max="9479" width="13" style="188" customWidth="1"/>
    <col min="9480" max="9480" width="8.109375" style="188" customWidth="1"/>
    <col min="9481" max="9481" width="7.88671875" style="188" customWidth="1"/>
    <col min="9482" max="9482" width="11.109375" style="188" customWidth="1"/>
    <col min="9483" max="9483" width="9.44140625" style="188" customWidth="1"/>
    <col min="9484" max="9484" width="9.5546875" style="188" customWidth="1"/>
    <col min="9485" max="9485" width="10.77734375" style="188" customWidth="1"/>
    <col min="9486" max="9486" width="6.5546875" style="188" customWidth="1"/>
    <col min="9487" max="9487" width="7.5546875" style="188" customWidth="1"/>
    <col min="9488" max="9488" width="10.109375" style="188" customWidth="1"/>
    <col min="9489" max="9489" width="9.44140625" style="188" customWidth="1"/>
    <col min="9490" max="9490" width="11" style="188" customWidth="1"/>
    <col min="9491" max="9491" width="14" style="188" customWidth="1"/>
    <col min="9492" max="9492" width="9.88671875" style="188" customWidth="1"/>
    <col min="9493" max="9496" width="8.88671875" style="188"/>
    <col min="9497" max="9497" width="15" style="188" customWidth="1"/>
    <col min="9498" max="9498" width="6.44140625" style="188" customWidth="1"/>
    <col min="9499" max="9499" width="5.6640625" style="188" customWidth="1"/>
    <col min="9500" max="9500" width="9.109375" style="188" customWidth="1"/>
    <col min="9501" max="9503" width="8.88671875" style="188"/>
    <col min="9504" max="9504" width="11.6640625" style="188" customWidth="1"/>
    <col min="9505" max="9728" width="8.88671875" style="188"/>
    <col min="9729" max="9729" width="6.44140625" style="188" customWidth="1"/>
    <col min="9730" max="9730" width="43.33203125" style="188" customWidth="1"/>
    <col min="9731" max="9731" width="11.109375" style="188" customWidth="1"/>
    <col min="9732" max="9732" width="13.109375" style="188" customWidth="1"/>
    <col min="9733" max="9733" width="13.88671875" style="188" customWidth="1"/>
    <col min="9734" max="9734" width="8.33203125" style="188" customWidth="1"/>
    <col min="9735" max="9735" width="13" style="188" customWidth="1"/>
    <col min="9736" max="9736" width="8.109375" style="188" customWidth="1"/>
    <col min="9737" max="9737" width="7.88671875" style="188" customWidth="1"/>
    <col min="9738" max="9738" width="11.109375" style="188" customWidth="1"/>
    <col min="9739" max="9739" width="9.44140625" style="188" customWidth="1"/>
    <col min="9740" max="9740" width="9.5546875" style="188" customWidth="1"/>
    <col min="9741" max="9741" width="10.77734375" style="188" customWidth="1"/>
    <col min="9742" max="9742" width="6.5546875" style="188" customWidth="1"/>
    <col min="9743" max="9743" width="7.5546875" style="188" customWidth="1"/>
    <col min="9744" max="9744" width="10.109375" style="188" customWidth="1"/>
    <col min="9745" max="9745" width="9.44140625" style="188" customWidth="1"/>
    <col min="9746" max="9746" width="11" style="188" customWidth="1"/>
    <col min="9747" max="9747" width="14" style="188" customWidth="1"/>
    <col min="9748" max="9748" width="9.88671875" style="188" customWidth="1"/>
    <col min="9749" max="9752" width="8.88671875" style="188"/>
    <col min="9753" max="9753" width="15" style="188" customWidth="1"/>
    <col min="9754" max="9754" width="6.44140625" style="188" customWidth="1"/>
    <col min="9755" max="9755" width="5.6640625" style="188" customWidth="1"/>
    <col min="9756" max="9756" width="9.109375" style="188" customWidth="1"/>
    <col min="9757" max="9759" width="8.88671875" style="188"/>
    <col min="9760" max="9760" width="11.6640625" style="188" customWidth="1"/>
    <col min="9761" max="9984" width="8.88671875" style="188"/>
    <col min="9985" max="9985" width="6.44140625" style="188" customWidth="1"/>
    <col min="9986" max="9986" width="43.33203125" style="188" customWidth="1"/>
    <col min="9987" max="9987" width="11.109375" style="188" customWidth="1"/>
    <col min="9988" max="9988" width="13.109375" style="188" customWidth="1"/>
    <col min="9989" max="9989" width="13.88671875" style="188" customWidth="1"/>
    <col min="9990" max="9990" width="8.33203125" style="188" customWidth="1"/>
    <col min="9991" max="9991" width="13" style="188" customWidth="1"/>
    <col min="9992" max="9992" width="8.109375" style="188" customWidth="1"/>
    <col min="9993" max="9993" width="7.88671875" style="188" customWidth="1"/>
    <col min="9994" max="9994" width="11.109375" style="188" customWidth="1"/>
    <col min="9995" max="9995" width="9.44140625" style="188" customWidth="1"/>
    <col min="9996" max="9996" width="9.5546875" style="188" customWidth="1"/>
    <col min="9997" max="9997" width="10.77734375" style="188" customWidth="1"/>
    <col min="9998" max="9998" width="6.5546875" style="188" customWidth="1"/>
    <col min="9999" max="9999" width="7.5546875" style="188" customWidth="1"/>
    <col min="10000" max="10000" width="10.109375" style="188" customWidth="1"/>
    <col min="10001" max="10001" width="9.44140625" style="188" customWidth="1"/>
    <col min="10002" max="10002" width="11" style="188" customWidth="1"/>
    <col min="10003" max="10003" width="14" style="188" customWidth="1"/>
    <col min="10004" max="10004" width="9.88671875" style="188" customWidth="1"/>
    <col min="10005" max="10008" width="8.88671875" style="188"/>
    <col min="10009" max="10009" width="15" style="188" customWidth="1"/>
    <col min="10010" max="10010" width="6.44140625" style="188" customWidth="1"/>
    <col min="10011" max="10011" width="5.6640625" style="188" customWidth="1"/>
    <col min="10012" max="10012" width="9.109375" style="188" customWidth="1"/>
    <col min="10013" max="10015" width="8.88671875" style="188"/>
    <col min="10016" max="10016" width="11.6640625" style="188" customWidth="1"/>
    <col min="10017" max="10240" width="8.88671875" style="188"/>
    <col min="10241" max="10241" width="6.44140625" style="188" customWidth="1"/>
    <col min="10242" max="10242" width="43.33203125" style="188" customWidth="1"/>
    <col min="10243" max="10243" width="11.109375" style="188" customWidth="1"/>
    <col min="10244" max="10244" width="13.109375" style="188" customWidth="1"/>
    <col min="10245" max="10245" width="13.88671875" style="188" customWidth="1"/>
    <col min="10246" max="10246" width="8.33203125" style="188" customWidth="1"/>
    <col min="10247" max="10247" width="13" style="188" customWidth="1"/>
    <col min="10248" max="10248" width="8.109375" style="188" customWidth="1"/>
    <col min="10249" max="10249" width="7.88671875" style="188" customWidth="1"/>
    <col min="10250" max="10250" width="11.109375" style="188" customWidth="1"/>
    <col min="10251" max="10251" width="9.44140625" style="188" customWidth="1"/>
    <col min="10252" max="10252" width="9.5546875" style="188" customWidth="1"/>
    <col min="10253" max="10253" width="10.77734375" style="188" customWidth="1"/>
    <col min="10254" max="10254" width="6.5546875" style="188" customWidth="1"/>
    <col min="10255" max="10255" width="7.5546875" style="188" customWidth="1"/>
    <col min="10256" max="10256" width="10.109375" style="188" customWidth="1"/>
    <col min="10257" max="10257" width="9.44140625" style="188" customWidth="1"/>
    <col min="10258" max="10258" width="11" style="188" customWidth="1"/>
    <col min="10259" max="10259" width="14" style="188" customWidth="1"/>
    <col min="10260" max="10260" width="9.88671875" style="188" customWidth="1"/>
    <col min="10261" max="10264" width="8.88671875" style="188"/>
    <col min="10265" max="10265" width="15" style="188" customWidth="1"/>
    <col min="10266" max="10266" width="6.44140625" style="188" customWidth="1"/>
    <col min="10267" max="10267" width="5.6640625" style="188" customWidth="1"/>
    <col min="10268" max="10268" width="9.109375" style="188" customWidth="1"/>
    <col min="10269" max="10271" width="8.88671875" style="188"/>
    <col min="10272" max="10272" width="11.6640625" style="188" customWidth="1"/>
    <col min="10273" max="10496" width="8.88671875" style="188"/>
    <col min="10497" max="10497" width="6.44140625" style="188" customWidth="1"/>
    <col min="10498" max="10498" width="43.33203125" style="188" customWidth="1"/>
    <col min="10499" max="10499" width="11.109375" style="188" customWidth="1"/>
    <col min="10500" max="10500" width="13.109375" style="188" customWidth="1"/>
    <col min="10501" max="10501" width="13.88671875" style="188" customWidth="1"/>
    <col min="10502" max="10502" width="8.33203125" style="188" customWidth="1"/>
    <col min="10503" max="10503" width="13" style="188" customWidth="1"/>
    <col min="10504" max="10504" width="8.109375" style="188" customWidth="1"/>
    <col min="10505" max="10505" width="7.88671875" style="188" customWidth="1"/>
    <col min="10506" max="10506" width="11.109375" style="188" customWidth="1"/>
    <col min="10507" max="10507" width="9.44140625" style="188" customWidth="1"/>
    <col min="10508" max="10508" width="9.5546875" style="188" customWidth="1"/>
    <col min="10509" max="10509" width="10.77734375" style="188" customWidth="1"/>
    <col min="10510" max="10510" width="6.5546875" style="188" customWidth="1"/>
    <col min="10511" max="10511" width="7.5546875" style="188" customWidth="1"/>
    <col min="10512" max="10512" width="10.109375" style="188" customWidth="1"/>
    <col min="10513" max="10513" width="9.44140625" style="188" customWidth="1"/>
    <col min="10514" max="10514" width="11" style="188" customWidth="1"/>
    <col min="10515" max="10515" width="14" style="188" customWidth="1"/>
    <col min="10516" max="10516" width="9.88671875" style="188" customWidth="1"/>
    <col min="10517" max="10520" width="8.88671875" style="188"/>
    <col min="10521" max="10521" width="15" style="188" customWidth="1"/>
    <col min="10522" max="10522" width="6.44140625" style="188" customWidth="1"/>
    <col min="10523" max="10523" width="5.6640625" style="188" customWidth="1"/>
    <col min="10524" max="10524" width="9.109375" style="188" customWidth="1"/>
    <col min="10525" max="10527" width="8.88671875" style="188"/>
    <col min="10528" max="10528" width="11.6640625" style="188" customWidth="1"/>
    <col min="10529" max="10752" width="8.88671875" style="188"/>
    <col min="10753" max="10753" width="6.44140625" style="188" customWidth="1"/>
    <col min="10754" max="10754" width="43.33203125" style="188" customWidth="1"/>
    <col min="10755" max="10755" width="11.109375" style="188" customWidth="1"/>
    <col min="10756" max="10756" width="13.109375" style="188" customWidth="1"/>
    <col min="10757" max="10757" width="13.88671875" style="188" customWidth="1"/>
    <col min="10758" max="10758" width="8.33203125" style="188" customWidth="1"/>
    <col min="10759" max="10759" width="13" style="188" customWidth="1"/>
    <col min="10760" max="10760" width="8.109375" style="188" customWidth="1"/>
    <col min="10761" max="10761" width="7.88671875" style="188" customWidth="1"/>
    <col min="10762" max="10762" width="11.109375" style="188" customWidth="1"/>
    <col min="10763" max="10763" width="9.44140625" style="188" customWidth="1"/>
    <col min="10764" max="10764" width="9.5546875" style="188" customWidth="1"/>
    <col min="10765" max="10765" width="10.77734375" style="188" customWidth="1"/>
    <col min="10766" max="10766" width="6.5546875" style="188" customWidth="1"/>
    <col min="10767" max="10767" width="7.5546875" style="188" customWidth="1"/>
    <col min="10768" max="10768" width="10.109375" style="188" customWidth="1"/>
    <col min="10769" max="10769" width="9.44140625" style="188" customWidth="1"/>
    <col min="10770" max="10770" width="11" style="188" customWidth="1"/>
    <col min="10771" max="10771" width="14" style="188" customWidth="1"/>
    <col min="10772" max="10772" width="9.88671875" style="188" customWidth="1"/>
    <col min="10773" max="10776" width="8.88671875" style="188"/>
    <col min="10777" max="10777" width="15" style="188" customWidth="1"/>
    <col min="10778" max="10778" width="6.44140625" style="188" customWidth="1"/>
    <col min="10779" max="10779" width="5.6640625" style="188" customWidth="1"/>
    <col min="10780" max="10780" width="9.109375" style="188" customWidth="1"/>
    <col min="10781" max="10783" width="8.88671875" style="188"/>
    <col min="10784" max="10784" width="11.6640625" style="188" customWidth="1"/>
    <col min="10785" max="11008" width="8.88671875" style="188"/>
    <col min="11009" max="11009" width="6.44140625" style="188" customWidth="1"/>
    <col min="11010" max="11010" width="43.33203125" style="188" customWidth="1"/>
    <col min="11011" max="11011" width="11.109375" style="188" customWidth="1"/>
    <col min="11012" max="11012" width="13.109375" style="188" customWidth="1"/>
    <col min="11013" max="11013" width="13.88671875" style="188" customWidth="1"/>
    <col min="11014" max="11014" width="8.33203125" style="188" customWidth="1"/>
    <col min="11015" max="11015" width="13" style="188" customWidth="1"/>
    <col min="11016" max="11016" width="8.109375" style="188" customWidth="1"/>
    <col min="11017" max="11017" width="7.88671875" style="188" customWidth="1"/>
    <col min="11018" max="11018" width="11.109375" style="188" customWidth="1"/>
    <col min="11019" max="11019" width="9.44140625" style="188" customWidth="1"/>
    <col min="11020" max="11020" width="9.5546875" style="188" customWidth="1"/>
    <col min="11021" max="11021" width="10.77734375" style="188" customWidth="1"/>
    <col min="11022" max="11022" width="6.5546875" style="188" customWidth="1"/>
    <col min="11023" max="11023" width="7.5546875" style="188" customWidth="1"/>
    <col min="11024" max="11024" width="10.109375" style="188" customWidth="1"/>
    <col min="11025" max="11025" width="9.44140625" style="188" customWidth="1"/>
    <col min="11026" max="11026" width="11" style="188" customWidth="1"/>
    <col min="11027" max="11027" width="14" style="188" customWidth="1"/>
    <col min="11028" max="11028" width="9.88671875" style="188" customWidth="1"/>
    <col min="11029" max="11032" width="8.88671875" style="188"/>
    <col min="11033" max="11033" width="15" style="188" customWidth="1"/>
    <col min="11034" max="11034" width="6.44140625" style="188" customWidth="1"/>
    <col min="11035" max="11035" width="5.6640625" style="188" customWidth="1"/>
    <col min="11036" max="11036" width="9.109375" style="188" customWidth="1"/>
    <col min="11037" max="11039" width="8.88671875" style="188"/>
    <col min="11040" max="11040" width="11.6640625" style="188" customWidth="1"/>
    <col min="11041" max="11264" width="8.88671875" style="188"/>
    <col min="11265" max="11265" width="6.44140625" style="188" customWidth="1"/>
    <col min="11266" max="11266" width="43.33203125" style="188" customWidth="1"/>
    <col min="11267" max="11267" width="11.109375" style="188" customWidth="1"/>
    <col min="11268" max="11268" width="13.109375" style="188" customWidth="1"/>
    <col min="11269" max="11269" width="13.88671875" style="188" customWidth="1"/>
    <col min="11270" max="11270" width="8.33203125" style="188" customWidth="1"/>
    <col min="11271" max="11271" width="13" style="188" customWidth="1"/>
    <col min="11272" max="11272" width="8.109375" style="188" customWidth="1"/>
    <col min="11273" max="11273" width="7.88671875" style="188" customWidth="1"/>
    <col min="11274" max="11274" width="11.109375" style="188" customWidth="1"/>
    <col min="11275" max="11275" width="9.44140625" style="188" customWidth="1"/>
    <col min="11276" max="11276" width="9.5546875" style="188" customWidth="1"/>
    <col min="11277" max="11277" width="10.77734375" style="188" customWidth="1"/>
    <col min="11278" max="11278" width="6.5546875" style="188" customWidth="1"/>
    <col min="11279" max="11279" width="7.5546875" style="188" customWidth="1"/>
    <col min="11280" max="11280" width="10.109375" style="188" customWidth="1"/>
    <col min="11281" max="11281" width="9.44140625" style="188" customWidth="1"/>
    <col min="11282" max="11282" width="11" style="188" customWidth="1"/>
    <col min="11283" max="11283" width="14" style="188" customWidth="1"/>
    <col min="11284" max="11284" width="9.88671875" style="188" customWidth="1"/>
    <col min="11285" max="11288" width="8.88671875" style="188"/>
    <col min="11289" max="11289" width="15" style="188" customWidth="1"/>
    <col min="11290" max="11290" width="6.44140625" style="188" customWidth="1"/>
    <col min="11291" max="11291" width="5.6640625" style="188" customWidth="1"/>
    <col min="11292" max="11292" width="9.109375" style="188" customWidth="1"/>
    <col min="11293" max="11295" width="8.88671875" style="188"/>
    <col min="11296" max="11296" width="11.6640625" style="188" customWidth="1"/>
    <col min="11297" max="11520" width="8.88671875" style="188"/>
    <col min="11521" max="11521" width="6.44140625" style="188" customWidth="1"/>
    <col min="11522" max="11522" width="43.33203125" style="188" customWidth="1"/>
    <col min="11523" max="11523" width="11.109375" style="188" customWidth="1"/>
    <col min="11524" max="11524" width="13.109375" style="188" customWidth="1"/>
    <col min="11525" max="11525" width="13.88671875" style="188" customWidth="1"/>
    <col min="11526" max="11526" width="8.33203125" style="188" customWidth="1"/>
    <col min="11527" max="11527" width="13" style="188" customWidth="1"/>
    <col min="11528" max="11528" width="8.109375" style="188" customWidth="1"/>
    <col min="11529" max="11529" width="7.88671875" style="188" customWidth="1"/>
    <col min="11530" max="11530" width="11.109375" style="188" customWidth="1"/>
    <col min="11531" max="11531" width="9.44140625" style="188" customWidth="1"/>
    <col min="11532" max="11532" width="9.5546875" style="188" customWidth="1"/>
    <col min="11533" max="11533" width="10.77734375" style="188" customWidth="1"/>
    <col min="11534" max="11534" width="6.5546875" style="188" customWidth="1"/>
    <col min="11535" max="11535" width="7.5546875" style="188" customWidth="1"/>
    <col min="11536" max="11536" width="10.109375" style="188" customWidth="1"/>
    <col min="11537" max="11537" width="9.44140625" style="188" customWidth="1"/>
    <col min="11538" max="11538" width="11" style="188" customWidth="1"/>
    <col min="11539" max="11539" width="14" style="188" customWidth="1"/>
    <col min="11540" max="11540" width="9.88671875" style="188" customWidth="1"/>
    <col min="11541" max="11544" width="8.88671875" style="188"/>
    <col min="11545" max="11545" width="15" style="188" customWidth="1"/>
    <col min="11546" max="11546" width="6.44140625" style="188" customWidth="1"/>
    <col min="11547" max="11547" width="5.6640625" style="188" customWidth="1"/>
    <col min="11548" max="11548" width="9.109375" style="188" customWidth="1"/>
    <col min="11549" max="11551" width="8.88671875" style="188"/>
    <col min="11552" max="11552" width="11.6640625" style="188" customWidth="1"/>
    <col min="11553" max="11776" width="8.88671875" style="188"/>
    <col min="11777" max="11777" width="6.44140625" style="188" customWidth="1"/>
    <col min="11778" max="11778" width="43.33203125" style="188" customWidth="1"/>
    <col min="11779" max="11779" width="11.109375" style="188" customWidth="1"/>
    <col min="11780" max="11780" width="13.109375" style="188" customWidth="1"/>
    <col min="11781" max="11781" width="13.88671875" style="188" customWidth="1"/>
    <col min="11782" max="11782" width="8.33203125" style="188" customWidth="1"/>
    <col min="11783" max="11783" width="13" style="188" customWidth="1"/>
    <col min="11784" max="11784" width="8.109375" style="188" customWidth="1"/>
    <col min="11785" max="11785" width="7.88671875" style="188" customWidth="1"/>
    <col min="11786" max="11786" width="11.109375" style="188" customWidth="1"/>
    <col min="11787" max="11787" width="9.44140625" style="188" customWidth="1"/>
    <col min="11788" max="11788" width="9.5546875" style="188" customWidth="1"/>
    <col min="11789" max="11789" width="10.77734375" style="188" customWidth="1"/>
    <col min="11790" max="11790" width="6.5546875" style="188" customWidth="1"/>
    <col min="11791" max="11791" width="7.5546875" style="188" customWidth="1"/>
    <col min="11792" max="11792" width="10.109375" style="188" customWidth="1"/>
    <col min="11793" max="11793" width="9.44140625" style="188" customWidth="1"/>
    <col min="11794" max="11794" width="11" style="188" customWidth="1"/>
    <col min="11795" max="11795" width="14" style="188" customWidth="1"/>
    <col min="11796" max="11796" width="9.88671875" style="188" customWidth="1"/>
    <col min="11797" max="11800" width="8.88671875" style="188"/>
    <col min="11801" max="11801" width="15" style="188" customWidth="1"/>
    <col min="11802" max="11802" width="6.44140625" style="188" customWidth="1"/>
    <col min="11803" max="11803" width="5.6640625" style="188" customWidth="1"/>
    <col min="11804" max="11804" width="9.109375" style="188" customWidth="1"/>
    <col min="11805" max="11807" width="8.88671875" style="188"/>
    <col min="11808" max="11808" width="11.6640625" style="188" customWidth="1"/>
    <col min="11809" max="12032" width="8.88671875" style="188"/>
    <col min="12033" max="12033" width="6.44140625" style="188" customWidth="1"/>
    <col min="12034" max="12034" width="43.33203125" style="188" customWidth="1"/>
    <col min="12035" max="12035" width="11.109375" style="188" customWidth="1"/>
    <col min="12036" max="12036" width="13.109375" style="188" customWidth="1"/>
    <col min="12037" max="12037" width="13.88671875" style="188" customWidth="1"/>
    <col min="12038" max="12038" width="8.33203125" style="188" customWidth="1"/>
    <col min="12039" max="12039" width="13" style="188" customWidth="1"/>
    <col min="12040" max="12040" width="8.109375" style="188" customWidth="1"/>
    <col min="12041" max="12041" width="7.88671875" style="188" customWidth="1"/>
    <col min="12042" max="12042" width="11.109375" style="188" customWidth="1"/>
    <col min="12043" max="12043" width="9.44140625" style="188" customWidth="1"/>
    <col min="12044" max="12044" width="9.5546875" style="188" customWidth="1"/>
    <col min="12045" max="12045" width="10.77734375" style="188" customWidth="1"/>
    <col min="12046" max="12046" width="6.5546875" style="188" customWidth="1"/>
    <col min="12047" max="12047" width="7.5546875" style="188" customWidth="1"/>
    <col min="12048" max="12048" width="10.109375" style="188" customWidth="1"/>
    <col min="12049" max="12049" width="9.44140625" style="188" customWidth="1"/>
    <col min="12050" max="12050" width="11" style="188" customWidth="1"/>
    <col min="12051" max="12051" width="14" style="188" customWidth="1"/>
    <col min="12052" max="12052" width="9.88671875" style="188" customWidth="1"/>
    <col min="12053" max="12056" width="8.88671875" style="188"/>
    <col min="12057" max="12057" width="15" style="188" customWidth="1"/>
    <col min="12058" max="12058" width="6.44140625" style="188" customWidth="1"/>
    <col min="12059" max="12059" width="5.6640625" style="188" customWidth="1"/>
    <col min="12060" max="12060" width="9.109375" style="188" customWidth="1"/>
    <col min="12061" max="12063" width="8.88671875" style="188"/>
    <col min="12064" max="12064" width="11.6640625" style="188" customWidth="1"/>
    <col min="12065" max="12288" width="8.88671875" style="188"/>
    <col min="12289" max="12289" width="6.44140625" style="188" customWidth="1"/>
    <col min="12290" max="12290" width="43.33203125" style="188" customWidth="1"/>
    <col min="12291" max="12291" width="11.109375" style="188" customWidth="1"/>
    <col min="12292" max="12292" width="13.109375" style="188" customWidth="1"/>
    <col min="12293" max="12293" width="13.88671875" style="188" customWidth="1"/>
    <col min="12294" max="12294" width="8.33203125" style="188" customWidth="1"/>
    <col min="12295" max="12295" width="13" style="188" customWidth="1"/>
    <col min="12296" max="12296" width="8.109375" style="188" customWidth="1"/>
    <col min="12297" max="12297" width="7.88671875" style="188" customWidth="1"/>
    <col min="12298" max="12298" width="11.109375" style="188" customWidth="1"/>
    <col min="12299" max="12299" width="9.44140625" style="188" customWidth="1"/>
    <col min="12300" max="12300" width="9.5546875" style="188" customWidth="1"/>
    <col min="12301" max="12301" width="10.77734375" style="188" customWidth="1"/>
    <col min="12302" max="12302" width="6.5546875" style="188" customWidth="1"/>
    <col min="12303" max="12303" width="7.5546875" style="188" customWidth="1"/>
    <col min="12304" max="12304" width="10.109375" style="188" customWidth="1"/>
    <col min="12305" max="12305" width="9.44140625" style="188" customWidth="1"/>
    <col min="12306" max="12306" width="11" style="188" customWidth="1"/>
    <col min="12307" max="12307" width="14" style="188" customWidth="1"/>
    <col min="12308" max="12308" width="9.88671875" style="188" customWidth="1"/>
    <col min="12309" max="12312" width="8.88671875" style="188"/>
    <col min="12313" max="12313" width="15" style="188" customWidth="1"/>
    <col min="12314" max="12314" width="6.44140625" style="188" customWidth="1"/>
    <col min="12315" max="12315" width="5.6640625" style="188" customWidth="1"/>
    <col min="12316" max="12316" width="9.109375" style="188" customWidth="1"/>
    <col min="12317" max="12319" width="8.88671875" style="188"/>
    <col min="12320" max="12320" width="11.6640625" style="188" customWidth="1"/>
    <col min="12321" max="12544" width="8.88671875" style="188"/>
    <col min="12545" max="12545" width="6.44140625" style="188" customWidth="1"/>
    <col min="12546" max="12546" width="43.33203125" style="188" customWidth="1"/>
    <col min="12547" max="12547" width="11.109375" style="188" customWidth="1"/>
    <col min="12548" max="12548" width="13.109375" style="188" customWidth="1"/>
    <col min="12549" max="12549" width="13.88671875" style="188" customWidth="1"/>
    <col min="12550" max="12550" width="8.33203125" style="188" customWidth="1"/>
    <col min="12551" max="12551" width="13" style="188" customWidth="1"/>
    <col min="12552" max="12552" width="8.109375" style="188" customWidth="1"/>
    <col min="12553" max="12553" width="7.88671875" style="188" customWidth="1"/>
    <col min="12554" max="12554" width="11.109375" style="188" customWidth="1"/>
    <col min="12555" max="12555" width="9.44140625" style="188" customWidth="1"/>
    <col min="12556" max="12556" width="9.5546875" style="188" customWidth="1"/>
    <col min="12557" max="12557" width="10.77734375" style="188" customWidth="1"/>
    <col min="12558" max="12558" width="6.5546875" style="188" customWidth="1"/>
    <col min="12559" max="12559" width="7.5546875" style="188" customWidth="1"/>
    <col min="12560" max="12560" width="10.109375" style="188" customWidth="1"/>
    <col min="12561" max="12561" width="9.44140625" style="188" customWidth="1"/>
    <col min="12562" max="12562" width="11" style="188" customWidth="1"/>
    <col min="12563" max="12563" width="14" style="188" customWidth="1"/>
    <col min="12564" max="12564" width="9.88671875" style="188" customWidth="1"/>
    <col min="12565" max="12568" width="8.88671875" style="188"/>
    <col min="12569" max="12569" width="15" style="188" customWidth="1"/>
    <col min="12570" max="12570" width="6.44140625" style="188" customWidth="1"/>
    <col min="12571" max="12571" width="5.6640625" style="188" customWidth="1"/>
    <col min="12572" max="12572" width="9.109375" style="188" customWidth="1"/>
    <col min="12573" max="12575" width="8.88671875" style="188"/>
    <col min="12576" max="12576" width="11.6640625" style="188" customWidth="1"/>
    <col min="12577" max="12800" width="8.88671875" style="188"/>
    <col min="12801" max="12801" width="6.44140625" style="188" customWidth="1"/>
    <col min="12802" max="12802" width="43.33203125" style="188" customWidth="1"/>
    <col min="12803" max="12803" width="11.109375" style="188" customWidth="1"/>
    <col min="12804" max="12804" width="13.109375" style="188" customWidth="1"/>
    <col min="12805" max="12805" width="13.88671875" style="188" customWidth="1"/>
    <col min="12806" max="12806" width="8.33203125" style="188" customWidth="1"/>
    <col min="12807" max="12807" width="13" style="188" customWidth="1"/>
    <col min="12808" max="12808" width="8.109375" style="188" customWidth="1"/>
    <col min="12809" max="12809" width="7.88671875" style="188" customWidth="1"/>
    <col min="12810" max="12810" width="11.109375" style="188" customWidth="1"/>
    <col min="12811" max="12811" width="9.44140625" style="188" customWidth="1"/>
    <col min="12812" max="12812" width="9.5546875" style="188" customWidth="1"/>
    <col min="12813" max="12813" width="10.77734375" style="188" customWidth="1"/>
    <col min="12814" max="12814" width="6.5546875" style="188" customWidth="1"/>
    <col min="12815" max="12815" width="7.5546875" style="188" customWidth="1"/>
    <col min="12816" max="12816" width="10.109375" style="188" customWidth="1"/>
    <col min="12817" max="12817" width="9.44140625" style="188" customWidth="1"/>
    <col min="12818" max="12818" width="11" style="188" customWidth="1"/>
    <col min="12819" max="12819" width="14" style="188" customWidth="1"/>
    <col min="12820" max="12820" width="9.88671875" style="188" customWidth="1"/>
    <col min="12821" max="12824" width="8.88671875" style="188"/>
    <col min="12825" max="12825" width="15" style="188" customWidth="1"/>
    <col min="12826" max="12826" width="6.44140625" style="188" customWidth="1"/>
    <col min="12827" max="12827" width="5.6640625" style="188" customWidth="1"/>
    <col min="12828" max="12828" width="9.109375" style="188" customWidth="1"/>
    <col min="12829" max="12831" width="8.88671875" style="188"/>
    <col min="12832" max="12832" width="11.6640625" style="188" customWidth="1"/>
    <col min="12833" max="13056" width="8.88671875" style="188"/>
    <col min="13057" max="13057" width="6.44140625" style="188" customWidth="1"/>
    <col min="13058" max="13058" width="43.33203125" style="188" customWidth="1"/>
    <col min="13059" max="13059" width="11.109375" style="188" customWidth="1"/>
    <col min="13060" max="13060" width="13.109375" style="188" customWidth="1"/>
    <col min="13061" max="13061" width="13.88671875" style="188" customWidth="1"/>
    <col min="13062" max="13062" width="8.33203125" style="188" customWidth="1"/>
    <col min="13063" max="13063" width="13" style="188" customWidth="1"/>
    <col min="13064" max="13064" width="8.109375" style="188" customWidth="1"/>
    <col min="13065" max="13065" width="7.88671875" style="188" customWidth="1"/>
    <col min="13066" max="13066" width="11.109375" style="188" customWidth="1"/>
    <col min="13067" max="13067" width="9.44140625" style="188" customWidth="1"/>
    <col min="13068" max="13068" width="9.5546875" style="188" customWidth="1"/>
    <col min="13069" max="13069" width="10.77734375" style="188" customWidth="1"/>
    <col min="13070" max="13070" width="6.5546875" style="188" customWidth="1"/>
    <col min="13071" max="13071" width="7.5546875" style="188" customWidth="1"/>
    <col min="13072" max="13072" width="10.109375" style="188" customWidth="1"/>
    <col min="13073" max="13073" width="9.44140625" style="188" customWidth="1"/>
    <col min="13074" max="13074" width="11" style="188" customWidth="1"/>
    <col min="13075" max="13075" width="14" style="188" customWidth="1"/>
    <col min="13076" max="13076" width="9.88671875" style="188" customWidth="1"/>
    <col min="13077" max="13080" width="8.88671875" style="188"/>
    <col min="13081" max="13081" width="15" style="188" customWidth="1"/>
    <col min="13082" max="13082" width="6.44140625" style="188" customWidth="1"/>
    <col min="13083" max="13083" width="5.6640625" style="188" customWidth="1"/>
    <col min="13084" max="13084" width="9.109375" style="188" customWidth="1"/>
    <col min="13085" max="13087" width="8.88671875" style="188"/>
    <col min="13088" max="13088" width="11.6640625" style="188" customWidth="1"/>
    <col min="13089" max="13312" width="8.88671875" style="188"/>
    <col min="13313" max="13313" width="6.44140625" style="188" customWidth="1"/>
    <col min="13314" max="13314" width="43.33203125" style="188" customWidth="1"/>
    <col min="13315" max="13315" width="11.109375" style="188" customWidth="1"/>
    <col min="13316" max="13316" width="13.109375" style="188" customWidth="1"/>
    <col min="13317" max="13317" width="13.88671875" style="188" customWidth="1"/>
    <col min="13318" max="13318" width="8.33203125" style="188" customWidth="1"/>
    <col min="13319" max="13319" width="13" style="188" customWidth="1"/>
    <col min="13320" max="13320" width="8.109375" style="188" customWidth="1"/>
    <col min="13321" max="13321" width="7.88671875" style="188" customWidth="1"/>
    <col min="13322" max="13322" width="11.109375" style="188" customWidth="1"/>
    <col min="13323" max="13323" width="9.44140625" style="188" customWidth="1"/>
    <col min="13324" max="13324" width="9.5546875" style="188" customWidth="1"/>
    <col min="13325" max="13325" width="10.77734375" style="188" customWidth="1"/>
    <col min="13326" max="13326" width="6.5546875" style="188" customWidth="1"/>
    <col min="13327" max="13327" width="7.5546875" style="188" customWidth="1"/>
    <col min="13328" max="13328" width="10.109375" style="188" customWidth="1"/>
    <col min="13329" max="13329" width="9.44140625" style="188" customWidth="1"/>
    <col min="13330" max="13330" width="11" style="188" customWidth="1"/>
    <col min="13331" max="13331" width="14" style="188" customWidth="1"/>
    <col min="13332" max="13332" width="9.88671875" style="188" customWidth="1"/>
    <col min="13333" max="13336" width="8.88671875" style="188"/>
    <col min="13337" max="13337" width="15" style="188" customWidth="1"/>
    <col min="13338" max="13338" width="6.44140625" style="188" customWidth="1"/>
    <col min="13339" max="13339" width="5.6640625" style="188" customWidth="1"/>
    <col min="13340" max="13340" width="9.109375" style="188" customWidth="1"/>
    <col min="13341" max="13343" width="8.88671875" style="188"/>
    <col min="13344" max="13344" width="11.6640625" style="188" customWidth="1"/>
    <col min="13345" max="13568" width="8.88671875" style="188"/>
    <col min="13569" max="13569" width="6.44140625" style="188" customWidth="1"/>
    <col min="13570" max="13570" width="43.33203125" style="188" customWidth="1"/>
    <col min="13571" max="13571" width="11.109375" style="188" customWidth="1"/>
    <col min="13572" max="13572" width="13.109375" style="188" customWidth="1"/>
    <col min="13573" max="13573" width="13.88671875" style="188" customWidth="1"/>
    <col min="13574" max="13574" width="8.33203125" style="188" customWidth="1"/>
    <col min="13575" max="13575" width="13" style="188" customWidth="1"/>
    <col min="13576" max="13576" width="8.109375" style="188" customWidth="1"/>
    <col min="13577" max="13577" width="7.88671875" style="188" customWidth="1"/>
    <col min="13578" max="13578" width="11.109375" style="188" customWidth="1"/>
    <col min="13579" max="13579" width="9.44140625" style="188" customWidth="1"/>
    <col min="13580" max="13580" width="9.5546875" style="188" customWidth="1"/>
    <col min="13581" max="13581" width="10.77734375" style="188" customWidth="1"/>
    <col min="13582" max="13582" width="6.5546875" style="188" customWidth="1"/>
    <col min="13583" max="13583" width="7.5546875" style="188" customWidth="1"/>
    <col min="13584" max="13584" width="10.109375" style="188" customWidth="1"/>
    <col min="13585" max="13585" width="9.44140625" style="188" customWidth="1"/>
    <col min="13586" max="13586" width="11" style="188" customWidth="1"/>
    <col min="13587" max="13587" width="14" style="188" customWidth="1"/>
    <col min="13588" max="13588" width="9.88671875" style="188" customWidth="1"/>
    <col min="13589" max="13592" width="8.88671875" style="188"/>
    <col min="13593" max="13593" width="15" style="188" customWidth="1"/>
    <col min="13594" max="13594" width="6.44140625" style="188" customWidth="1"/>
    <col min="13595" max="13595" width="5.6640625" style="188" customWidth="1"/>
    <col min="13596" max="13596" width="9.109375" style="188" customWidth="1"/>
    <col min="13597" max="13599" width="8.88671875" style="188"/>
    <col min="13600" max="13600" width="11.6640625" style="188" customWidth="1"/>
    <col min="13601" max="13824" width="8.88671875" style="188"/>
    <col min="13825" max="13825" width="6.44140625" style="188" customWidth="1"/>
    <col min="13826" max="13826" width="43.33203125" style="188" customWidth="1"/>
    <col min="13827" max="13827" width="11.109375" style="188" customWidth="1"/>
    <col min="13828" max="13828" width="13.109375" style="188" customWidth="1"/>
    <col min="13829" max="13829" width="13.88671875" style="188" customWidth="1"/>
    <col min="13830" max="13830" width="8.33203125" style="188" customWidth="1"/>
    <col min="13831" max="13831" width="13" style="188" customWidth="1"/>
    <col min="13832" max="13832" width="8.109375" style="188" customWidth="1"/>
    <col min="13833" max="13833" width="7.88671875" style="188" customWidth="1"/>
    <col min="13834" max="13834" width="11.109375" style="188" customWidth="1"/>
    <col min="13835" max="13835" width="9.44140625" style="188" customWidth="1"/>
    <col min="13836" max="13836" width="9.5546875" style="188" customWidth="1"/>
    <col min="13837" max="13837" width="10.77734375" style="188" customWidth="1"/>
    <col min="13838" max="13838" width="6.5546875" style="188" customWidth="1"/>
    <col min="13839" max="13839" width="7.5546875" style="188" customWidth="1"/>
    <col min="13840" max="13840" width="10.109375" style="188" customWidth="1"/>
    <col min="13841" max="13841" width="9.44140625" style="188" customWidth="1"/>
    <col min="13842" max="13842" width="11" style="188" customWidth="1"/>
    <col min="13843" max="13843" width="14" style="188" customWidth="1"/>
    <col min="13844" max="13844" width="9.88671875" style="188" customWidth="1"/>
    <col min="13845" max="13848" width="8.88671875" style="188"/>
    <col min="13849" max="13849" width="15" style="188" customWidth="1"/>
    <col min="13850" max="13850" width="6.44140625" style="188" customWidth="1"/>
    <col min="13851" max="13851" width="5.6640625" style="188" customWidth="1"/>
    <col min="13852" max="13852" width="9.109375" style="188" customWidth="1"/>
    <col min="13853" max="13855" width="8.88671875" style="188"/>
    <col min="13856" max="13856" width="11.6640625" style="188" customWidth="1"/>
    <col min="13857" max="14080" width="8.88671875" style="188"/>
    <col min="14081" max="14081" width="6.44140625" style="188" customWidth="1"/>
    <col min="14082" max="14082" width="43.33203125" style="188" customWidth="1"/>
    <col min="14083" max="14083" width="11.109375" style="188" customWidth="1"/>
    <col min="14084" max="14084" width="13.109375" style="188" customWidth="1"/>
    <col min="14085" max="14085" width="13.88671875" style="188" customWidth="1"/>
    <col min="14086" max="14086" width="8.33203125" style="188" customWidth="1"/>
    <col min="14087" max="14087" width="13" style="188" customWidth="1"/>
    <col min="14088" max="14088" width="8.109375" style="188" customWidth="1"/>
    <col min="14089" max="14089" width="7.88671875" style="188" customWidth="1"/>
    <col min="14090" max="14090" width="11.109375" style="188" customWidth="1"/>
    <col min="14091" max="14091" width="9.44140625" style="188" customWidth="1"/>
    <col min="14092" max="14092" width="9.5546875" style="188" customWidth="1"/>
    <col min="14093" max="14093" width="10.77734375" style="188" customWidth="1"/>
    <col min="14094" max="14094" width="6.5546875" style="188" customWidth="1"/>
    <col min="14095" max="14095" width="7.5546875" style="188" customWidth="1"/>
    <col min="14096" max="14096" width="10.109375" style="188" customWidth="1"/>
    <col min="14097" max="14097" width="9.44140625" style="188" customWidth="1"/>
    <col min="14098" max="14098" width="11" style="188" customWidth="1"/>
    <col min="14099" max="14099" width="14" style="188" customWidth="1"/>
    <col min="14100" max="14100" width="9.88671875" style="188" customWidth="1"/>
    <col min="14101" max="14104" width="8.88671875" style="188"/>
    <col min="14105" max="14105" width="15" style="188" customWidth="1"/>
    <col min="14106" max="14106" width="6.44140625" style="188" customWidth="1"/>
    <col min="14107" max="14107" width="5.6640625" style="188" customWidth="1"/>
    <col min="14108" max="14108" width="9.109375" style="188" customWidth="1"/>
    <col min="14109" max="14111" width="8.88671875" style="188"/>
    <col min="14112" max="14112" width="11.6640625" style="188" customWidth="1"/>
    <col min="14113" max="14336" width="8.88671875" style="188"/>
    <col min="14337" max="14337" width="6.44140625" style="188" customWidth="1"/>
    <col min="14338" max="14338" width="43.33203125" style="188" customWidth="1"/>
    <col min="14339" max="14339" width="11.109375" style="188" customWidth="1"/>
    <col min="14340" max="14340" width="13.109375" style="188" customWidth="1"/>
    <col min="14341" max="14341" width="13.88671875" style="188" customWidth="1"/>
    <col min="14342" max="14342" width="8.33203125" style="188" customWidth="1"/>
    <col min="14343" max="14343" width="13" style="188" customWidth="1"/>
    <col min="14344" max="14344" width="8.109375" style="188" customWidth="1"/>
    <col min="14345" max="14345" width="7.88671875" style="188" customWidth="1"/>
    <col min="14346" max="14346" width="11.109375" style="188" customWidth="1"/>
    <col min="14347" max="14347" width="9.44140625" style="188" customWidth="1"/>
    <col min="14348" max="14348" width="9.5546875" style="188" customWidth="1"/>
    <col min="14349" max="14349" width="10.77734375" style="188" customWidth="1"/>
    <col min="14350" max="14350" width="6.5546875" style="188" customWidth="1"/>
    <col min="14351" max="14351" width="7.5546875" style="188" customWidth="1"/>
    <col min="14352" max="14352" width="10.109375" style="188" customWidth="1"/>
    <col min="14353" max="14353" width="9.44140625" style="188" customWidth="1"/>
    <col min="14354" max="14354" width="11" style="188" customWidth="1"/>
    <col min="14355" max="14355" width="14" style="188" customWidth="1"/>
    <col min="14356" max="14356" width="9.88671875" style="188" customWidth="1"/>
    <col min="14357" max="14360" width="8.88671875" style="188"/>
    <col min="14361" max="14361" width="15" style="188" customWidth="1"/>
    <col min="14362" max="14362" width="6.44140625" style="188" customWidth="1"/>
    <col min="14363" max="14363" width="5.6640625" style="188" customWidth="1"/>
    <col min="14364" max="14364" width="9.109375" style="188" customWidth="1"/>
    <col min="14365" max="14367" width="8.88671875" style="188"/>
    <col min="14368" max="14368" width="11.6640625" style="188" customWidth="1"/>
    <col min="14369" max="14592" width="8.88671875" style="188"/>
    <col min="14593" max="14593" width="6.44140625" style="188" customWidth="1"/>
    <col min="14594" max="14594" width="43.33203125" style="188" customWidth="1"/>
    <col min="14595" max="14595" width="11.109375" style="188" customWidth="1"/>
    <col min="14596" max="14596" width="13.109375" style="188" customWidth="1"/>
    <col min="14597" max="14597" width="13.88671875" style="188" customWidth="1"/>
    <col min="14598" max="14598" width="8.33203125" style="188" customWidth="1"/>
    <col min="14599" max="14599" width="13" style="188" customWidth="1"/>
    <col min="14600" max="14600" width="8.109375" style="188" customWidth="1"/>
    <col min="14601" max="14601" width="7.88671875" style="188" customWidth="1"/>
    <col min="14602" max="14602" width="11.109375" style="188" customWidth="1"/>
    <col min="14603" max="14603" width="9.44140625" style="188" customWidth="1"/>
    <col min="14604" max="14604" width="9.5546875" style="188" customWidth="1"/>
    <col min="14605" max="14605" width="10.77734375" style="188" customWidth="1"/>
    <col min="14606" max="14606" width="6.5546875" style="188" customWidth="1"/>
    <col min="14607" max="14607" width="7.5546875" style="188" customWidth="1"/>
    <col min="14608" max="14608" width="10.109375" style="188" customWidth="1"/>
    <col min="14609" max="14609" width="9.44140625" style="188" customWidth="1"/>
    <col min="14610" max="14610" width="11" style="188" customWidth="1"/>
    <col min="14611" max="14611" width="14" style="188" customWidth="1"/>
    <col min="14612" max="14612" width="9.88671875" style="188" customWidth="1"/>
    <col min="14613" max="14616" width="8.88671875" style="188"/>
    <col min="14617" max="14617" width="15" style="188" customWidth="1"/>
    <col min="14618" max="14618" width="6.44140625" style="188" customWidth="1"/>
    <col min="14619" max="14619" width="5.6640625" style="188" customWidth="1"/>
    <col min="14620" max="14620" width="9.109375" style="188" customWidth="1"/>
    <col min="14621" max="14623" width="8.88671875" style="188"/>
    <col min="14624" max="14624" width="11.6640625" style="188" customWidth="1"/>
    <col min="14625" max="14848" width="8.88671875" style="188"/>
    <col min="14849" max="14849" width="6.44140625" style="188" customWidth="1"/>
    <col min="14850" max="14850" width="43.33203125" style="188" customWidth="1"/>
    <col min="14851" max="14851" width="11.109375" style="188" customWidth="1"/>
    <col min="14852" max="14852" width="13.109375" style="188" customWidth="1"/>
    <col min="14853" max="14853" width="13.88671875" style="188" customWidth="1"/>
    <col min="14854" max="14854" width="8.33203125" style="188" customWidth="1"/>
    <col min="14855" max="14855" width="13" style="188" customWidth="1"/>
    <col min="14856" max="14856" width="8.109375" style="188" customWidth="1"/>
    <col min="14857" max="14857" width="7.88671875" style="188" customWidth="1"/>
    <col min="14858" max="14858" width="11.109375" style="188" customWidth="1"/>
    <col min="14859" max="14859" width="9.44140625" style="188" customWidth="1"/>
    <col min="14860" max="14860" width="9.5546875" style="188" customWidth="1"/>
    <col min="14861" max="14861" width="10.77734375" style="188" customWidth="1"/>
    <col min="14862" max="14862" width="6.5546875" style="188" customWidth="1"/>
    <col min="14863" max="14863" width="7.5546875" style="188" customWidth="1"/>
    <col min="14864" max="14864" width="10.109375" style="188" customWidth="1"/>
    <col min="14865" max="14865" width="9.44140625" style="188" customWidth="1"/>
    <col min="14866" max="14866" width="11" style="188" customWidth="1"/>
    <col min="14867" max="14867" width="14" style="188" customWidth="1"/>
    <col min="14868" max="14868" width="9.88671875" style="188" customWidth="1"/>
    <col min="14869" max="14872" width="8.88671875" style="188"/>
    <col min="14873" max="14873" width="15" style="188" customWidth="1"/>
    <col min="14874" max="14874" width="6.44140625" style="188" customWidth="1"/>
    <col min="14875" max="14875" width="5.6640625" style="188" customWidth="1"/>
    <col min="14876" max="14876" width="9.109375" style="188" customWidth="1"/>
    <col min="14877" max="14879" width="8.88671875" style="188"/>
    <col min="14880" max="14880" width="11.6640625" style="188" customWidth="1"/>
    <col min="14881" max="15104" width="8.88671875" style="188"/>
    <col min="15105" max="15105" width="6.44140625" style="188" customWidth="1"/>
    <col min="15106" max="15106" width="43.33203125" style="188" customWidth="1"/>
    <col min="15107" max="15107" width="11.109375" style="188" customWidth="1"/>
    <col min="15108" max="15108" width="13.109375" style="188" customWidth="1"/>
    <col min="15109" max="15109" width="13.88671875" style="188" customWidth="1"/>
    <col min="15110" max="15110" width="8.33203125" style="188" customWidth="1"/>
    <col min="15111" max="15111" width="13" style="188" customWidth="1"/>
    <col min="15112" max="15112" width="8.109375" style="188" customWidth="1"/>
    <col min="15113" max="15113" width="7.88671875" style="188" customWidth="1"/>
    <col min="15114" max="15114" width="11.109375" style="188" customWidth="1"/>
    <col min="15115" max="15115" width="9.44140625" style="188" customWidth="1"/>
    <col min="15116" max="15116" width="9.5546875" style="188" customWidth="1"/>
    <col min="15117" max="15117" width="10.77734375" style="188" customWidth="1"/>
    <col min="15118" max="15118" width="6.5546875" style="188" customWidth="1"/>
    <col min="15119" max="15119" width="7.5546875" style="188" customWidth="1"/>
    <col min="15120" max="15120" width="10.109375" style="188" customWidth="1"/>
    <col min="15121" max="15121" width="9.44140625" style="188" customWidth="1"/>
    <col min="15122" max="15122" width="11" style="188" customWidth="1"/>
    <col min="15123" max="15123" width="14" style="188" customWidth="1"/>
    <col min="15124" max="15124" width="9.88671875" style="188" customWidth="1"/>
    <col min="15125" max="15128" width="8.88671875" style="188"/>
    <col min="15129" max="15129" width="15" style="188" customWidth="1"/>
    <col min="15130" max="15130" width="6.44140625" style="188" customWidth="1"/>
    <col min="15131" max="15131" width="5.6640625" style="188" customWidth="1"/>
    <col min="15132" max="15132" width="9.109375" style="188" customWidth="1"/>
    <col min="15133" max="15135" width="8.88671875" style="188"/>
    <col min="15136" max="15136" width="11.6640625" style="188" customWidth="1"/>
    <col min="15137" max="15360" width="8.88671875" style="188"/>
    <col min="15361" max="15361" width="6.44140625" style="188" customWidth="1"/>
    <col min="15362" max="15362" width="43.33203125" style="188" customWidth="1"/>
    <col min="15363" max="15363" width="11.109375" style="188" customWidth="1"/>
    <col min="15364" max="15364" width="13.109375" style="188" customWidth="1"/>
    <col min="15365" max="15365" width="13.88671875" style="188" customWidth="1"/>
    <col min="15366" max="15366" width="8.33203125" style="188" customWidth="1"/>
    <col min="15367" max="15367" width="13" style="188" customWidth="1"/>
    <col min="15368" max="15368" width="8.109375" style="188" customWidth="1"/>
    <col min="15369" max="15369" width="7.88671875" style="188" customWidth="1"/>
    <col min="15370" max="15370" width="11.109375" style="188" customWidth="1"/>
    <col min="15371" max="15371" width="9.44140625" style="188" customWidth="1"/>
    <col min="15372" max="15372" width="9.5546875" style="188" customWidth="1"/>
    <col min="15373" max="15373" width="10.77734375" style="188" customWidth="1"/>
    <col min="15374" max="15374" width="6.5546875" style="188" customWidth="1"/>
    <col min="15375" max="15375" width="7.5546875" style="188" customWidth="1"/>
    <col min="15376" max="15376" width="10.109375" style="188" customWidth="1"/>
    <col min="15377" max="15377" width="9.44140625" style="188" customWidth="1"/>
    <col min="15378" max="15378" width="11" style="188" customWidth="1"/>
    <col min="15379" max="15379" width="14" style="188" customWidth="1"/>
    <col min="15380" max="15380" width="9.88671875" style="188" customWidth="1"/>
    <col min="15381" max="15384" width="8.88671875" style="188"/>
    <col min="15385" max="15385" width="15" style="188" customWidth="1"/>
    <col min="15386" max="15386" width="6.44140625" style="188" customWidth="1"/>
    <col min="15387" max="15387" width="5.6640625" style="188" customWidth="1"/>
    <col min="15388" max="15388" width="9.109375" style="188" customWidth="1"/>
    <col min="15389" max="15391" width="8.88671875" style="188"/>
    <col min="15392" max="15392" width="11.6640625" style="188" customWidth="1"/>
    <col min="15393" max="15616" width="8.88671875" style="188"/>
    <col min="15617" max="15617" width="6.44140625" style="188" customWidth="1"/>
    <col min="15618" max="15618" width="43.33203125" style="188" customWidth="1"/>
    <col min="15619" max="15619" width="11.109375" style="188" customWidth="1"/>
    <col min="15620" max="15620" width="13.109375" style="188" customWidth="1"/>
    <col min="15621" max="15621" width="13.88671875" style="188" customWidth="1"/>
    <col min="15622" max="15622" width="8.33203125" style="188" customWidth="1"/>
    <col min="15623" max="15623" width="13" style="188" customWidth="1"/>
    <col min="15624" max="15624" width="8.109375" style="188" customWidth="1"/>
    <col min="15625" max="15625" width="7.88671875" style="188" customWidth="1"/>
    <col min="15626" max="15626" width="11.109375" style="188" customWidth="1"/>
    <col min="15627" max="15627" width="9.44140625" style="188" customWidth="1"/>
    <col min="15628" max="15628" width="9.5546875" style="188" customWidth="1"/>
    <col min="15629" max="15629" width="10.77734375" style="188" customWidth="1"/>
    <col min="15630" max="15630" width="6.5546875" style="188" customWidth="1"/>
    <col min="15631" max="15631" width="7.5546875" style="188" customWidth="1"/>
    <col min="15632" max="15632" width="10.109375" style="188" customWidth="1"/>
    <col min="15633" max="15633" width="9.44140625" style="188" customWidth="1"/>
    <col min="15634" max="15634" width="11" style="188" customWidth="1"/>
    <col min="15635" max="15635" width="14" style="188" customWidth="1"/>
    <col min="15636" max="15636" width="9.88671875" style="188" customWidth="1"/>
    <col min="15637" max="15640" width="8.88671875" style="188"/>
    <col min="15641" max="15641" width="15" style="188" customWidth="1"/>
    <col min="15642" max="15642" width="6.44140625" style="188" customWidth="1"/>
    <col min="15643" max="15643" width="5.6640625" style="188" customWidth="1"/>
    <col min="15644" max="15644" width="9.109375" style="188" customWidth="1"/>
    <col min="15645" max="15647" width="8.88671875" style="188"/>
    <col min="15648" max="15648" width="11.6640625" style="188" customWidth="1"/>
    <col min="15649" max="15872" width="8.88671875" style="188"/>
    <col min="15873" max="15873" width="6.44140625" style="188" customWidth="1"/>
    <col min="15874" max="15874" width="43.33203125" style="188" customWidth="1"/>
    <col min="15875" max="15875" width="11.109375" style="188" customWidth="1"/>
    <col min="15876" max="15876" width="13.109375" style="188" customWidth="1"/>
    <col min="15877" max="15877" width="13.88671875" style="188" customWidth="1"/>
    <col min="15878" max="15878" width="8.33203125" style="188" customWidth="1"/>
    <col min="15879" max="15879" width="13" style="188" customWidth="1"/>
    <col min="15880" max="15880" width="8.109375" style="188" customWidth="1"/>
    <col min="15881" max="15881" width="7.88671875" style="188" customWidth="1"/>
    <col min="15882" max="15882" width="11.109375" style="188" customWidth="1"/>
    <col min="15883" max="15883" width="9.44140625" style="188" customWidth="1"/>
    <col min="15884" max="15884" width="9.5546875" style="188" customWidth="1"/>
    <col min="15885" max="15885" width="10.77734375" style="188" customWidth="1"/>
    <col min="15886" max="15886" width="6.5546875" style="188" customWidth="1"/>
    <col min="15887" max="15887" width="7.5546875" style="188" customWidth="1"/>
    <col min="15888" max="15888" width="10.109375" style="188" customWidth="1"/>
    <col min="15889" max="15889" width="9.44140625" style="188" customWidth="1"/>
    <col min="15890" max="15890" width="11" style="188" customWidth="1"/>
    <col min="15891" max="15891" width="14" style="188" customWidth="1"/>
    <col min="15892" max="15892" width="9.88671875" style="188" customWidth="1"/>
    <col min="15893" max="15896" width="8.88671875" style="188"/>
    <col min="15897" max="15897" width="15" style="188" customWidth="1"/>
    <col min="15898" max="15898" width="6.44140625" style="188" customWidth="1"/>
    <col min="15899" max="15899" width="5.6640625" style="188" customWidth="1"/>
    <col min="15900" max="15900" width="9.109375" style="188" customWidth="1"/>
    <col min="15901" max="15903" width="8.88671875" style="188"/>
    <col min="15904" max="15904" width="11.6640625" style="188" customWidth="1"/>
    <col min="15905" max="16128" width="8.88671875" style="188"/>
    <col min="16129" max="16129" width="6.44140625" style="188" customWidth="1"/>
    <col min="16130" max="16130" width="43.33203125" style="188" customWidth="1"/>
    <col min="16131" max="16131" width="11.109375" style="188" customWidth="1"/>
    <col min="16132" max="16132" width="13.109375" style="188" customWidth="1"/>
    <col min="16133" max="16133" width="13.88671875" style="188" customWidth="1"/>
    <col min="16134" max="16134" width="8.33203125" style="188" customWidth="1"/>
    <col min="16135" max="16135" width="13" style="188" customWidth="1"/>
    <col min="16136" max="16136" width="8.109375" style="188" customWidth="1"/>
    <col min="16137" max="16137" width="7.88671875" style="188" customWidth="1"/>
    <col min="16138" max="16138" width="11.109375" style="188" customWidth="1"/>
    <col min="16139" max="16139" width="9.44140625" style="188" customWidth="1"/>
    <col min="16140" max="16140" width="9.5546875" style="188" customWidth="1"/>
    <col min="16141" max="16141" width="10.77734375" style="188" customWidth="1"/>
    <col min="16142" max="16142" width="6.5546875" style="188" customWidth="1"/>
    <col min="16143" max="16143" width="7.5546875" style="188" customWidth="1"/>
    <col min="16144" max="16144" width="10.109375" style="188" customWidth="1"/>
    <col min="16145" max="16145" width="9.44140625" style="188" customWidth="1"/>
    <col min="16146" max="16146" width="11" style="188" customWidth="1"/>
    <col min="16147" max="16147" width="14" style="188" customWidth="1"/>
    <col min="16148" max="16148" width="9.88671875" style="188" customWidth="1"/>
    <col min="16149" max="16152" width="8.88671875" style="188"/>
    <col min="16153" max="16153" width="15" style="188" customWidth="1"/>
    <col min="16154" max="16154" width="6.44140625" style="188" customWidth="1"/>
    <col min="16155" max="16155" width="5.6640625" style="188" customWidth="1"/>
    <col min="16156" max="16156" width="9.109375" style="188" customWidth="1"/>
    <col min="16157" max="16159" width="8.88671875" style="188"/>
    <col min="16160" max="16160" width="11.6640625" style="188" customWidth="1"/>
    <col min="16161" max="16384" width="8.88671875" style="188"/>
  </cols>
  <sheetData>
    <row r="1" spans="1:36" ht="15.75" x14ac:dyDescent="0.25">
      <c r="A1" s="186"/>
      <c r="B1" s="186"/>
      <c r="C1" s="186"/>
      <c r="D1" s="186"/>
      <c r="E1" s="187" t="s">
        <v>250</v>
      </c>
      <c r="F1" s="186"/>
      <c r="G1" s="186"/>
      <c r="H1" s="186"/>
      <c r="I1" s="186"/>
      <c r="J1" s="186"/>
      <c r="K1" s="186"/>
      <c r="L1" s="186"/>
      <c r="M1" s="186"/>
      <c r="N1" s="186"/>
      <c r="O1" s="186"/>
      <c r="P1" s="186"/>
      <c r="Q1" s="186"/>
    </row>
    <row r="2" spans="1:36" ht="19.5" customHeight="1" x14ac:dyDescent="0.25">
      <c r="A2" s="186"/>
      <c r="B2" s="186"/>
      <c r="D2" s="186"/>
      <c r="F2" s="187"/>
      <c r="G2" s="187"/>
      <c r="H2" s="187"/>
      <c r="I2" s="186"/>
      <c r="J2" s="186"/>
      <c r="K2" s="186"/>
      <c r="L2" s="186"/>
      <c r="M2" s="186"/>
      <c r="N2" s="186"/>
      <c r="O2" s="186"/>
      <c r="P2" s="189"/>
      <c r="Q2" s="186"/>
    </row>
    <row r="3" spans="1:36" ht="15.75" x14ac:dyDescent="0.25">
      <c r="A3" s="186"/>
      <c r="B3" s="186"/>
      <c r="D3" s="186"/>
      <c r="E3" s="190" t="s">
        <v>251</v>
      </c>
      <c r="F3" s="191"/>
      <c r="G3" s="191"/>
      <c r="H3" s="192"/>
      <c r="I3" s="186"/>
      <c r="J3" s="186"/>
      <c r="L3" s="186"/>
      <c r="M3" s="186"/>
      <c r="N3" s="186"/>
      <c r="O3" s="186"/>
      <c r="P3" s="186"/>
      <c r="Q3" s="186"/>
    </row>
    <row r="4" spans="1:36" ht="15.75" x14ac:dyDescent="0.25">
      <c r="A4" s="186"/>
      <c r="B4" s="186"/>
      <c r="D4" s="186"/>
      <c r="E4" s="190" t="s">
        <v>252</v>
      </c>
      <c r="F4" s="191"/>
      <c r="G4" s="191"/>
      <c r="H4" s="193"/>
      <c r="I4" s="186"/>
      <c r="J4" s="186"/>
      <c r="K4" s="186"/>
      <c r="L4" s="186"/>
      <c r="M4" s="186"/>
      <c r="N4" s="186"/>
      <c r="O4" s="186"/>
      <c r="P4" s="186"/>
      <c r="Q4" s="186"/>
    </row>
    <row r="5" spans="1:36" ht="15.75" x14ac:dyDescent="0.25">
      <c r="A5" s="186"/>
      <c r="B5" s="186"/>
      <c r="C5" s="186"/>
      <c r="D5" s="186"/>
      <c r="E5" s="186"/>
      <c r="F5" s="186"/>
      <c r="G5" s="186"/>
      <c r="H5" s="186"/>
      <c r="I5" s="186"/>
      <c r="J5" s="186"/>
      <c r="K5" s="186"/>
      <c r="L5" s="186"/>
      <c r="M5" s="186"/>
      <c r="N5" s="186"/>
      <c r="O5" s="186"/>
      <c r="P5" s="69"/>
      <c r="Q5" s="186"/>
    </row>
    <row r="6" spans="1:36" ht="18" x14ac:dyDescent="0.25">
      <c r="A6" s="1045" t="s">
        <v>253</v>
      </c>
      <c r="B6" s="1045"/>
      <c r="C6" s="1045"/>
      <c r="D6" s="1045"/>
      <c r="E6" s="1045"/>
      <c r="F6" s="194"/>
      <c r="G6" s="194"/>
      <c r="H6" s="194"/>
      <c r="I6" s="186"/>
      <c r="J6" s="186"/>
      <c r="K6" s="186"/>
      <c r="L6" s="186"/>
      <c r="M6" s="186"/>
      <c r="N6" s="186"/>
      <c r="O6" s="186"/>
      <c r="P6" s="38"/>
      <c r="Q6" s="186"/>
    </row>
    <row r="7" spans="1:36" ht="18" x14ac:dyDescent="0.25">
      <c r="A7" s="1046" t="e">
        <f>#REF!</f>
        <v>#REF!</v>
      </c>
      <c r="B7" s="1046"/>
      <c r="C7" s="1046"/>
      <c r="D7" s="1046"/>
      <c r="E7" s="1046"/>
      <c r="F7" s="194"/>
      <c r="G7" s="194"/>
      <c r="H7" s="194"/>
      <c r="I7" s="186"/>
      <c r="J7" s="186"/>
      <c r="K7" s="186"/>
      <c r="L7" s="186"/>
      <c r="M7" s="186"/>
      <c r="N7" s="186"/>
      <c r="O7" s="186"/>
      <c r="P7" s="186"/>
      <c r="Q7" s="186"/>
    </row>
    <row r="8" spans="1:36" ht="39.75" customHeight="1" x14ac:dyDescent="0.25">
      <c r="A8" s="1047" t="e">
        <f>#REF!</f>
        <v>#REF!</v>
      </c>
      <c r="B8" s="1047" t="s">
        <v>254</v>
      </c>
      <c r="C8" s="1047"/>
      <c r="D8" s="1047"/>
      <c r="E8" s="1047"/>
      <c r="F8" s="194"/>
      <c r="G8" s="194"/>
      <c r="H8" s="194"/>
      <c r="I8" s="186"/>
      <c r="J8" s="186"/>
      <c r="K8" s="186"/>
      <c r="L8" s="186"/>
      <c r="M8" s="186"/>
      <c r="N8" s="186"/>
      <c r="O8" s="186"/>
      <c r="P8" s="186"/>
      <c r="Q8" s="186"/>
    </row>
    <row r="9" spans="1:36" ht="15.75" x14ac:dyDescent="0.25">
      <c r="A9" s="1048" t="s">
        <v>255</v>
      </c>
      <c r="B9" s="1048"/>
      <c r="C9" s="1048"/>
      <c r="D9" s="1048"/>
      <c r="E9" s="1048"/>
      <c r="F9" s="195"/>
      <c r="G9" s="195"/>
      <c r="H9" s="195"/>
      <c r="I9" s="186"/>
      <c r="J9" s="186"/>
      <c r="K9" s="186"/>
      <c r="L9" s="186"/>
      <c r="M9" s="186"/>
      <c r="N9" s="186"/>
      <c r="O9" s="186"/>
      <c r="P9" s="186"/>
      <c r="Q9" s="186"/>
    </row>
    <row r="10" spans="1:36" ht="15.75" x14ac:dyDescent="0.25">
      <c r="A10" s="1049" t="s">
        <v>256</v>
      </c>
      <c r="B10" s="1049"/>
      <c r="C10" s="1049"/>
      <c r="D10" s="1049"/>
      <c r="E10" s="1049"/>
      <c r="F10" s="195"/>
      <c r="G10" s="195"/>
      <c r="H10" s="195"/>
      <c r="I10" s="186"/>
      <c r="J10" s="186"/>
      <c r="K10" s="186"/>
      <c r="L10" s="186"/>
      <c r="M10" s="186"/>
      <c r="N10" s="186"/>
      <c r="O10" s="186"/>
      <c r="P10" s="186"/>
      <c r="Q10" s="186"/>
    </row>
    <row r="11" spans="1:36" ht="15.75" x14ac:dyDescent="0.25">
      <c r="A11" s="196"/>
      <c r="B11" s="196"/>
      <c r="C11" s="196"/>
      <c r="D11" s="186"/>
      <c r="E11" s="186"/>
      <c r="F11" s="195"/>
      <c r="G11" s="195"/>
      <c r="H11" s="195"/>
      <c r="I11" s="186"/>
      <c r="J11" s="186"/>
      <c r="K11" s="186"/>
      <c r="L11" s="186"/>
      <c r="M11" s="186"/>
      <c r="N11" s="186"/>
      <c r="O11" s="186"/>
      <c r="P11" s="186"/>
      <c r="Q11" s="186"/>
    </row>
    <row r="12" spans="1:36" ht="16.5" thickBot="1" x14ac:dyDescent="0.3">
      <c r="A12" s="197"/>
      <c r="B12" s="198" t="s">
        <v>257</v>
      </c>
      <c r="C12" s="199">
        <f>C44</f>
        <v>75</v>
      </c>
      <c r="D12" s="200"/>
      <c r="E12" s="201" t="s">
        <v>258</v>
      </c>
      <c r="F12" s="202"/>
      <c r="G12" s="202"/>
      <c r="H12" s="202"/>
      <c r="I12" s="186"/>
      <c r="J12" s="186"/>
      <c r="K12" s="202"/>
      <c r="L12" s="186"/>
      <c r="M12" s="186"/>
      <c r="N12" s="186"/>
      <c r="O12" s="186"/>
      <c r="P12" s="186"/>
      <c r="Q12" s="186"/>
      <c r="S12" s="203"/>
      <c r="T12" s="204"/>
      <c r="U12" s="204"/>
      <c r="V12" s="205"/>
      <c r="W12" s="204"/>
      <c r="AE12" s="204"/>
      <c r="AF12" s="204"/>
      <c r="AG12" s="204"/>
      <c r="AH12" s="204"/>
      <c r="AI12" s="204"/>
      <c r="AJ12" s="204"/>
    </row>
    <row r="13" spans="1:36" ht="16.5" thickBot="1" x14ac:dyDescent="0.3">
      <c r="A13" s="197"/>
      <c r="B13" s="198" t="s">
        <v>259</v>
      </c>
      <c r="C13" s="199">
        <f>C45</f>
        <v>68</v>
      </c>
      <c r="D13" s="200"/>
      <c r="E13" s="201"/>
      <c r="F13" s="202"/>
      <c r="G13" s="202"/>
      <c r="H13" s="202"/>
      <c r="I13" s="186"/>
      <c r="J13" s="186"/>
      <c r="K13" s="202"/>
      <c r="L13" s="186"/>
      <c r="M13" s="186"/>
      <c r="N13" s="186"/>
      <c r="O13" s="186"/>
      <c r="P13" s="186"/>
      <c r="Q13" s="186"/>
      <c r="S13" s="203"/>
      <c r="T13" s="204"/>
      <c r="U13" s="204"/>
      <c r="V13" s="205"/>
      <c r="W13" s="204"/>
      <c r="AE13" s="204"/>
      <c r="AF13" s="204"/>
      <c r="AG13" s="204"/>
      <c r="AH13" s="204"/>
      <c r="AI13" s="204"/>
      <c r="AJ13" s="204"/>
    </row>
    <row r="14" spans="1:36" ht="32.25" customHeight="1" thickBot="1" x14ac:dyDescent="0.3">
      <c r="A14" s="206" t="s">
        <v>260</v>
      </c>
      <c r="B14" s="207" t="s">
        <v>261</v>
      </c>
      <c r="C14" s="207" t="s">
        <v>14</v>
      </c>
      <c r="D14" s="208" t="s">
        <v>12</v>
      </c>
      <c r="E14" s="209" t="s">
        <v>4</v>
      </c>
      <c r="F14" s="196"/>
      <c r="G14" s="196"/>
      <c r="H14" s="210"/>
      <c r="I14" s="210"/>
      <c r="J14" s="210"/>
      <c r="K14" s="210"/>
      <c r="L14" s="211"/>
      <c r="M14" s="211"/>
      <c r="N14" s="211"/>
      <c r="O14" s="211"/>
      <c r="P14" s="195"/>
      <c r="Q14" s="186"/>
      <c r="R14" s="195"/>
      <c r="S14" s="212"/>
      <c r="T14" s="204"/>
      <c r="U14" s="204"/>
      <c r="V14" s="204"/>
      <c r="W14" s="204"/>
      <c r="X14" s="195"/>
      <c r="Y14" s="195"/>
      <c r="Z14" s="195"/>
      <c r="AA14" s="195"/>
      <c r="AB14" s="213"/>
      <c r="AE14" s="214"/>
      <c r="AF14" s="204"/>
      <c r="AG14" s="204"/>
      <c r="AH14" s="204"/>
      <c r="AI14" s="204"/>
      <c r="AJ14" s="204"/>
    </row>
    <row r="15" spans="1:36" ht="30" customHeight="1" x14ac:dyDescent="0.25">
      <c r="A15" s="215">
        <v>1</v>
      </c>
      <c r="B15" s="216" t="s">
        <v>262</v>
      </c>
      <c r="C15" s="217" t="e">
        <f>C54</f>
        <v>#REF!</v>
      </c>
      <c r="D15" s="218" t="e">
        <f>SUM(D54:G54)</f>
        <v>#REF!</v>
      </c>
      <c r="E15" s="219" t="e">
        <f>C15+D15</f>
        <v>#REF!</v>
      </c>
      <c r="F15" s="196"/>
      <c r="G15" s="196"/>
      <c r="H15" s="220"/>
      <c r="I15" s="221"/>
      <c r="J15" s="220"/>
      <c r="K15" s="221"/>
      <c r="L15" s="186"/>
      <c r="M15" s="186"/>
      <c r="N15" s="186"/>
      <c r="O15" s="186"/>
      <c r="P15" s="222"/>
      <c r="Q15" s="223"/>
      <c r="R15" s="224"/>
      <c r="S15" s="225"/>
      <c r="T15" s="204"/>
      <c r="U15" s="204"/>
      <c r="V15" s="204"/>
      <c r="W15" s="204"/>
      <c r="X15" s="224"/>
      <c r="Y15" s="224"/>
      <c r="Z15" s="224"/>
      <c r="AA15" s="224"/>
      <c r="AB15" s="224"/>
      <c r="AE15" s="226"/>
      <c r="AF15" s="227"/>
      <c r="AG15" s="204"/>
      <c r="AH15" s="204"/>
      <c r="AI15" s="204"/>
      <c r="AJ15" s="204"/>
    </row>
    <row r="16" spans="1:36" ht="37.5" customHeight="1" x14ac:dyDescent="0.25">
      <c r="A16" s="215">
        <v>2</v>
      </c>
      <c r="B16" s="228" t="s">
        <v>263</v>
      </c>
      <c r="C16" s="217" t="e">
        <f>C55+C56+C57</f>
        <v>#REF!</v>
      </c>
      <c r="D16" s="229" t="e">
        <f>SUM(D55:G57)</f>
        <v>#REF!</v>
      </c>
      <c r="E16" s="219" t="e">
        <f t="shared" ref="E16:E33" si="0">C16+D16</f>
        <v>#REF!</v>
      </c>
      <c r="F16" s="186"/>
      <c r="G16" s="186"/>
      <c r="H16" s="223"/>
      <c r="I16" s="189"/>
      <c r="J16" s="223"/>
      <c r="K16" s="230"/>
      <c r="L16" s="231"/>
      <c r="M16" s="231"/>
      <c r="N16" s="231"/>
      <c r="O16" s="231"/>
      <c r="P16" s="222"/>
      <c r="Q16" s="223"/>
      <c r="R16" s="224"/>
      <c r="S16" s="232"/>
      <c r="T16" s="233"/>
      <c r="U16" s="234"/>
      <c r="V16" s="234"/>
      <c r="W16" s="235"/>
      <c r="X16" s="224"/>
      <c r="Y16" s="224"/>
      <c r="Z16" s="224"/>
      <c r="AA16" s="224"/>
      <c r="AB16" s="224"/>
      <c r="AE16" s="226"/>
      <c r="AF16" s="227"/>
      <c r="AG16" s="204"/>
      <c r="AH16" s="236"/>
      <c r="AI16" s="204"/>
      <c r="AJ16" s="204"/>
    </row>
    <row r="17" spans="1:36" ht="34.5" customHeight="1" x14ac:dyDescent="0.25">
      <c r="A17" s="215">
        <v>3</v>
      </c>
      <c r="B17" s="228" t="s">
        <v>264</v>
      </c>
      <c r="C17" s="217"/>
      <c r="D17" s="237" t="e">
        <f>SUM(D58:G58)</f>
        <v>#REF!</v>
      </c>
      <c r="E17" s="219" t="e">
        <f t="shared" si="0"/>
        <v>#REF!</v>
      </c>
      <c r="F17" s="238"/>
      <c r="G17" s="238"/>
      <c r="H17" s="239"/>
      <c r="I17" s="240"/>
      <c r="J17" s="239"/>
      <c r="K17" s="240"/>
      <c r="L17" s="186"/>
      <c r="M17" s="186"/>
      <c r="N17" s="186"/>
      <c r="O17" s="186"/>
      <c r="P17" s="222"/>
      <c r="Q17" s="223"/>
      <c r="R17" s="224"/>
      <c r="S17" s="232"/>
      <c r="T17" s="241"/>
      <c r="U17" s="234"/>
      <c r="V17" s="234"/>
      <c r="W17" s="235"/>
      <c r="X17" s="224"/>
      <c r="Y17" s="224"/>
      <c r="Z17" s="224"/>
      <c r="AA17" s="224"/>
      <c r="AB17" s="224"/>
      <c r="AE17" s="204"/>
      <c r="AF17" s="204"/>
      <c r="AG17" s="204"/>
      <c r="AH17" s="204"/>
      <c r="AI17" s="204"/>
      <c r="AJ17" s="204"/>
    </row>
    <row r="18" spans="1:36" ht="23.25" customHeight="1" x14ac:dyDescent="0.25">
      <c r="A18" s="215">
        <v>4</v>
      </c>
      <c r="B18" s="242" t="s">
        <v>265</v>
      </c>
      <c r="C18" s="217" t="e">
        <f>C59</f>
        <v>#REF!</v>
      </c>
      <c r="D18" s="237">
        <f>SUM(D59:G59)</f>
        <v>0</v>
      </c>
      <c r="E18" s="219" t="e">
        <f t="shared" si="0"/>
        <v>#REF!</v>
      </c>
      <c r="F18" s="238"/>
      <c r="G18" s="238"/>
      <c r="H18" s="224"/>
      <c r="I18" s="222"/>
      <c r="J18" s="224"/>
      <c r="K18" s="243"/>
      <c r="L18" s="189"/>
      <c r="M18" s="189"/>
      <c r="N18" s="189"/>
      <c r="O18" s="189"/>
      <c r="P18" s="222"/>
      <c r="Q18" s="223"/>
      <c r="R18" s="224"/>
      <c r="S18" s="244"/>
      <c r="T18" s="245"/>
      <c r="U18" s="244"/>
      <c r="V18" s="244"/>
      <c r="W18" s="244"/>
      <c r="X18" s="224"/>
      <c r="Y18" s="224"/>
      <c r="Z18" s="224"/>
      <c r="AA18" s="224"/>
      <c r="AB18" s="224"/>
      <c r="AE18" s="244"/>
      <c r="AF18" s="244"/>
      <c r="AG18" s="246"/>
      <c r="AH18" s="246"/>
      <c r="AI18" s="234"/>
      <c r="AJ18" s="204"/>
    </row>
    <row r="19" spans="1:36" ht="30" customHeight="1" x14ac:dyDescent="0.25">
      <c r="A19" s="215">
        <v>5</v>
      </c>
      <c r="B19" s="228" t="s">
        <v>266</v>
      </c>
      <c r="C19" s="217"/>
      <c r="D19" s="237" t="e">
        <f>SUM(D61:G61)</f>
        <v>#REF!</v>
      </c>
      <c r="E19" s="219" t="e">
        <f t="shared" si="0"/>
        <v>#REF!</v>
      </c>
      <c r="F19" s="186"/>
      <c r="G19" s="238"/>
      <c r="H19" s="239"/>
      <c r="I19" s="240"/>
      <c r="J19" s="239"/>
      <c r="K19" s="240"/>
      <c r="L19" s="186"/>
      <c r="M19" s="186"/>
      <c r="N19" s="186"/>
      <c r="O19" s="186"/>
      <c r="P19" s="222"/>
      <c r="Q19" s="223"/>
      <c r="R19" s="224"/>
      <c r="S19" s="204"/>
      <c r="T19" s="204"/>
      <c r="U19" s="204"/>
      <c r="V19" s="204"/>
      <c r="W19" s="244"/>
      <c r="X19" s="224"/>
      <c r="Y19" s="224"/>
      <c r="Z19" s="224"/>
      <c r="AA19" s="224"/>
      <c r="AB19" s="224"/>
      <c r="AE19" s="244"/>
      <c r="AF19" s="244"/>
      <c r="AI19" s="247"/>
      <c r="AJ19" s="204"/>
    </row>
    <row r="20" spans="1:36" ht="30" customHeight="1" x14ac:dyDescent="0.25">
      <c r="A20" s="215">
        <v>6</v>
      </c>
      <c r="B20" s="228" t="s">
        <v>267</v>
      </c>
      <c r="C20" s="243"/>
      <c r="D20" s="237" t="e">
        <f>SUM(D60:G60)+SUM(D62:G62)</f>
        <v>#REF!</v>
      </c>
      <c r="E20" s="219" t="e">
        <f t="shared" si="0"/>
        <v>#REF!</v>
      </c>
      <c r="F20" s="186"/>
      <c r="G20" s="238"/>
      <c r="H20" s="239"/>
      <c r="I20" s="240"/>
      <c r="J20" s="239"/>
      <c r="K20" s="240"/>
      <c r="L20" s="186"/>
      <c r="M20" s="186"/>
      <c r="N20" s="186"/>
      <c r="O20" s="186"/>
      <c r="P20" s="222"/>
      <c r="Q20" s="223"/>
      <c r="R20" s="224"/>
      <c r="S20" s="204"/>
      <c r="T20" s="204"/>
      <c r="U20" s="204"/>
      <c r="V20" s="204"/>
      <c r="W20" s="244"/>
      <c r="X20" s="224"/>
      <c r="Y20" s="224"/>
      <c r="Z20" s="224"/>
      <c r="AA20" s="224"/>
      <c r="AB20" s="224"/>
      <c r="AE20" s="244"/>
      <c r="AF20" s="244"/>
      <c r="AI20" s="247"/>
      <c r="AJ20" s="204"/>
    </row>
    <row r="21" spans="1:36" ht="48.75" customHeight="1" x14ac:dyDescent="0.25">
      <c r="A21" s="215">
        <v>7</v>
      </c>
      <c r="B21" s="228" t="s">
        <v>268</v>
      </c>
      <c r="C21" s="248"/>
      <c r="D21" s="229" t="e">
        <f>SUM(D63:G66)</f>
        <v>#REF!</v>
      </c>
      <c r="E21" s="219" t="e">
        <f t="shared" si="0"/>
        <v>#REF!</v>
      </c>
      <c r="H21" s="239"/>
      <c r="I21" s="240"/>
      <c r="J21" s="239"/>
      <c r="K21" s="240"/>
    </row>
    <row r="22" spans="1:36" ht="42.75" customHeight="1" x14ac:dyDescent="0.25">
      <c r="A22" s="215">
        <v>8</v>
      </c>
      <c r="B22" s="249" t="s">
        <v>269</v>
      </c>
      <c r="C22" s="250" t="e">
        <f>C67</f>
        <v>#REF!</v>
      </c>
      <c r="D22" s="251"/>
      <c r="E22" s="219" t="e">
        <f t="shared" si="0"/>
        <v>#REF!</v>
      </c>
      <c r="F22" s="186"/>
      <c r="G22" s="239"/>
      <c r="H22" s="239"/>
      <c r="I22" s="252"/>
      <c r="J22" s="239"/>
      <c r="K22" s="230"/>
      <c r="L22" s="189"/>
      <c r="M22" s="189"/>
      <c r="N22" s="189"/>
      <c r="O22" s="189"/>
      <c r="P22" s="222"/>
      <c r="Q22" s="223"/>
      <c r="R22" s="224"/>
      <c r="S22" s="253"/>
      <c r="T22" s="254"/>
      <c r="U22" s="255"/>
      <c r="V22" s="256"/>
      <c r="W22" s="257"/>
      <c r="X22" s="224"/>
      <c r="Y22" s="224"/>
      <c r="Z22" s="224"/>
      <c r="AA22" s="224"/>
      <c r="AB22" s="224"/>
      <c r="AE22" s="254"/>
      <c r="AF22" s="258"/>
      <c r="AG22" s="259"/>
      <c r="AH22" s="248"/>
      <c r="AI22" s="227"/>
      <c r="AJ22" s="204"/>
    </row>
    <row r="23" spans="1:36" ht="22.5" customHeight="1" x14ac:dyDescent="0.25">
      <c r="A23" s="215">
        <v>9</v>
      </c>
      <c r="B23" s="242" t="s">
        <v>270</v>
      </c>
      <c r="C23" s="260" t="e">
        <f>C68</f>
        <v>#REF!</v>
      </c>
      <c r="D23" s="237"/>
      <c r="E23" s="219" t="e">
        <f t="shared" si="0"/>
        <v>#REF!</v>
      </c>
      <c r="F23" s="186"/>
      <c r="G23" s="238"/>
      <c r="H23" s="224"/>
      <c r="I23" s="222"/>
      <c r="J23" s="224"/>
      <c r="K23" s="243"/>
      <c r="L23" s="189"/>
      <c r="M23" s="189"/>
      <c r="N23" s="189"/>
      <c r="O23" s="189"/>
      <c r="P23" s="195"/>
      <c r="Q23" s="261"/>
      <c r="R23" s="238"/>
      <c r="S23" s="262"/>
      <c r="T23" s="254"/>
      <c r="U23" s="255"/>
      <c r="V23" s="256"/>
      <c r="W23" s="257"/>
      <c r="X23" s="238"/>
      <c r="Y23" s="238"/>
      <c r="Z23" s="238"/>
      <c r="AA23" s="224"/>
      <c r="AB23" s="224"/>
      <c r="AE23" s="254"/>
      <c r="AF23" s="258"/>
      <c r="AG23" s="263"/>
      <c r="AI23" s="204"/>
      <c r="AJ23" s="204"/>
    </row>
    <row r="24" spans="1:36" ht="34.5" customHeight="1" x14ac:dyDescent="0.25">
      <c r="A24" s="215">
        <v>10</v>
      </c>
      <c r="B24" s="249" t="s">
        <v>271</v>
      </c>
      <c r="C24" s="260" t="e">
        <f>C69</f>
        <v>#REF!</v>
      </c>
      <c r="D24" s="237" t="e">
        <f>G69</f>
        <v>#REF!</v>
      </c>
      <c r="E24" s="219" t="e">
        <f t="shared" si="0"/>
        <v>#REF!</v>
      </c>
      <c r="F24" s="186"/>
      <c r="G24" s="238"/>
      <c r="H24" s="239"/>
      <c r="I24" s="264"/>
      <c r="J24" s="239"/>
      <c r="K24" s="239"/>
      <c r="L24" s="189"/>
      <c r="M24" s="189"/>
      <c r="N24" s="189"/>
      <c r="O24" s="189"/>
      <c r="P24" s="195"/>
      <c r="Q24" s="261"/>
      <c r="R24" s="238"/>
      <c r="S24" s="262"/>
      <c r="T24" s="254"/>
      <c r="U24" s="255"/>
      <c r="V24" s="256"/>
      <c r="W24" s="257"/>
      <c r="X24" s="238"/>
      <c r="Y24" s="238"/>
      <c r="Z24" s="238"/>
      <c r="AA24" s="224"/>
      <c r="AB24" s="224"/>
      <c r="AE24" s="265"/>
      <c r="AF24" s="258"/>
      <c r="AG24" s="263"/>
      <c r="AI24" s="204"/>
      <c r="AJ24" s="204"/>
    </row>
    <row r="25" spans="1:36" ht="33.75" customHeight="1" x14ac:dyDescent="0.25">
      <c r="A25" s="266">
        <v>11</v>
      </c>
      <c r="B25" s="267" t="s">
        <v>272</v>
      </c>
      <c r="C25" s="1050" t="s">
        <v>273</v>
      </c>
      <c r="D25" s="1051"/>
      <c r="E25" s="1052"/>
      <c r="F25" s="186"/>
      <c r="G25" s="238"/>
      <c r="H25" s="239"/>
      <c r="I25" s="268"/>
      <c r="J25" s="239"/>
      <c r="K25" s="269"/>
      <c r="L25" s="189"/>
      <c r="M25" s="189"/>
      <c r="N25" s="189"/>
      <c r="O25" s="189"/>
      <c r="P25" s="222"/>
      <c r="Q25" s="223"/>
      <c r="R25" s="224"/>
      <c r="S25" s="253"/>
      <c r="T25" s="270"/>
      <c r="U25" s="234"/>
      <c r="V25" s="271"/>
      <c r="W25" s="235"/>
      <c r="X25" s="224"/>
      <c r="Y25" s="224"/>
      <c r="Z25" s="224"/>
      <c r="AB25" s="224"/>
      <c r="AE25" s="272"/>
      <c r="AF25" s="258"/>
      <c r="AG25" s="263"/>
      <c r="AI25" s="204"/>
      <c r="AJ25" s="204"/>
    </row>
    <row r="26" spans="1:36" ht="15.75" x14ac:dyDescent="0.25">
      <c r="A26" s="266">
        <v>12</v>
      </c>
      <c r="B26" s="273" t="s">
        <v>274</v>
      </c>
      <c r="C26" s="274" t="e">
        <f>SUM(C15:C24)</f>
        <v>#REF!</v>
      </c>
      <c r="D26" s="274" t="e">
        <f>SUM(D15:D24)</f>
        <v>#REF!</v>
      </c>
      <c r="E26" s="275" t="e">
        <f t="shared" si="0"/>
        <v>#REF!</v>
      </c>
      <c r="F26" s="186"/>
      <c r="G26" s="238"/>
      <c r="H26" s="276"/>
      <c r="I26" s="277"/>
      <c r="J26" s="278"/>
      <c r="K26" s="279"/>
      <c r="L26" s="186"/>
      <c r="M26" s="186"/>
      <c r="N26" s="186"/>
      <c r="O26" s="186"/>
      <c r="P26" s="222"/>
      <c r="Q26" s="223"/>
      <c r="R26" s="224"/>
      <c r="S26" s="253"/>
      <c r="T26" s="270"/>
      <c r="U26" s="234"/>
      <c r="V26" s="271"/>
      <c r="W26" s="235"/>
      <c r="X26" s="224"/>
      <c r="Y26" s="224"/>
      <c r="Z26" s="224"/>
      <c r="AB26" s="224"/>
      <c r="AE26" s="272"/>
      <c r="AF26" s="258"/>
      <c r="AG26" s="263"/>
      <c r="AI26" s="204"/>
      <c r="AJ26" s="204"/>
    </row>
    <row r="27" spans="1:36" ht="15.75" x14ac:dyDescent="0.25">
      <c r="A27" s="215">
        <v>13</v>
      </c>
      <c r="B27" s="280" t="s">
        <v>275</v>
      </c>
      <c r="C27" s="281">
        <v>0</v>
      </c>
      <c r="D27" s="282"/>
      <c r="E27" s="282"/>
      <c r="F27" s="283"/>
      <c r="G27" s="186"/>
      <c r="H27" s="186"/>
      <c r="L27" s="186"/>
      <c r="M27" s="186"/>
      <c r="N27" s="186"/>
      <c r="O27" s="186"/>
      <c r="P27" s="186"/>
      <c r="Q27" s="186"/>
      <c r="S27" s="284"/>
      <c r="T27" s="285"/>
      <c r="U27" s="244"/>
      <c r="V27" s="286"/>
      <c r="W27" s="245"/>
      <c r="AE27" s="245"/>
      <c r="AF27" s="245"/>
      <c r="AI27" s="245"/>
      <c r="AJ27" s="204">
        <f>AE27-AI27</f>
        <v>0</v>
      </c>
    </row>
    <row r="28" spans="1:36" ht="15.75" x14ac:dyDescent="0.25">
      <c r="A28" s="287" t="s">
        <v>126</v>
      </c>
      <c r="B28" s="288" t="s">
        <v>276</v>
      </c>
      <c r="C28" s="217"/>
      <c r="D28" s="289" t="e">
        <f>+(C16+C17+C18+C24)*0.075</f>
        <v>#REF!</v>
      </c>
      <c r="E28" s="219" t="e">
        <f t="shared" si="0"/>
        <v>#REF!</v>
      </c>
      <c r="F28" s="186"/>
      <c r="G28" s="186"/>
      <c r="H28" s="186"/>
      <c r="L28" s="186"/>
      <c r="M28" s="186"/>
      <c r="N28" s="186"/>
      <c r="O28" s="186"/>
      <c r="P28" s="186"/>
      <c r="Q28" s="186"/>
      <c r="S28" s="204"/>
      <c r="T28" s="290"/>
      <c r="U28" s="246"/>
      <c r="V28" s="265"/>
      <c r="W28" s="265"/>
      <c r="AE28" s="204"/>
      <c r="AF28" s="204"/>
      <c r="AI28" s="204"/>
      <c r="AJ28" s="204"/>
    </row>
    <row r="29" spans="1:36" ht="15.75" x14ac:dyDescent="0.25">
      <c r="A29" s="287" t="s">
        <v>164</v>
      </c>
      <c r="B29" s="242" t="s">
        <v>277</v>
      </c>
      <c r="C29" s="217"/>
      <c r="D29" s="289" t="e">
        <f>+(D28)*0.1</f>
        <v>#REF!</v>
      </c>
      <c r="E29" s="219" t="e">
        <f t="shared" si="0"/>
        <v>#REF!</v>
      </c>
      <c r="F29" s="186"/>
      <c r="G29" s="186"/>
      <c r="H29" s="186"/>
      <c r="I29" s="186"/>
      <c r="J29" s="186"/>
      <c r="K29" s="186"/>
      <c r="L29" s="186"/>
      <c r="M29" s="186"/>
      <c r="N29" s="186"/>
      <c r="O29" s="186"/>
      <c r="P29" s="186"/>
      <c r="Q29" s="186"/>
      <c r="S29" s="258"/>
      <c r="T29" s="291"/>
      <c r="U29" s="246"/>
      <c r="V29" s="265"/>
      <c r="W29" s="265"/>
      <c r="AE29" s="204"/>
      <c r="AF29" s="204"/>
      <c r="AI29" s="204"/>
      <c r="AJ29" s="204"/>
    </row>
    <row r="30" spans="1:36" ht="15.75" x14ac:dyDescent="0.25">
      <c r="A30" s="287" t="s">
        <v>165</v>
      </c>
      <c r="B30" s="242" t="s">
        <v>278</v>
      </c>
      <c r="C30" s="217"/>
      <c r="D30" s="289" t="e">
        <f>((C16+C17+C18+C24)+D28+D29)*0.18</f>
        <v>#REF!</v>
      </c>
      <c r="E30" s="219" t="e">
        <f t="shared" si="0"/>
        <v>#REF!</v>
      </c>
      <c r="F30" s="186"/>
      <c r="G30" s="186"/>
      <c r="H30" s="186"/>
      <c r="I30" s="186"/>
      <c r="J30" s="186"/>
      <c r="K30" s="186"/>
      <c r="L30" s="186"/>
      <c r="M30" s="186"/>
      <c r="N30" s="186"/>
      <c r="O30" s="186"/>
      <c r="P30" s="186"/>
      <c r="Q30" s="186"/>
      <c r="S30" s="258"/>
      <c r="T30" s="291"/>
      <c r="U30" s="246"/>
      <c r="V30" s="265"/>
      <c r="W30" s="265"/>
      <c r="AE30" s="204"/>
      <c r="AF30" s="204"/>
      <c r="AI30" s="204"/>
      <c r="AJ30" s="204"/>
    </row>
    <row r="31" spans="1:36" ht="20.25" customHeight="1" x14ac:dyDescent="0.25">
      <c r="A31" s="292" t="s">
        <v>166</v>
      </c>
      <c r="B31" s="249" t="s">
        <v>279</v>
      </c>
      <c r="C31" s="217"/>
      <c r="D31" s="289" t="e">
        <f>+(C15+C22+C23)*0.1/(1-0.1)</f>
        <v>#REF!</v>
      </c>
      <c r="E31" s="219" t="e">
        <f t="shared" si="0"/>
        <v>#REF!</v>
      </c>
      <c r="F31" s="186"/>
      <c r="G31" s="186"/>
      <c r="H31" s="186"/>
      <c r="I31" s="186"/>
      <c r="J31" s="186"/>
      <c r="K31" s="186"/>
      <c r="L31" s="186"/>
      <c r="M31" s="186"/>
      <c r="N31" s="186"/>
      <c r="O31" s="186"/>
      <c r="P31" s="186"/>
      <c r="Q31" s="186"/>
      <c r="S31" s="204"/>
      <c r="T31" s="214"/>
      <c r="U31" s="246"/>
      <c r="V31" s="265"/>
      <c r="W31" s="265"/>
      <c r="AE31" s="293"/>
      <c r="AF31" s="204"/>
      <c r="AI31" s="293"/>
      <c r="AJ31" s="204"/>
    </row>
    <row r="32" spans="1:36" ht="15.75" x14ac:dyDescent="0.25">
      <c r="A32" s="292" t="s">
        <v>21</v>
      </c>
      <c r="B32" s="249" t="s">
        <v>280</v>
      </c>
      <c r="C32" s="294"/>
      <c r="D32" s="295" t="e">
        <f>+(C15+C22+C23+D31)*0.18</f>
        <v>#REF!</v>
      </c>
      <c r="E32" s="296" t="e">
        <f t="shared" si="0"/>
        <v>#REF!</v>
      </c>
      <c r="F32" s="186"/>
      <c r="G32" s="186"/>
      <c r="H32" s="186"/>
      <c r="I32" s="186"/>
      <c r="J32" s="238"/>
      <c r="K32" s="186"/>
      <c r="L32" s="186"/>
      <c r="M32" s="186"/>
      <c r="N32" s="186"/>
      <c r="O32" s="186"/>
      <c r="P32" s="186"/>
      <c r="Q32" s="186"/>
      <c r="S32" s="245"/>
      <c r="T32" s="297"/>
      <c r="U32" s="246"/>
      <c r="V32" s="246"/>
      <c r="W32" s="246"/>
      <c r="AE32" s="265"/>
      <c r="AF32" s="245"/>
      <c r="AI32" s="204"/>
      <c r="AJ32" s="204"/>
    </row>
    <row r="33" spans="1:36" ht="15.75" x14ac:dyDescent="0.25">
      <c r="A33" s="298"/>
      <c r="B33" s="299" t="s">
        <v>281</v>
      </c>
      <c r="C33" s="300">
        <f>SUM(C28:C32)</f>
        <v>0</v>
      </c>
      <c r="D33" s="289" t="e">
        <f>SUM(D28:D32)</f>
        <v>#REF!</v>
      </c>
      <c r="E33" s="219" t="e">
        <f t="shared" si="0"/>
        <v>#REF!</v>
      </c>
      <c r="F33" s="186"/>
      <c r="G33" s="186"/>
      <c r="H33" s="186"/>
      <c r="I33" s="186"/>
      <c r="J33" s="301"/>
      <c r="K33" s="238"/>
      <c r="L33" s="186"/>
      <c r="M33" s="186"/>
      <c r="N33" s="186"/>
      <c r="O33" s="186"/>
      <c r="P33" s="186"/>
      <c r="Q33" s="186"/>
      <c r="S33" s="245"/>
      <c r="T33" s="302"/>
      <c r="U33" s="303"/>
      <c r="V33" s="303"/>
      <c r="W33" s="303"/>
      <c r="AE33" s="272"/>
      <c r="AF33" s="245"/>
      <c r="AI33" s="204"/>
      <c r="AJ33" s="204"/>
    </row>
    <row r="34" spans="1:36" ht="15.75" x14ac:dyDescent="0.25">
      <c r="A34" s="304">
        <v>14</v>
      </c>
      <c r="B34" s="305" t="s">
        <v>282</v>
      </c>
      <c r="C34" s="306" t="e">
        <f>C33+C26</f>
        <v>#REF!</v>
      </c>
      <c r="D34" s="306" t="e">
        <f>D33+D26</f>
        <v>#REF!</v>
      </c>
      <c r="E34" s="306" t="e">
        <f>E33+E26</f>
        <v>#REF!</v>
      </c>
      <c r="F34" s="186"/>
      <c r="G34" s="186"/>
      <c r="H34" s="186"/>
      <c r="I34" s="186"/>
      <c r="J34" s="301"/>
      <c r="K34" s="238"/>
      <c r="L34" s="186"/>
      <c r="M34" s="186"/>
      <c r="N34" s="186"/>
      <c r="O34" s="186"/>
      <c r="P34" s="186"/>
      <c r="Q34" s="186"/>
      <c r="S34" s="245"/>
      <c r="T34" s="302"/>
      <c r="U34" s="246"/>
      <c r="V34" s="307"/>
      <c r="W34" s="265"/>
      <c r="AE34" s="272"/>
      <c r="AF34" s="245"/>
      <c r="AI34" s="204"/>
      <c r="AJ34" s="204"/>
    </row>
    <row r="35" spans="1:36" ht="15.75" x14ac:dyDescent="0.25">
      <c r="A35" s="308">
        <v>15</v>
      </c>
      <c r="B35" s="309" t="s">
        <v>283</v>
      </c>
      <c r="C35" s="310"/>
      <c r="D35" s="311" t="e">
        <f>I73</f>
        <v>#REF!</v>
      </c>
      <c r="E35" s="310" t="e">
        <f>C35+D35</f>
        <v>#REF!</v>
      </c>
      <c r="F35" s="186"/>
      <c r="G35" s="186"/>
      <c r="H35" s="186"/>
      <c r="I35" s="186"/>
      <c r="J35" s="301"/>
      <c r="K35" s="238"/>
      <c r="L35" s="186"/>
      <c r="M35" s="186"/>
      <c r="N35" s="186"/>
      <c r="O35" s="186"/>
      <c r="P35" s="186"/>
      <c r="Q35" s="186"/>
      <c r="S35" s="245"/>
      <c r="T35" s="302"/>
      <c r="U35" s="246"/>
      <c r="V35" s="307"/>
      <c r="W35" s="265"/>
      <c r="AE35" s="272"/>
      <c r="AF35" s="245"/>
      <c r="AI35" s="204"/>
      <c r="AJ35" s="204"/>
    </row>
    <row r="36" spans="1:36" ht="15.75" x14ac:dyDescent="0.25">
      <c r="A36" s="304">
        <v>16</v>
      </c>
      <c r="B36" s="305" t="s">
        <v>284</v>
      </c>
      <c r="C36" s="312" t="e">
        <f>C34-C35</f>
        <v>#REF!</v>
      </c>
      <c r="D36" s="312" t="e">
        <f>D34-D35</f>
        <v>#REF!</v>
      </c>
      <c r="E36" s="312" t="e">
        <f>E34-E35</f>
        <v>#REF!</v>
      </c>
      <c r="F36" s="186"/>
      <c r="G36" s="186"/>
      <c r="H36" s="69"/>
      <c r="I36" s="313"/>
      <c r="J36" s="314"/>
      <c r="K36" s="186"/>
      <c r="L36" s="186"/>
      <c r="M36" s="186"/>
      <c r="N36" s="186"/>
      <c r="O36" s="186"/>
      <c r="P36" s="186"/>
      <c r="Q36" s="186"/>
    </row>
    <row r="37" spans="1:36" ht="15.75" x14ac:dyDescent="0.25">
      <c r="A37" s="193"/>
      <c r="B37" s="315"/>
      <c r="C37" s="195"/>
      <c r="D37" s="186"/>
      <c r="E37" s="186"/>
      <c r="F37" s="186"/>
      <c r="G37" s="186"/>
      <c r="H37" s="186"/>
      <c r="I37" s="313"/>
      <c r="J37" s="316"/>
      <c r="K37" s="186"/>
      <c r="L37" s="186"/>
      <c r="M37" s="186"/>
      <c r="N37" s="186"/>
      <c r="O37" s="186"/>
      <c r="P37" s="186"/>
      <c r="Q37" s="186"/>
    </row>
    <row r="38" spans="1:36" ht="15.75" x14ac:dyDescent="0.25">
      <c r="A38" s="193"/>
      <c r="B38" s="315"/>
      <c r="C38" s="195"/>
      <c r="D38" s="186"/>
      <c r="E38" s="186"/>
      <c r="F38" s="186"/>
      <c r="G38" s="186"/>
      <c r="H38" s="186"/>
      <c r="I38" s="314"/>
      <c r="J38" s="316"/>
      <c r="K38" s="186"/>
      <c r="L38" s="186"/>
      <c r="M38" s="186"/>
      <c r="N38" s="186"/>
      <c r="O38" s="186"/>
      <c r="P38" s="186"/>
      <c r="Q38" s="186"/>
    </row>
    <row r="39" spans="1:36" ht="15.75" x14ac:dyDescent="0.25">
      <c r="A39" s="193"/>
      <c r="B39" s="315"/>
      <c r="C39" s="195"/>
      <c r="D39" s="186"/>
      <c r="E39" s="186"/>
      <c r="F39" s="186"/>
      <c r="G39" s="69"/>
      <c r="H39" s="186"/>
      <c r="I39" s="186"/>
      <c r="J39" s="316"/>
      <c r="K39" s="186"/>
      <c r="L39" s="186"/>
      <c r="M39" s="186"/>
      <c r="N39" s="186"/>
      <c r="O39" s="186"/>
      <c r="P39" s="186"/>
      <c r="Q39" s="186"/>
    </row>
    <row r="40" spans="1:36" ht="15.75" x14ac:dyDescent="0.25">
      <c r="A40" s="193"/>
      <c r="B40" s="315"/>
      <c r="C40" s="195"/>
      <c r="D40" s="186"/>
      <c r="E40" s="317" t="s">
        <v>314</v>
      </c>
      <c r="F40" s="186"/>
      <c r="G40" s="186"/>
      <c r="H40" s="186"/>
      <c r="I40" s="314"/>
      <c r="J40" s="316"/>
      <c r="K40" s="186"/>
      <c r="L40" s="186"/>
      <c r="M40" s="186"/>
      <c r="N40" s="186"/>
      <c r="O40" s="186"/>
      <c r="P40" s="186"/>
      <c r="Q40" s="186"/>
    </row>
    <row r="41" spans="1:36" ht="15.75" x14ac:dyDescent="0.25">
      <c r="A41" s="193"/>
      <c r="B41" s="315"/>
      <c r="C41" s="195"/>
      <c r="D41" s="186"/>
      <c r="E41" s="317" t="s">
        <v>315</v>
      </c>
      <c r="F41" s="186"/>
      <c r="G41" s="186"/>
      <c r="H41" s="186"/>
      <c r="I41" s="186"/>
      <c r="J41" s="316"/>
      <c r="K41" s="186"/>
      <c r="L41" s="186"/>
      <c r="M41" s="186"/>
      <c r="N41" s="186"/>
      <c r="O41" s="186"/>
      <c r="P41" s="186"/>
      <c r="Q41" s="186"/>
    </row>
    <row r="42" spans="1:36" ht="15.75" x14ac:dyDescent="0.25">
      <c r="A42" s="193"/>
      <c r="B42" s="315"/>
      <c r="C42" s="195"/>
      <c r="D42" s="186"/>
      <c r="E42" s="318" t="s">
        <v>285</v>
      </c>
      <c r="F42" s="186"/>
      <c r="G42" s="186"/>
      <c r="H42" s="186"/>
      <c r="I42" s="186"/>
      <c r="J42" s="316"/>
      <c r="K42" s="186"/>
      <c r="L42" s="186"/>
      <c r="M42" s="186"/>
      <c r="N42" s="186"/>
      <c r="O42" s="186"/>
      <c r="P42" s="186"/>
      <c r="Q42" s="186"/>
    </row>
    <row r="43" spans="1:36" ht="15.75" x14ac:dyDescent="0.25">
      <c r="A43" s="193"/>
      <c r="B43" s="315"/>
      <c r="C43" s="195"/>
      <c r="D43" s="186"/>
      <c r="E43" s="318"/>
      <c r="F43" s="186"/>
      <c r="G43" s="186"/>
      <c r="H43" s="186"/>
      <c r="I43" s="186"/>
      <c r="J43" s="316"/>
      <c r="K43" s="186"/>
      <c r="L43" s="186"/>
      <c r="M43" s="186"/>
      <c r="N43" s="186"/>
      <c r="O43" s="186"/>
      <c r="P43" s="186"/>
      <c r="Q43" s="186"/>
    </row>
    <row r="44" spans="1:36" ht="15.75" x14ac:dyDescent="0.25">
      <c r="A44" s="193"/>
      <c r="B44" s="319" t="s">
        <v>257</v>
      </c>
      <c r="C44" s="320">
        <v>75</v>
      </c>
      <c r="D44" s="321" t="s">
        <v>286</v>
      </c>
      <c r="F44" s="186"/>
      <c r="I44" s="316"/>
      <c r="L44" s="186"/>
      <c r="M44" s="186"/>
      <c r="N44" s="186"/>
      <c r="O44" s="186"/>
      <c r="P44" s="186"/>
      <c r="Q44" s="186"/>
      <c r="S44" s="322"/>
      <c r="T44" s="248"/>
      <c r="U44" s="248"/>
      <c r="V44" s="248"/>
      <c r="W44" s="248"/>
      <c r="AF44" s="248"/>
      <c r="AG44" s="248"/>
      <c r="AH44" s="248"/>
      <c r="AI44" s="248"/>
      <c r="AJ44" s="323"/>
    </row>
    <row r="45" spans="1:36" ht="15.75" x14ac:dyDescent="0.25">
      <c r="A45" s="193"/>
      <c r="B45" s="319" t="s">
        <v>259</v>
      </c>
      <c r="C45" s="320">
        <v>68</v>
      </c>
      <c r="D45" s="324" t="s">
        <v>287</v>
      </c>
      <c r="F45" s="186"/>
      <c r="G45" s="186"/>
      <c r="H45" s="186"/>
      <c r="I45" s="186"/>
      <c r="J45" s="316"/>
      <c r="L45" s="186"/>
      <c r="M45" s="186"/>
      <c r="N45" s="186"/>
      <c r="O45" s="186"/>
      <c r="P45" s="186"/>
      <c r="Q45" s="186"/>
      <c r="Y45" s="325"/>
      <c r="Z45" s="326"/>
      <c r="AA45" s="326"/>
      <c r="AB45" s="327"/>
      <c r="AC45" s="326"/>
    </row>
    <row r="46" spans="1:36" ht="15.75" x14ac:dyDescent="0.25">
      <c r="A46" s="193"/>
      <c r="B46" s="328" t="s">
        <v>288</v>
      </c>
      <c r="C46" s="329">
        <v>0.06</v>
      </c>
      <c r="D46" s="330"/>
      <c r="F46" s="186"/>
      <c r="G46" s="186"/>
      <c r="H46" s="186"/>
      <c r="I46" s="186"/>
      <c r="J46" s="316"/>
      <c r="K46" s="186"/>
      <c r="L46" s="186"/>
      <c r="M46" s="186"/>
      <c r="N46" s="186"/>
      <c r="O46" s="186"/>
      <c r="P46" s="186"/>
      <c r="Q46" s="186"/>
      <c r="Y46" s="325"/>
      <c r="Z46" s="326"/>
      <c r="AA46" s="326"/>
      <c r="AB46" s="327"/>
      <c r="AC46" s="326"/>
    </row>
    <row r="47" spans="1:36" ht="15.75" x14ac:dyDescent="0.25">
      <c r="A47" s="193"/>
      <c r="B47" s="328" t="s">
        <v>289</v>
      </c>
      <c r="C47" s="329">
        <v>0.12</v>
      </c>
      <c r="D47" s="331"/>
      <c r="E47" s="332"/>
      <c r="F47" s="186"/>
      <c r="G47" s="186"/>
      <c r="H47" s="186"/>
      <c r="I47" s="186"/>
      <c r="J47" s="316"/>
      <c r="K47" s="186"/>
      <c r="L47" s="186"/>
      <c r="M47" s="186"/>
      <c r="N47" s="186"/>
      <c r="O47" s="186"/>
      <c r="P47" s="186"/>
      <c r="Q47" s="186"/>
      <c r="Y47" s="325"/>
      <c r="Z47" s="326"/>
      <c r="AA47" s="326"/>
      <c r="AB47" s="327"/>
      <c r="AC47" s="326"/>
    </row>
    <row r="48" spans="1:36" ht="15.75" x14ac:dyDescent="0.25">
      <c r="A48" s="193"/>
      <c r="B48" s="328" t="s">
        <v>290</v>
      </c>
      <c r="C48" s="329">
        <v>0.2</v>
      </c>
      <c r="D48" s="331"/>
      <c r="E48" s="332"/>
      <c r="F48" s="186"/>
      <c r="G48" s="186"/>
      <c r="H48" s="186"/>
      <c r="I48" s="186" t="s">
        <v>153</v>
      </c>
      <c r="K48" s="186"/>
      <c r="L48" s="186"/>
      <c r="M48" s="186"/>
      <c r="N48" s="186"/>
      <c r="O48" s="186"/>
      <c r="P48" s="186"/>
      <c r="Q48" s="186"/>
      <c r="Y48" s="325"/>
      <c r="Z48" s="326"/>
      <c r="AA48" s="326"/>
      <c r="AB48" s="327"/>
      <c r="AC48" s="326"/>
    </row>
    <row r="49" spans="1:29" ht="15.75" x14ac:dyDescent="0.25">
      <c r="A49" s="193"/>
      <c r="B49" s="328" t="s">
        <v>291</v>
      </c>
      <c r="C49" s="329">
        <v>0.12</v>
      </c>
      <c r="D49" s="330"/>
      <c r="F49" s="186"/>
      <c r="G49" s="186"/>
      <c r="H49" s="186"/>
      <c r="I49" s="186"/>
      <c r="J49" s="316"/>
      <c r="K49" s="186"/>
      <c r="L49" s="186"/>
      <c r="M49" s="186"/>
      <c r="N49" s="186"/>
      <c r="O49" s="186"/>
      <c r="P49" s="186"/>
      <c r="Q49" s="186"/>
      <c r="Y49" s="325"/>
      <c r="Z49" s="326"/>
      <c r="AA49" s="326"/>
      <c r="AB49" s="327"/>
      <c r="AC49" s="326"/>
    </row>
    <row r="50" spans="1:29" ht="15.75" x14ac:dyDescent="0.25">
      <c r="A50" s="193"/>
      <c r="B50" s="333" t="s">
        <v>38</v>
      </c>
      <c r="C50" s="329">
        <v>7.4999999999999997E-2</v>
      </c>
      <c r="D50" s="330"/>
      <c r="F50" s="186"/>
      <c r="G50" s="186"/>
      <c r="H50" s="186"/>
      <c r="I50" s="186"/>
      <c r="J50" s="316"/>
      <c r="K50" s="186"/>
      <c r="L50" s="186"/>
      <c r="M50" s="186"/>
      <c r="N50" s="186"/>
      <c r="O50" s="186"/>
      <c r="P50" s="186"/>
      <c r="Q50" s="186"/>
      <c r="Y50" s="325"/>
      <c r="Z50" s="326"/>
      <c r="AA50" s="326"/>
      <c r="AB50" s="327"/>
      <c r="AC50" s="326"/>
    </row>
    <row r="51" spans="1:29" ht="15.75" x14ac:dyDescent="0.25">
      <c r="A51" s="334" t="s">
        <v>25</v>
      </c>
      <c r="B51" s="335" t="s">
        <v>3</v>
      </c>
      <c r="C51" s="1043" t="s">
        <v>292</v>
      </c>
      <c r="D51" s="1043"/>
      <c r="E51" s="1044" t="s">
        <v>293</v>
      </c>
      <c r="F51" s="1044"/>
      <c r="G51" s="1044"/>
      <c r="H51" s="336"/>
      <c r="I51" s="336"/>
      <c r="J51" s="297"/>
      <c r="K51" s="297"/>
      <c r="L51" s="186"/>
      <c r="M51" s="186"/>
      <c r="N51" s="186"/>
      <c r="O51" s="186"/>
      <c r="P51" s="186"/>
      <c r="Q51" s="186"/>
      <c r="S51" s="337"/>
      <c r="T51" s="337"/>
      <c r="U51" s="337"/>
      <c r="V51" s="337"/>
      <c r="W51" s="337"/>
      <c r="Y51" s="325"/>
      <c r="Z51" s="248"/>
      <c r="AA51" s="248"/>
      <c r="AB51" s="248"/>
      <c r="AC51" s="326"/>
    </row>
    <row r="52" spans="1:29" ht="30" x14ac:dyDescent="0.25">
      <c r="A52" s="338"/>
      <c r="B52" s="339"/>
      <c r="C52" s="340" t="s">
        <v>294</v>
      </c>
      <c r="D52" s="341" t="s">
        <v>295</v>
      </c>
      <c r="E52" s="342" t="s">
        <v>296</v>
      </c>
      <c r="F52" s="342" t="s">
        <v>297</v>
      </c>
      <c r="G52" s="340" t="s">
        <v>298</v>
      </c>
      <c r="H52" s="343" t="s">
        <v>299</v>
      </c>
      <c r="I52" s="344" t="s">
        <v>4</v>
      </c>
      <c r="L52" s="186"/>
      <c r="M52" s="186"/>
      <c r="N52" s="186"/>
      <c r="O52" s="186"/>
      <c r="P52" s="186"/>
      <c r="Q52" s="186"/>
      <c r="S52" s="337"/>
      <c r="T52" s="337"/>
      <c r="U52" s="337"/>
      <c r="V52" s="337"/>
      <c r="W52" s="337"/>
      <c r="Y52" s="345"/>
      <c r="AC52" s="248"/>
    </row>
    <row r="53" spans="1:29" ht="15.75" x14ac:dyDescent="0.25">
      <c r="A53" s="338"/>
      <c r="B53" s="346" t="e">
        <f>#REF!</f>
        <v>#REF!</v>
      </c>
      <c r="C53" s="347" t="e">
        <f>#REF!</f>
        <v>#REF!</v>
      </c>
      <c r="D53" s="348" t="e">
        <f>(B53-C53)</f>
        <v>#REF!</v>
      </c>
      <c r="E53" s="349">
        <v>0.18</v>
      </c>
      <c r="F53" s="349">
        <v>0.18</v>
      </c>
      <c r="G53" s="349">
        <v>0.18</v>
      </c>
      <c r="H53" s="350"/>
      <c r="I53" s="344"/>
      <c r="L53" s="186"/>
      <c r="M53" s="186"/>
      <c r="N53" s="186"/>
      <c r="O53" s="186"/>
      <c r="P53" s="186"/>
      <c r="Q53" s="186"/>
      <c r="S53" s="337"/>
      <c r="T53" s="337"/>
      <c r="U53" s="337"/>
      <c r="V53" s="337"/>
      <c r="W53" s="337"/>
      <c r="Y53" s="345"/>
      <c r="AC53" s="248"/>
    </row>
    <row r="54" spans="1:29" ht="22.5" customHeight="1" x14ac:dyDescent="0.25">
      <c r="A54" s="304">
        <v>1</v>
      </c>
      <c r="B54" s="351" t="s">
        <v>300</v>
      </c>
      <c r="C54" s="352" t="e">
        <f>(SUM(D55:D66)+SUM(C55:C59)*1.07-C56*1.07-D56)*C53</f>
        <v>#REF!</v>
      </c>
      <c r="D54" s="353" t="e">
        <f>(SUM(D55:D66)+SUM(C55:C59)*1.07-C56*1.07-D56)*D53</f>
        <v>#REF!</v>
      </c>
      <c r="E54" s="354"/>
      <c r="F54" s="352" t="e">
        <f>D54*F53</f>
        <v>#REF!</v>
      </c>
      <c r="G54" s="354"/>
      <c r="H54" s="354"/>
      <c r="I54" s="355" t="e">
        <f>SUM(C54:H54)</f>
        <v>#REF!</v>
      </c>
      <c r="L54" s="186"/>
      <c r="M54" s="186"/>
      <c r="N54" s="186"/>
      <c r="O54" s="186"/>
      <c r="P54" s="186"/>
      <c r="Q54" s="186"/>
      <c r="S54" s="337"/>
      <c r="T54" s="337"/>
      <c r="U54" s="337"/>
      <c r="V54" s="337"/>
      <c r="W54" s="337"/>
    </row>
    <row r="55" spans="1:29" ht="15.75" x14ac:dyDescent="0.25">
      <c r="A55" s="356">
        <v>2</v>
      </c>
      <c r="B55" s="357" t="s">
        <v>301</v>
      </c>
      <c r="C55" s="321" t="e">
        <f>#REF!</f>
        <v>#REF!</v>
      </c>
      <c r="D55" s="321" t="e">
        <f>#REF!/100</f>
        <v>#REF!</v>
      </c>
      <c r="E55" s="358" t="e">
        <f>D55*E53</f>
        <v>#REF!</v>
      </c>
      <c r="F55" s="358"/>
      <c r="G55" s="359" t="e">
        <f>(D55*0.02)*(1+$G$53)</f>
        <v>#REF!</v>
      </c>
      <c r="H55" s="359"/>
      <c r="I55" s="355" t="e">
        <f t="shared" ref="I55:I71" si="1">SUM(C55:H55)</f>
        <v>#REF!</v>
      </c>
      <c r="L55" s="186"/>
      <c r="M55" s="186"/>
      <c r="N55" s="186"/>
      <c r="O55" s="186"/>
      <c r="P55" s="186"/>
      <c r="Q55" s="186"/>
      <c r="S55" s="337"/>
      <c r="T55" s="337"/>
      <c r="U55" s="337"/>
      <c r="V55" s="337"/>
      <c r="W55" s="337"/>
    </row>
    <row r="56" spans="1:29" ht="15.75" x14ac:dyDescent="0.25">
      <c r="A56" s="356">
        <v>3</v>
      </c>
      <c r="B56" s="357" t="s">
        <v>302</v>
      </c>
      <c r="C56" s="321" t="e">
        <f>#REF!</f>
        <v>#REF!</v>
      </c>
      <c r="D56" s="321" t="e">
        <f>#REF!/100</f>
        <v>#REF!</v>
      </c>
      <c r="E56" s="358" t="e">
        <f>D56*E53</f>
        <v>#REF!</v>
      </c>
      <c r="F56" s="358"/>
      <c r="G56" s="359" t="e">
        <f>(D56*0.02)*(1+$G$53)*0</f>
        <v>#REF!</v>
      </c>
      <c r="H56" s="359"/>
      <c r="I56" s="355" t="e">
        <f t="shared" si="1"/>
        <v>#REF!</v>
      </c>
      <c r="L56" s="186"/>
      <c r="M56" s="186"/>
      <c r="N56" s="186"/>
      <c r="O56" s="186"/>
      <c r="P56" s="186"/>
      <c r="Q56" s="186"/>
      <c r="S56" s="337"/>
      <c r="T56" s="337"/>
      <c r="U56" s="337"/>
      <c r="V56" s="337"/>
      <c r="W56" s="337"/>
    </row>
    <row r="57" spans="1:29" ht="15.75" x14ac:dyDescent="0.25">
      <c r="A57" s="356">
        <v>4</v>
      </c>
      <c r="B57" s="357" t="s">
        <v>303</v>
      </c>
      <c r="C57" s="321" t="e">
        <f>#REF!</f>
        <v>#REF!</v>
      </c>
      <c r="D57" s="321"/>
      <c r="E57" s="358">
        <f>D57*E53</f>
        <v>0</v>
      </c>
      <c r="F57" s="358"/>
      <c r="G57" s="359">
        <f>(D57*0.09)*(1+$G$53)</f>
        <v>0</v>
      </c>
      <c r="H57" s="359"/>
      <c r="I57" s="355" t="e">
        <f t="shared" si="1"/>
        <v>#REF!</v>
      </c>
      <c r="L57" s="186"/>
      <c r="M57" s="186"/>
      <c r="N57" s="186"/>
      <c r="O57" s="186"/>
      <c r="P57" s="186"/>
      <c r="Q57" s="186"/>
    </row>
    <row r="58" spans="1:29" s="248" customFormat="1" ht="21" customHeight="1" x14ac:dyDescent="0.2">
      <c r="A58" s="304">
        <v>5</v>
      </c>
      <c r="B58" s="351" t="s">
        <v>304</v>
      </c>
      <c r="C58" s="352"/>
      <c r="D58" s="321" t="e">
        <f>#REF!/100</f>
        <v>#REF!</v>
      </c>
      <c r="E58" s="352" t="e">
        <f>D58*E53</f>
        <v>#REF!</v>
      </c>
      <c r="F58" s="352"/>
      <c r="G58" s="359" t="e">
        <f>(D58*0.09)*(1+$G$53)</f>
        <v>#REF!</v>
      </c>
      <c r="H58" s="355"/>
      <c r="I58" s="355" t="e">
        <f t="shared" si="1"/>
        <v>#REF!</v>
      </c>
      <c r="L58" s="189"/>
      <c r="M58" s="189"/>
      <c r="N58" s="189"/>
      <c r="O58" s="189"/>
      <c r="P58" s="189"/>
      <c r="Q58" s="189"/>
      <c r="U58" s="345"/>
      <c r="W58" s="345"/>
    </row>
    <row r="59" spans="1:29" s="248" customFormat="1" ht="20.25" customHeight="1" x14ac:dyDescent="0.2">
      <c r="A59" s="304">
        <v>6</v>
      </c>
      <c r="B59" s="351" t="s">
        <v>24</v>
      </c>
      <c r="C59" s="321" t="e">
        <f>#REF!</f>
        <v>#REF!</v>
      </c>
      <c r="D59" s="321"/>
      <c r="E59" s="352">
        <f>D59*E53</f>
        <v>0</v>
      </c>
      <c r="F59" s="352"/>
      <c r="G59" s="359">
        <f>(D59*0.09)*(1+$G$53)</f>
        <v>0</v>
      </c>
      <c r="H59" s="355"/>
      <c r="I59" s="355" t="e">
        <f t="shared" si="1"/>
        <v>#REF!</v>
      </c>
      <c r="L59" s="189"/>
      <c r="M59" s="189"/>
      <c r="N59" s="189"/>
      <c r="O59" s="189"/>
      <c r="P59" s="189"/>
      <c r="Q59" s="189"/>
      <c r="S59" s="360"/>
      <c r="U59" s="361"/>
    </row>
    <row r="60" spans="1:29" s="248" customFormat="1" ht="22.5" customHeight="1" x14ac:dyDescent="0.2">
      <c r="A60" s="304">
        <v>7</v>
      </c>
      <c r="B60" s="362" t="s">
        <v>305</v>
      </c>
      <c r="C60" s="352"/>
      <c r="D60" s="321" t="e">
        <f>#REF!/100</f>
        <v>#REF!</v>
      </c>
      <c r="E60" s="352"/>
      <c r="F60" s="355" t="e">
        <f>D60*F53</f>
        <v>#REF!</v>
      </c>
      <c r="G60" s="352"/>
      <c r="H60" s="352"/>
      <c r="I60" s="355" t="e">
        <f t="shared" si="1"/>
        <v>#REF!</v>
      </c>
      <c r="L60" s="189"/>
      <c r="M60" s="189"/>
      <c r="N60" s="189"/>
      <c r="O60" s="189"/>
      <c r="P60" s="189"/>
      <c r="Q60" s="189"/>
      <c r="S60" s="360"/>
      <c r="U60" s="361"/>
    </row>
    <row r="61" spans="1:29" s="248" customFormat="1" ht="33.75" customHeight="1" x14ac:dyDescent="0.2">
      <c r="A61" s="304"/>
      <c r="B61" s="363" t="s">
        <v>306</v>
      </c>
      <c r="C61" s="352"/>
      <c r="D61" s="321" t="e">
        <f>#REF!/100</f>
        <v>#REF!</v>
      </c>
      <c r="E61" s="352"/>
      <c r="F61" s="355" t="e">
        <f>D61*F53</f>
        <v>#REF!</v>
      </c>
      <c r="G61" s="352"/>
      <c r="H61" s="352"/>
      <c r="I61" s="355" t="e">
        <f t="shared" si="1"/>
        <v>#REF!</v>
      </c>
      <c r="L61" s="189"/>
      <c r="M61" s="189"/>
      <c r="N61" s="189"/>
      <c r="O61" s="189"/>
      <c r="P61" s="189"/>
      <c r="Q61" s="189"/>
      <c r="S61" s="360"/>
      <c r="U61" s="361"/>
    </row>
    <row r="62" spans="1:29" s="248" customFormat="1" ht="20.25" customHeight="1" x14ac:dyDescent="0.2">
      <c r="A62" s="304"/>
      <c r="B62" s="288" t="s">
        <v>30</v>
      </c>
      <c r="C62" s="352"/>
      <c r="D62" s="321" t="e">
        <f>(#REF!+#REF!)/100</f>
        <v>#REF!</v>
      </c>
      <c r="E62" s="352"/>
      <c r="F62" s="355" t="e">
        <f>D62*F53</f>
        <v>#REF!</v>
      </c>
      <c r="G62" s="352"/>
      <c r="H62" s="352"/>
      <c r="I62" s="355" t="e">
        <f t="shared" si="1"/>
        <v>#REF!</v>
      </c>
      <c r="L62" s="189"/>
      <c r="M62" s="189"/>
      <c r="N62" s="189"/>
      <c r="O62" s="189"/>
      <c r="P62" s="189"/>
      <c r="Q62" s="189"/>
      <c r="S62" s="360"/>
      <c r="U62" s="361"/>
    </row>
    <row r="63" spans="1:29" s="248" customFormat="1" ht="23.25" customHeight="1" x14ac:dyDescent="0.2">
      <c r="A63" s="304">
        <v>8</v>
      </c>
      <c r="B63" s="364" t="s">
        <v>307</v>
      </c>
      <c r="C63" s="352"/>
      <c r="D63" s="365" t="e">
        <f>C55*1.07*C46+D55*C47</f>
        <v>#REF!</v>
      </c>
      <c r="E63" s="366"/>
      <c r="F63" s="355" t="e">
        <f>D63*F53</f>
        <v>#REF!</v>
      </c>
      <c r="G63" s="366"/>
      <c r="H63" s="366"/>
      <c r="I63" s="355" t="e">
        <f t="shared" si="1"/>
        <v>#REF!</v>
      </c>
      <c r="L63" s="189"/>
      <c r="M63" s="189"/>
      <c r="N63" s="189"/>
      <c r="O63" s="189"/>
      <c r="P63" s="189"/>
      <c r="Q63" s="189"/>
      <c r="S63" s="367"/>
    </row>
    <row r="64" spans="1:29" s="248" customFormat="1" ht="23.25" customHeight="1" x14ac:dyDescent="0.2">
      <c r="A64" s="304"/>
      <c r="B64" s="364" t="s">
        <v>308</v>
      </c>
      <c r="C64" s="352"/>
      <c r="D64" s="365" t="e">
        <f>C57*1.07*C48+D57*C48</f>
        <v>#REF!</v>
      </c>
      <c r="E64" s="366"/>
      <c r="F64" s="355" t="e">
        <f>D64*F53</f>
        <v>#REF!</v>
      </c>
      <c r="G64" s="366"/>
      <c r="H64" s="366"/>
      <c r="I64" s="355" t="e">
        <f t="shared" si="1"/>
        <v>#REF!</v>
      </c>
      <c r="L64" s="189"/>
      <c r="M64" s="189"/>
      <c r="N64" s="189"/>
      <c r="O64" s="189"/>
      <c r="P64" s="189"/>
      <c r="Q64" s="189"/>
      <c r="S64" s="367"/>
    </row>
    <row r="65" spans="1:25" s="248" customFormat="1" ht="23.25" customHeight="1" x14ac:dyDescent="0.2">
      <c r="A65" s="304"/>
      <c r="B65" s="364" t="s">
        <v>309</v>
      </c>
      <c r="C65" s="352"/>
      <c r="D65" s="365" t="e">
        <f>D58*C48</f>
        <v>#REF!</v>
      </c>
      <c r="E65" s="366"/>
      <c r="F65" s="355" t="e">
        <f>D65*F53</f>
        <v>#REF!</v>
      </c>
      <c r="G65" s="366"/>
      <c r="H65" s="366"/>
      <c r="I65" s="355" t="e">
        <f t="shared" si="1"/>
        <v>#REF!</v>
      </c>
      <c r="L65" s="189"/>
      <c r="M65" s="189"/>
      <c r="N65" s="189"/>
      <c r="O65" s="189"/>
      <c r="P65" s="189"/>
      <c r="Q65" s="189"/>
      <c r="S65" s="367"/>
    </row>
    <row r="66" spans="1:25" s="248" customFormat="1" ht="23.25" customHeight="1" x14ac:dyDescent="0.2">
      <c r="A66" s="304"/>
      <c r="B66" s="364" t="s">
        <v>310</v>
      </c>
      <c r="C66" s="352"/>
      <c r="D66" s="365" t="e">
        <f>C59*1.07*C49+D59*C49</f>
        <v>#REF!</v>
      </c>
      <c r="E66" s="366"/>
      <c r="F66" s="355" t="e">
        <f>D66*F53</f>
        <v>#REF!</v>
      </c>
      <c r="G66" s="366"/>
      <c r="H66" s="366"/>
      <c r="I66" s="355" t="e">
        <f t="shared" si="1"/>
        <v>#REF!</v>
      </c>
      <c r="L66" s="189"/>
      <c r="M66" s="189"/>
      <c r="N66" s="189"/>
      <c r="O66" s="189"/>
      <c r="P66" s="189"/>
      <c r="Q66" s="189"/>
      <c r="S66" s="367"/>
    </row>
    <row r="67" spans="1:25" s="248" customFormat="1" ht="24" customHeight="1" x14ac:dyDescent="0.2">
      <c r="A67" s="304">
        <v>9</v>
      </c>
      <c r="B67" s="351" t="s">
        <v>135</v>
      </c>
      <c r="C67" s="321" t="e">
        <f>#REF!</f>
        <v>#REF!</v>
      </c>
      <c r="D67" s="353"/>
      <c r="E67" s="368"/>
      <c r="F67" s="368"/>
      <c r="G67" s="368"/>
      <c r="H67" s="368"/>
      <c r="I67" s="355" t="e">
        <f t="shared" si="1"/>
        <v>#REF!</v>
      </c>
      <c r="L67" s="189"/>
      <c r="M67" s="189"/>
      <c r="N67" s="189"/>
      <c r="O67" s="189"/>
      <c r="P67" s="189"/>
      <c r="Q67" s="189"/>
      <c r="S67" s="369"/>
    </row>
    <row r="68" spans="1:25" s="248" customFormat="1" ht="20.25" customHeight="1" x14ac:dyDescent="0.2">
      <c r="A68" s="304">
        <v>10</v>
      </c>
      <c r="B68" s="351" t="s">
        <v>311</v>
      </c>
      <c r="C68" s="321" t="e">
        <f>#REF!</f>
        <v>#REF!</v>
      </c>
      <c r="D68" s="353"/>
      <c r="E68" s="368"/>
      <c r="F68" s="368"/>
      <c r="G68" s="368"/>
      <c r="H68" s="368"/>
      <c r="I68" s="355" t="e">
        <f t="shared" si="1"/>
        <v>#REF!</v>
      </c>
      <c r="L68" s="189"/>
      <c r="M68" s="189"/>
      <c r="N68" s="189"/>
      <c r="O68" s="189"/>
      <c r="P68" s="189"/>
      <c r="Q68" s="189"/>
      <c r="S68" s="360"/>
    </row>
    <row r="69" spans="1:25" ht="20.25" customHeight="1" x14ac:dyDescent="0.25">
      <c r="A69" s="356">
        <v>11</v>
      </c>
      <c r="B69" s="370" t="s">
        <v>312</v>
      </c>
      <c r="C69" s="352" t="e">
        <f>+(C55+C57+C59)*0.07</f>
        <v>#REF!</v>
      </c>
      <c r="D69" s="371"/>
      <c r="E69" s="372"/>
      <c r="F69" s="372"/>
      <c r="G69" s="373" t="e">
        <f>((C55+C56)*1.07*0.03+(C57+C59)*1.07*0.1)*(1+$G$53)</f>
        <v>#REF!</v>
      </c>
      <c r="H69" s="372"/>
      <c r="I69" s="355" t="e">
        <f t="shared" si="1"/>
        <v>#REF!</v>
      </c>
      <c r="L69" s="186"/>
      <c r="M69" s="186"/>
      <c r="N69" s="186"/>
      <c r="O69" s="186"/>
      <c r="P69" s="186"/>
      <c r="Q69" s="186"/>
      <c r="S69" s="360"/>
      <c r="T69" s="248"/>
      <c r="V69" s="248"/>
      <c r="W69" s="248"/>
    </row>
    <row r="70" spans="1:25" s="248" customFormat="1" ht="21.75" hidden="1" customHeight="1" x14ac:dyDescent="0.2">
      <c r="A70" s="304"/>
      <c r="B70" s="374" t="s">
        <v>313</v>
      </c>
      <c r="C70" s="352"/>
      <c r="D70" s="353"/>
      <c r="E70" s="375"/>
      <c r="F70" s="375"/>
      <c r="H70" s="355" t="e">
        <f>((C55*1.07)*0.03+(C57+C59)*1.07*0.1)*(1+C50)*0</f>
        <v>#REF!</v>
      </c>
      <c r="I70" s="355" t="e">
        <f t="shared" si="1"/>
        <v>#REF!</v>
      </c>
      <c r="L70" s="189"/>
      <c r="M70" s="189"/>
      <c r="N70" s="189"/>
      <c r="O70" s="189"/>
      <c r="P70" s="189"/>
      <c r="Q70" s="189"/>
      <c r="S70" s="360"/>
    </row>
    <row r="71" spans="1:25" s="248" customFormat="1" ht="23.25" customHeight="1" x14ac:dyDescent="0.2">
      <c r="A71" s="304">
        <v>12</v>
      </c>
      <c r="B71" s="376" t="s">
        <v>299</v>
      </c>
      <c r="C71" s="352"/>
      <c r="D71" s="353"/>
      <c r="E71" s="375"/>
      <c r="F71" s="375"/>
      <c r="G71" s="355"/>
      <c r="H71" s="377" t="e">
        <f>E33</f>
        <v>#REF!</v>
      </c>
      <c r="I71" s="355" t="e">
        <f t="shared" si="1"/>
        <v>#REF!</v>
      </c>
      <c r="L71" s="189"/>
      <c r="M71" s="189"/>
      <c r="N71" s="189"/>
      <c r="O71" s="189"/>
      <c r="P71" s="189"/>
      <c r="Q71" s="189"/>
      <c r="S71" s="360"/>
    </row>
    <row r="72" spans="1:25" ht="18.75" customHeight="1" x14ac:dyDescent="0.25">
      <c r="A72" s="356"/>
      <c r="B72" s="378" t="s">
        <v>4</v>
      </c>
      <c r="C72" s="379" t="e">
        <f t="shared" ref="C72:I72" si="2">SUM(C54:C71)</f>
        <v>#REF!</v>
      </c>
      <c r="D72" s="379" t="e">
        <f t="shared" si="2"/>
        <v>#REF!</v>
      </c>
      <c r="E72" s="379" t="e">
        <f t="shared" si="2"/>
        <v>#REF!</v>
      </c>
      <c r="F72" s="379" t="e">
        <f t="shared" si="2"/>
        <v>#REF!</v>
      </c>
      <c r="G72" s="379" t="e">
        <f t="shared" si="2"/>
        <v>#REF!</v>
      </c>
      <c r="H72" s="379" t="e">
        <f t="shared" si="2"/>
        <v>#REF!</v>
      </c>
      <c r="I72" s="379" t="e">
        <f t="shared" si="2"/>
        <v>#REF!</v>
      </c>
      <c r="K72" s="380">
        <v>250.11093963847523</v>
      </c>
      <c r="L72" s="186"/>
      <c r="M72" s="186"/>
      <c r="N72" s="186"/>
      <c r="O72" s="186"/>
      <c r="P72" s="186"/>
      <c r="Q72" s="186"/>
      <c r="S72" s="360"/>
      <c r="T72" s="248"/>
      <c r="V72" s="248"/>
      <c r="W72" s="248"/>
    </row>
    <row r="73" spans="1:25" ht="19.5" customHeight="1" x14ac:dyDescent="0.25">
      <c r="A73" s="356"/>
      <c r="B73" s="335" t="s">
        <v>238</v>
      </c>
      <c r="C73" s="358"/>
      <c r="D73" s="371"/>
      <c r="E73" s="358" t="e">
        <f>E55+E56+E57+E59</f>
        <v>#REF!</v>
      </c>
      <c r="F73" s="358" t="e">
        <f>F54+F56+F61+F63+F64+F66</f>
        <v>#REF!</v>
      </c>
      <c r="G73" s="358" t="e">
        <f>(G55+G56+G57+G59+G69)/(1+$G$53)*G53</f>
        <v>#REF!</v>
      </c>
      <c r="H73" s="358" t="e">
        <f>D30+D32</f>
        <v>#REF!</v>
      </c>
      <c r="I73" s="359" t="e">
        <f>SUM(C73:H73)</f>
        <v>#REF!</v>
      </c>
      <c r="K73" s="380">
        <v>19.574179666083797</v>
      </c>
      <c r="L73" s="186"/>
      <c r="M73" s="186"/>
      <c r="N73" s="186"/>
      <c r="O73" s="186"/>
      <c r="P73" s="186"/>
      <c r="Q73" s="186"/>
      <c r="S73" s="360"/>
      <c r="T73" s="248"/>
      <c r="V73" s="248"/>
      <c r="W73" s="248"/>
    </row>
    <row r="74" spans="1:25" ht="21" customHeight="1" x14ac:dyDescent="0.25">
      <c r="A74" s="381"/>
      <c r="B74" s="204"/>
      <c r="C74" s="204"/>
      <c r="D74" s="204"/>
      <c r="E74" s="204"/>
      <c r="F74" s="204"/>
      <c r="G74" s="204"/>
      <c r="H74" s="204"/>
      <c r="I74" s="204" t="e">
        <f>I72-I73</f>
        <v>#REF!</v>
      </c>
      <c r="J74" s="204"/>
      <c r="K74" s="380">
        <v>230.53675997239142</v>
      </c>
      <c r="L74" s="186"/>
      <c r="M74" s="186"/>
      <c r="N74" s="186"/>
      <c r="O74" s="186"/>
      <c r="P74" s="186"/>
      <c r="Q74" s="186"/>
      <c r="S74" s="360"/>
      <c r="T74" s="248"/>
      <c r="V74" s="248"/>
      <c r="W74" s="248"/>
    </row>
    <row r="75" spans="1:25" x14ac:dyDescent="0.25">
      <c r="A75" s="293"/>
      <c r="P75" s="204"/>
      <c r="Q75" s="382"/>
      <c r="R75" s="204"/>
      <c r="X75" s="204"/>
      <c r="Y75" s="204"/>
    </row>
    <row r="76" spans="1:25" ht="15" customHeight="1" x14ac:dyDescent="0.25">
      <c r="A76" s="203"/>
      <c r="B76" s="383"/>
      <c r="C76" s="204"/>
      <c r="D76" s="205"/>
      <c r="E76" s="204"/>
      <c r="F76" s="204"/>
      <c r="G76" s="204"/>
      <c r="H76" s="204"/>
      <c r="I76" s="204"/>
      <c r="J76" s="204"/>
      <c r="K76" s="204"/>
      <c r="P76" s="204"/>
      <c r="Q76" s="382"/>
      <c r="R76" s="204"/>
      <c r="X76" s="204"/>
      <c r="Y76" s="204"/>
    </row>
    <row r="77" spans="1:25" ht="15.75" x14ac:dyDescent="0.25">
      <c r="A77" s="212"/>
      <c r="B77" s="204"/>
      <c r="C77" s="204"/>
      <c r="D77" s="204"/>
      <c r="E77" s="204"/>
      <c r="F77" s="214"/>
      <c r="G77" s="204"/>
      <c r="H77" s="204"/>
      <c r="I77" s="204"/>
      <c r="J77" s="204"/>
      <c r="K77" s="204"/>
      <c r="P77" s="236"/>
      <c r="Q77" s="204"/>
      <c r="R77" s="204"/>
      <c r="X77" s="204"/>
      <c r="Y77" s="204"/>
    </row>
    <row r="78" spans="1:25" ht="15.75" x14ac:dyDescent="0.25">
      <c r="A78" s="225"/>
      <c r="B78" s="204"/>
      <c r="C78" s="204"/>
      <c r="D78" s="204"/>
      <c r="E78" s="204"/>
      <c r="F78" s="226"/>
      <c r="G78" s="227"/>
      <c r="H78" s="204"/>
      <c r="I78" s="204"/>
      <c r="J78" s="204"/>
      <c r="K78" s="204"/>
      <c r="P78" s="204"/>
      <c r="Q78" s="204"/>
      <c r="R78" s="204"/>
      <c r="X78" s="204"/>
      <c r="Y78" s="204"/>
    </row>
    <row r="79" spans="1:25" x14ac:dyDescent="0.25">
      <c r="A79" s="245"/>
      <c r="B79" s="245"/>
      <c r="C79" s="244"/>
      <c r="D79" s="244"/>
      <c r="E79" s="244"/>
      <c r="F79" s="244"/>
      <c r="G79" s="244"/>
      <c r="H79" s="234"/>
      <c r="J79" s="204"/>
      <c r="K79" s="204"/>
      <c r="P79" s="204"/>
      <c r="Q79" s="204"/>
      <c r="R79" s="204"/>
      <c r="X79" s="204"/>
      <c r="Y79" s="204"/>
    </row>
    <row r="80" spans="1:25" x14ac:dyDescent="0.25">
      <c r="A80" s="204"/>
      <c r="B80" s="204"/>
      <c r="C80" s="204"/>
      <c r="D80" s="204"/>
      <c r="E80" s="244"/>
      <c r="F80" s="244"/>
      <c r="G80" s="244"/>
      <c r="H80" s="247"/>
      <c r="J80" s="204"/>
      <c r="K80" s="204"/>
      <c r="P80" s="204"/>
      <c r="Q80" s="204"/>
      <c r="R80" s="204"/>
      <c r="X80" s="204"/>
      <c r="Y80" s="204"/>
    </row>
    <row r="81" spans="1:25" x14ac:dyDescent="0.25">
      <c r="A81" s="384"/>
      <c r="B81" s="385"/>
      <c r="C81" s="386"/>
      <c r="D81" s="258"/>
      <c r="E81" s="382"/>
      <c r="F81" s="244"/>
      <c r="G81" s="258"/>
      <c r="H81" s="204"/>
      <c r="J81" s="204"/>
      <c r="K81" s="204"/>
      <c r="P81" s="204"/>
      <c r="Q81" s="382"/>
      <c r="R81" s="204"/>
      <c r="X81" s="204"/>
      <c r="Y81" s="204"/>
    </row>
    <row r="82" spans="1:25" x14ac:dyDescent="0.25">
      <c r="A82" s="262"/>
      <c r="B82" s="387"/>
      <c r="C82" s="246"/>
      <c r="D82" s="307"/>
      <c r="E82" s="265"/>
      <c r="F82" s="388"/>
      <c r="G82" s="389"/>
      <c r="H82" s="204"/>
      <c r="J82" s="382"/>
      <c r="K82" s="204"/>
      <c r="P82" s="236"/>
      <c r="Q82" s="204"/>
      <c r="R82" s="204"/>
      <c r="X82" s="204"/>
      <c r="Y82" s="204"/>
    </row>
    <row r="83" spans="1:25" x14ac:dyDescent="0.25">
      <c r="A83" s="262"/>
      <c r="B83" s="387"/>
      <c r="C83" s="246"/>
      <c r="D83" s="307"/>
      <c r="E83" s="265"/>
      <c r="F83" s="388"/>
      <c r="G83" s="390"/>
      <c r="H83" s="204"/>
      <c r="J83" s="382"/>
      <c r="K83" s="204"/>
      <c r="P83" s="236"/>
      <c r="Q83" s="204"/>
      <c r="R83" s="204"/>
      <c r="X83" s="204"/>
      <c r="Y83" s="204"/>
    </row>
    <row r="84" spans="1:25" x14ac:dyDescent="0.25">
      <c r="A84" s="262"/>
      <c r="B84" s="387"/>
      <c r="C84" s="246"/>
      <c r="D84" s="307"/>
      <c r="E84" s="265"/>
      <c r="F84" s="388"/>
      <c r="G84" s="390"/>
      <c r="H84" s="204"/>
      <c r="J84" s="382"/>
      <c r="K84" s="204"/>
      <c r="P84" s="236"/>
      <c r="Q84" s="204"/>
      <c r="R84" s="204"/>
      <c r="X84" s="204"/>
      <c r="Y84" s="204"/>
    </row>
    <row r="85" spans="1:25" x14ac:dyDescent="0.25">
      <c r="A85" s="262"/>
      <c r="B85" s="387"/>
      <c r="C85" s="246"/>
      <c r="D85" s="307"/>
      <c r="E85" s="265"/>
      <c r="F85" s="388"/>
      <c r="G85" s="297"/>
      <c r="H85" s="204"/>
      <c r="J85" s="382"/>
      <c r="K85" s="204"/>
      <c r="P85" s="236"/>
      <c r="Q85" s="204"/>
      <c r="R85" s="204"/>
      <c r="X85" s="204"/>
      <c r="Y85" s="204"/>
    </row>
    <row r="86" spans="1:25" x14ac:dyDescent="0.25">
      <c r="A86" s="284"/>
      <c r="B86" s="391"/>
      <c r="C86" s="244"/>
      <c r="D86" s="286"/>
      <c r="E86" s="245"/>
      <c r="F86" s="245"/>
      <c r="G86" s="245"/>
      <c r="H86" s="245">
        <f>SUM(H82:H84)</f>
        <v>0</v>
      </c>
      <c r="J86" s="382"/>
      <c r="K86" s="204"/>
      <c r="P86" s="236"/>
      <c r="Q86" s="204"/>
      <c r="R86" s="204"/>
      <c r="X86" s="204"/>
      <c r="Y86" s="204"/>
    </row>
    <row r="87" spans="1:25" x14ac:dyDescent="0.25">
      <c r="A87" s="204"/>
      <c r="B87" s="290"/>
      <c r="C87" s="246"/>
      <c r="D87" s="265"/>
      <c r="E87" s="265"/>
      <c r="F87" s="204"/>
      <c r="G87" s="204"/>
      <c r="H87" s="204"/>
      <c r="J87" s="204"/>
      <c r="K87" s="204"/>
      <c r="P87" s="204"/>
      <c r="Q87" s="204"/>
      <c r="R87" s="204"/>
      <c r="X87" s="204"/>
      <c r="Y87" s="204"/>
    </row>
    <row r="88" spans="1:25" x14ac:dyDescent="0.25">
      <c r="A88" s="258"/>
      <c r="B88" s="291"/>
      <c r="C88" s="246"/>
      <c r="D88" s="265"/>
      <c r="E88" s="265"/>
      <c r="F88" s="204"/>
      <c r="G88" s="392"/>
      <c r="H88" s="204"/>
      <c r="J88" s="204"/>
      <c r="K88" s="204"/>
      <c r="P88" s="204"/>
      <c r="Q88" s="204"/>
      <c r="R88" s="204"/>
      <c r="X88" s="204"/>
      <c r="Y88" s="204"/>
    </row>
    <row r="89" spans="1:25" x14ac:dyDescent="0.25">
      <c r="A89" s="258"/>
      <c r="B89" s="291"/>
      <c r="C89" s="246"/>
      <c r="D89" s="265"/>
      <c r="E89" s="265"/>
      <c r="F89" s="204"/>
      <c r="G89" s="392"/>
      <c r="H89" s="204"/>
      <c r="J89" s="204"/>
      <c r="K89" s="204"/>
      <c r="P89" s="204"/>
      <c r="Q89" s="204"/>
      <c r="R89" s="204"/>
      <c r="X89" s="204"/>
      <c r="Y89" s="204"/>
    </row>
    <row r="90" spans="1:25" x14ac:dyDescent="0.25">
      <c r="A90" s="204"/>
      <c r="B90" s="244"/>
      <c r="C90" s="244"/>
      <c r="D90" s="214"/>
      <c r="E90" s="214"/>
      <c r="F90" s="293"/>
      <c r="G90" s="204"/>
      <c r="H90" s="204"/>
      <c r="J90" s="204"/>
      <c r="K90" s="204"/>
      <c r="P90" s="204"/>
      <c r="Q90" s="204"/>
      <c r="R90" s="204"/>
      <c r="X90" s="204"/>
      <c r="Y90" s="204"/>
    </row>
    <row r="91" spans="1:25" ht="18.75" customHeight="1" x14ac:dyDescent="0.25">
      <c r="A91" s="204"/>
      <c r="B91" s="214"/>
      <c r="C91" s="246"/>
      <c r="D91" s="265"/>
      <c r="E91" s="265"/>
      <c r="F91" s="293"/>
      <c r="G91" s="204"/>
      <c r="H91" s="293">
        <f>H90+H86</f>
        <v>0</v>
      </c>
      <c r="J91" s="204"/>
      <c r="K91" s="204"/>
      <c r="P91" s="204"/>
      <c r="Q91" s="204"/>
      <c r="R91" s="204"/>
      <c r="X91" s="204"/>
      <c r="Y91" s="204"/>
    </row>
    <row r="92" spans="1:25" ht="38.25" customHeight="1" x14ac:dyDescent="0.25">
      <c r="A92" s="253"/>
      <c r="B92" s="270"/>
      <c r="C92" s="234"/>
      <c r="D92" s="271"/>
      <c r="E92" s="235"/>
      <c r="F92" s="272"/>
      <c r="G92" s="258"/>
      <c r="H92" s="259"/>
      <c r="I92" s="253"/>
      <c r="J92" s="270"/>
      <c r="K92" s="234"/>
      <c r="L92" s="271"/>
      <c r="M92" s="271"/>
      <c r="N92" s="271"/>
      <c r="O92" s="271"/>
      <c r="P92" s="272"/>
      <c r="R92" s="248"/>
      <c r="X92" s="227"/>
      <c r="Y92" s="204"/>
    </row>
    <row r="93" spans="1:25" x14ac:dyDescent="0.25">
      <c r="A93" s="284"/>
      <c r="B93" s="285"/>
      <c r="C93" s="244"/>
      <c r="D93" s="286"/>
      <c r="E93" s="245"/>
      <c r="F93" s="245"/>
      <c r="G93" s="245"/>
      <c r="I93" s="262"/>
      <c r="J93" s="393"/>
      <c r="K93" s="234"/>
      <c r="L93" s="271"/>
      <c r="M93" s="271"/>
      <c r="N93" s="271"/>
      <c r="O93" s="271"/>
      <c r="P93" s="272"/>
      <c r="X93" s="245"/>
      <c r="Y93" s="204"/>
    </row>
    <row r="94" spans="1:25" x14ac:dyDescent="0.25">
      <c r="A94" s="204"/>
      <c r="B94" s="290"/>
      <c r="C94" s="246"/>
      <c r="D94" s="265"/>
      <c r="E94" s="265"/>
      <c r="F94" s="204"/>
      <c r="G94" s="204"/>
      <c r="I94" s="284"/>
      <c r="J94" s="285"/>
      <c r="K94" s="244"/>
      <c r="L94" s="286"/>
      <c r="M94" s="286"/>
      <c r="N94" s="286"/>
      <c r="O94" s="286"/>
      <c r="P94" s="245"/>
      <c r="X94" s="204"/>
      <c r="Y94" s="204"/>
    </row>
    <row r="95" spans="1:25" x14ac:dyDescent="0.25">
      <c r="A95" s="258"/>
      <c r="B95" s="291"/>
      <c r="C95" s="246"/>
      <c r="D95" s="265"/>
      <c r="E95" s="265"/>
      <c r="F95" s="204"/>
      <c r="G95" s="204"/>
      <c r="I95" s="204"/>
      <c r="J95" s="290"/>
      <c r="K95" s="246"/>
      <c r="L95" s="265"/>
      <c r="M95" s="265"/>
      <c r="N95" s="265"/>
      <c r="O95" s="265"/>
      <c r="P95" s="204"/>
      <c r="X95" s="204"/>
      <c r="Y95" s="204"/>
    </row>
    <row r="96" spans="1:25" x14ac:dyDescent="0.25">
      <c r="A96" s="258"/>
      <c r="B96" s="291"/>
      <c r="C96" s="246"/>
      <c r="D96" s="265"/>
      <c r="E96" s="265"/>
      <c r="F96" s="204"/>
      <c r="G96" s="204"/>
      <c r="I96" s="258"/>
      <c r="J96" s="291"/>
      <c r="K96" s="246"/>
      <c r="L96" s="265"/>
      <c r="M96" s="265"/>
      <c r="N96" s="265"/>
      <c r="O96" s="265"/>
      <c r="P96" s="204"/>
      <c r="X96" s="204"/>
      <c r="Y96" s="204"/>
    </row>
    <row r="97" spans="1:25" x14ac:dyDescent="0.25">
      <c r="A97" s="204"/>
      <c r="B97" s="290"/>
      <c r="C97" s="244"/>
      <c r="D97" s="214"/>
      <c r="E97" s="214"/>
      <c r="F97" s="293"/>
      <c r="G97" s="204"/>
      <c r="I97" s="258"/>
      <c r="J97" s="291"/>
      <c r="K97" s="246"/>
      <c r="L97" s="265"/>
      <c r="M97" s="265"/>
      <c r="N97" s="265"/>
      <c r="O97" s="265"/>
      <c r="P97" s="204"/>
      <c r="X97" s="204"/>
      <c r="Y97" s="204"/>
    </row>
    <row r="98" spans="1:25" x14ac:dyDescent="0.25">
      <c r="A98" s="204"/>
      <c r="B98" s="214"/>
      <c r="C98" s="246"/>
      <c r="D98" s="265"/>
      <c r="E98" s="265"/>
      <c r="F98" s="293"/>
      <c r="G98" s="204"/>
      <c r="I98" s="204"/>
      <c r="J98" s="290"/>
      <c r="K98" s="244"/>
      <c r="L98" s="214"/>
      <c r="M98" s="214"/>
      <c r="N98" s="214"/>
      <c r="O98" s="214"/>
      <c r="P98" s="293"/>
      <c r="X98" s="293"/>
      <c r="Y98" s="204"/>
    </row>
    <row r="99" spans="1:25" x14ac:dyDescent="0.25">
      <c r="A99" s="245"/>
      <c r="B99" s="297"/>
      <c r="C99" s="246"/>
      <c r="D99" s="246"/>
      <c r="E99" s="246"/>
      <c r="F99" s="265"/>
      <c r="G99" s="245"/>
      <c r="I99" s="204"/>
      <c r="J99" s="214"/>
      <c r="K99" s="246"/>
      <c r="L99" s="265"/>
      <c r="M99" s="265"/>
      <c r="N99" s="265"/>
      <c r="O99" s="265"/>
      <c r="P99" s="293"/>
      <c r="X99" s="204"/>
      <c r="Y99" s="204"/>
    </row>
    <row r="100" spans="1:25" x14ac:dyDescent="0.25">
      <c r="A100" s="245"/>
      <c r="B100" s="302"/>
      <c r="C100" s="303"/>
      <c r="D100" s="303"/>
      <c r="E100" s="303"/>
      <c r="F100" s="272"/>
      <c r="G100" s="245"/>
      <c r="I100" s="245"/>
      <c r="J100" s="297"/>
      <c r="K100" s="246"/>
      <c r="L100" s="246"/>
      <c r="M100" s="246"/>
      <c r="N100" s="246"/>
      <c r="O100" s="246"/>
      <c r="P100" s="265"/>
      <c r="Q100" s="204"/>
      <c r="R100" s="204"/>
      <c r="X100" s="204"/>
      <c r="Y100" s="204"/>
    </row>
    <row r="101" spans="1:25" x14ac:dyDescent="0.25">
      <c r="A101" s="245"/>
      <c r="B101" s="394"/>
      <c r="C101" s="389"/>
      <c r="D101" s="395"/>
      <c r="E101" s="396"/>
      <c r="F101" s="396"/>
      <c r="G101" s="245"/>
      <c r="I101" s="245"/>
      <c r="J101" s="302"/>
      <c r="K101" s="303"/>
      <c r="L101" s="397"/>
      <c r="M101" s="397"/>
      <c r="N101" s="397"/>
      <c r="O101" s="397"/>
      <c r="P101" s="272"/>
      <c r="Q101" s="204"/>
      <c r="R101" s="204"/>
      <c r="X101" s="204"/>
      <c r="Y101" s="204"/>
    </row>
    <row r="102" spans="1:25" x14ac:dyDescent="0.25">
      <c r="A102" s="245"/>
      <c r="B102" s="297"/>
      <c r="C102" s="246"/>
      <c r="D102" s="307"/>
      <c r="E102" s="265"/>
      <c r="F102" s="388"/>
      <c r="G102" s="245"/>
      <c r="H102" s="204"/>
      <c r="I102" s="245"/>
      <c r="J102" s="302"/>
      <c r="K102" s="389"/>
      <c r="L102" s="398"/>
      <c r="M102" s="398"/>
      <c r="N102" s="398"/>
      <c r="O102" s="398"/>
      <c r="P102" s="272"/>
      <c r="Q102" s="204"/>
      <c r="R102" s="204"/>
      <c r="X102" s="204"/>
      <c r="Y102" s="204"/>
    </row>
    <row r="103" spans="1:25" ht="60.75" customHeight="1" x14ac:dyDescent="0.25">
      <c r="A103" s="245"/>
      <c r="B103" s="297"/>
      <c r="C103" s="246"/>
      <c r="D103" s="265"/>
      <c r="E103" s="265"/>
      <c r="F103" s="388"/>
      <c r="G103" s="245"/>
      <c r="H103" s="204"/>
      <c r="J103" s="399"/>
      <c r="K103" s="400"/>
      <c r="L103" s="401"/>
      <c r="M103" s="401"/>
      <c r="N103" s="401"/>
      <c r="O103" s="401"/>
      <c r="P103" s="389"/>
      <c r="Q103" s="402"/>
      <c r="R103" s="204"/>
      <c r="X103" s="204"/>
      <c r="Y103" s="204"/>
    </row>
    <row r="104" spans="1:25" x14ac:dyDescent="0.25">
      <c r="A104" s="245"/>
      <c r="B104" s="245"/>
      <c r="C104" s="244"/>
      <c r="D104" s="244"/>
      <c r="E104" s="244"/>
      <c r="F104" s="244"/>
      <c r="G104" s="245"/>
      <c r="H104" s="204"/>
      <c r="J104" s="204"/>
      <c r="K104" s="204"/>
      <c r="P104" s="204"/>
      <c r="Q104" s="204"/>
      <c r="R104" s="204"/>
      <c r="X104" s="204"/>
      <c r="Y104" s="204"/>
    </row>
    <row r="105" spans="1:25" x14ac:dyDescent="0.25">
      <c r="A105" s="245"/>
      <c r="B105" s="245"/>
      <c r="C105" s="244"/>
      <c r="D105" s="244"/>
      <c r="E105" s="244"/>
      <c r="F105" s="244"/>
      <c r="G105" s="245"/>
      <c r="H105" s="204"/>
      <c r="J105" s="204"/>
      <c r="K105" s="204"/>
      <c r="P105" s="204"/>
      <c r="Q105" s="204"/>
      <c r="R105" s="204"/>
      <c r="X105" s="204"/>
      <c r="Y105" s="204"/>
    </row>
    <row r="106" spans="1:25" x14ac:dyDescent="0.25">
      <c r="A106" s="245"/>
      <c r="B106" s="245"/>
      <c r="C106" s="244"/>
      <c r="D106" s="244"/>
      <c r="E106" s="244"/>
      <c r="F106" s="244"/>
      <c r="G106" s="245"/>
      <c r="H106" s="204"/>
      <c r="J106" s="204"/>
      <c r="K106" s="204"/>
      <c r="P106" s="204"/>
      <c r="Q106" s="204"/>
      <c r="R106" s="204"/>
      <c r="X106" s="204"/>
      <c r="Y106" s="204"/>
    </row>
    <row r="107" spans="1:25" x14ac:dyDescent="0.25">
      <c r="A107" s="245"/>
      <c r="B107" s="245"/>
      <c r="C107" s="244"/>
      <c r="D107" s="244"/>
      <c r="E107" s="244"/>
      <c r="F107" s="244"/>
      <c r="G107" s="245"/>
      <c r="H107" s="204"/>
      <c r="J107" s="204"/>
      <c r="K107" s="204"/>
      <c r="P107" s="204"/>
      <c r="Q107" s="204"/>
      <c r="R107" s="204"/>
      <c r="X107" s="204"/>
      <c r="Y107" s="204"/>
    </row>
    <row r="108" spans="1:25" x14ac:dyDescent="0.25">
      <c r="A108" s="245"/>
      <c r="B108" s="245"/>
      <c r="C108" s="244"/>
      <c r="D108" s="244"/>
      <c r="E108" s="244"/>
      <c r="F108" s="244"/>
      <c r="G108" s="245"/>
      <c r="H108" s="204"/>
      <c r="J108" s="204"/>
      <c r="K108" s="204"/>
      <c r="L108" s="204"/>
      <c r="M108" s="204"/>
      <c r="N108" s="204"/>
      <c r="O108" s="204"/>
      <c r="P108" s="204"/>
      <c r="Q108" s="204"/>
      <c r="R108" s="204"/>
      <c r="X108" s="204"/>
      <c r="Y108" s="204"/>
    </row>
    <row r="109" spans="1:25" x14ac:dyDescent="0.25">
      <c r="A109" s="245"/>
      <c r="B109" s="245"/>
      <c r="C109" s="244"/>
      <c r="D109" s="244"/>
      <c r="E109" s="244"/>
      <c r="F109" s="244"/>
      <c r="G109" s="245"/>
      <c r="H109" s="204"/>
      <c r="J109" s="204"/>
      <c r="K109" s="204"/>
      <c r="L109" s="204"/>
      <c r="M109" s="204"/>
      <c r="N109" s="204"/>
      <c r="O109" s="204"/>
      <c r="P109" s="204"/>
      <c r="Q109" s="204"/>
      <c r="R109" s="204"/>
      <c r="X109" s="204"/>
      <c r="Y109" s="204"/>
    </row>
    <row r="110" spans="1:25" x14ac:dyDescent="0.25">
      <c r="A110" s="204"/>
      <c r="B110" s="204"/>
      <c r="C110" s="382"/>
      <c r="D110" s="236"/>
      <c r="E110" s="204"/>
      <c r="F110" s="244"/>
      <c r="G110" s="245"/>
      <c r="H110" s="204"/>
      <c r="J110" s="204"/>
      <c r="K110" s="204"/>
      <c r="L110" s="204"/>
      <c r="M110" s="204"/>
      <c r="N110" s="204"/>
      <c r="O110" s="204"/>
      <c r="P110" s="204"/>
      <c r="Q110" s="204"/>
      <c r="R110" s="204"/>
      <c r="X110" s="204"/>
      <c r="Y110" s="204"/>
    </row>
    <row r="111" spans="1:25" x14ac:dyDescent="0.25">
      <c r="A111" s="284"/>
      <c r="B111" s="204"/>
      <c r="F111" s="245"/>
      <c r="G111" s="297"/>
      <c r="H111" s="204"/>
      <c r="J111" s="204"/>
      <c r="K111" s="204"/>
      <c r="L111" s="204"/>
      <c r="M111" s="204"/>
      <c r="N111" s="204"/>
      <c r="O111" s="204"/>
      <c r="P111" s="204"/>
      <c r="Q111" s="204"/>
      <c r="R111" s="204"/>
      <c r="X111" s="204"/>
      <c r="Y111" s="204"/>
    </row>
    <row r="112" spans="1:25" x14ac:dyDescent="0.25">
      <c r="A112" s="384"/>
      <c r="B112" s="387"/>
      <c r="C112" s="403"/>
      <c r="D112" s="297"/>
      <c r="E112" s="297"/>
      <c r="F112" s="204"/>
      <c r="G112" s="386"/>
      <c r="H112" s="204"/>
      <c r="J112" s="204"/>
      <c r="K112" s="204"/>
      <c r="L112" s="204"/>
      <c r="M112" s="204"/>
      <c r="N112" s="204"/>
      <c r="O112" s="204"/>
      <c r="P112" s="204"/>
      <c r="Q112" s="204"/>
      <c r="R112" s="204"/>
      <c r="X112" s="204"/>
      <c r="Y112" s="204"/>
    </row>
    <row r="113" spans="1:25" x14ac:dyDescent="0.25">
      <c r="A113" s="404"/>
      <c r="B113" s="387"/>
      <c r="C113" s="246"/>
      <c r="D113" s="297"/>
      <c r="E113" s="297"/>
      <c r="F113" s="265"/>
      <c r="G113" s="386"/>
      <c r="L113" s="204"/>
      <c r="M113" s="204"/>
      <c r="N113" s="204"/>
      <c r="O113" s="204"/>
      <c r="P113" s="204"/>
      <c r="Q113" s="204"/>
      <c r="R113" s="204"/>
      <c r="X113" s="204"/>
      <c r="Y113" s="204"/>
    </row>
    <row r="114" spans="1:25" x14ac:dyDescent="0.25">
      <c r="A114" s="204"/>
      <c r="B114" s="405"/>
      <c r="C114" s="246"/>
      <c r="D114" s="265"/>
      <c r="E114" s="265"/>
      <c r="F114" s="245"/>
      <c r="G114" s="291"/>
    </row>
    <row r="115" spans="1:25" x14ac:dyDescent="0.25">
      <c r="A115" s="404"/>
      <c r="B115" s="387"/>
      <c r="C115" s="246"/>
      <c r="D115" s="307"/>
      <c r="E115" s="307"/>
      <c r="F115" s="265"/>
      <c r="G115" s="291"/>
    </row>
    <row r="116" spans="1:25" x14ac:dyDescent="0.25">
      <c r="A116" s="204"/>
      <c r="B116" s="387"/>
      <c r="C116" s="246"/>
      <c r="D116" s="307"/>
      <c r="E116" s="307"/>
      <c r="F116" s="265"/>
      <c r="G116" s="291"/>
      <c r="H116" s="380"/>
    </row>
    <row r="117" spans="1:25" x14ac:dyDescent="0.25">
      <c r="A117" s="204"/>
      <c r="B117" s="387"/>
      <c r="C117" s="246"/>
      <c r="D117" s="307"/>
      <c r="E117" s="307"/>
      <c r="F117" s="265"/>
      <c r="G117" s="291"/>
      <c r="H117" s="204"/>
      <c r="I117" s="204"/>
    </row>
    <row r="118" spans="1:25" x14ac:dyDescent="0.25">
      <c r="A118" s="204"/>
      <c r="B118" s="297"/>
      <c r="C118" s="386"/>
      <c r="D118" s="205"/>
      <c r="E118" s="205"/>
      <c r="F118" s="245"/>
      <c r="G118" s="291"/>
      <c r="H118" s="204"/>
      <c r="I118" s="204"/>
    </row>
    <row r="119" spans="1:25" x14ac:dyDescent="0.25">
      <c r="A119" s="404"/>
      <c r="B119" s="387"/>
      <c r="C119" s="246"/>
      <c r="D119" s="307"/>
      <c r="E119" s="307"/>
      <c r="F119" s="265"/>
      <c r="G119" s="291"/>
      <c r="H119" s="204"/>
      <c r="I119" s="204"/>
    </row>
    <row r="120" spans="1:25" x14ac:dyDescent="0.25">
      <c r="A120" s="404"/>
      <c r="B120" s="387"/>
      <c r="D120" s="205"/>
      <c r="E120" s="307"/>
      <c r="F120" s="265"/>
      <c r="G120" s="291"/>
      <c r="H120" s="204"/>
      <c r="I120" s="204"/>
    </row>
    <row r="121" spans="1:25" x14ac:dyDescent="0.25">
      <c r="A121" s="404"/>
      <c r="B121" s="387"/>
      <c r="C121" s="246"/>
      <c r="D121" s="307"/>
      <c r="E121" s="307"/>
      <c r="F121" s="265"/>
      <c r="G121" s="291"/>
      <c r="H121" s="204"/>
      <c r="I121" s="204"/>
    </row>
    <row r="122" spans="1:25" x14ac:dyDescent="0.25">
      <c r="A122" s="404"/>
      <c r="B122" s="227"/>
      <c r="C122" s="235"/>
      <c r="D122" s="235"/>
      <c r="E122" s="204"/>
      <c r="F122" s="265"/>
      <c r="G122" s="291"/>
      <c r="H122" s="204"/>
      <c r="I122" s="204"/>
    </row>
    <row r="123" spans="1:25" x14ac:dyDescent="0.25">
      <c r="A123" s="404"/>
      <c r="B123" s="204"/>
      <c r="C123" s="382"/>
      <c r="D123" s="382"/>
      <c r="E123" s="204"/>
      <c r="F123" s="265"/>
      <c r="G123" s="291"/>
      <c r="H123" s="204"/>
      <c r="I123" s="204"/>
      <c r="J123" s="204"/>
      <c r="K123" s="204"/>
    </row>
    <row r="124" spans="1:25" x14ac:dyDescent="0.25">
      <c r="B124" s="204"/>
      <c r="C124" s="382"/>
      <c r="D124" s="382"/>
      <c r="E124" s="204"/>
      <c r="G124" s="204"/>
      <c r="H124" s="204"/>
      <c r="I124" s="204"/>
      <c r="J124" s="204"/>
      <c r="K124" s="204"/>
    </row>
    <row r="125" spans="1:25" x14ac:dyDescent="0.25">
      <c r="A125" s="204"/>
      <c r="B125" s="204"/>
      <c r="C125" s="204"/>
      <c r="D125" s="204"/>
      <c r="E125" s="204"/>
      <c r="F125" s="204"/>
      <c r="G125" s="204"/>
      <c r="H125" s="204"/>
      <c r="I125" s="204"/>
      <c r="J125" s="204"/>
      <c r="K125" s="204"/>
    </row>
    <row r="126" spans="1:25" x14ac:dyDescent="0.25">
      <c r="B126" s="204"/>
      <c r="C126" s="204"/>
      <c r="D126" s="204"/>
      <c r="E126" s="204"/>
      <c r="G126" s="204"/>
      <c r="H126" s="204"/>
      <c r="I126" s="204"/>
      <c r="J126" s="204"/>
      <c r="K126" s="204"/>
    </row>
    <row r="127" spans="1:25" x14ac:dyDescent="0.25">
      <c r="B127" s="204"/>
      <c r="C127" s="204"/>
      <c r="D127" s="204"/>
      <c r="E127" s="204"/>
      <c r="G127" s="204"/>
      <c r="H127" s="204"/>
      <c r="I127" s="204"/>
      <c r="J127" s="204"/>
      <c r="K127" s="204"/>
    </row>
    <row r="128" spans="1:25" x14ac:dyDescent="0.25">
      <c r="B128" s="204"/>
      <c r="C128" s="204"/>
      <c r="D128" s="204"/>
      <c r="E128" s="204"/>
      <c r="G128" s="204"/>
      <c r="H128" s="204"/>
      <c r="I128" s="204"/>
      <c r="J128" s="204"/>
      <c r="K128" s="204"/>
    </row>
    <row r="129" spans="2:5" x14ac:dyDescent="0.25">
      <c r="B129" s="204"/>
      <c r="C129" s="204"/>
      <c r="D129" s="204"/>
      <c r="E129" s="204"/>
    </row>
    <row r="130" spans="2:5" x14ac:dyDescent="0.25">
      <c r="B130" s="204"/>
      <c r="C130" s="204"/>
      <c r="D130" s="204"/>
      <c r="E130" s="204"/>
    </row>
  </sheetData>
  <mergeCells count="8">
    <mergeCell ref="C51:D51"/>
    <mergeCell ref="E51:G51"/>
    <mergeCell ref="A6:E6"/>
    <mergeCell ref="A7:E7"/>
    <mergeCell ref="A8:E8"/>
    <mergeCell ref="A9:E9"/>
    <mergeCell ref="A10:E10"/>
    <mergeCell ref="C25:E2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C81"/>
  <sheetViews>
    <sheetView workbookViewId="0">
      <selection activeCell="E12" sqref="E12"/>
    </sheetView>
  </sheetViews>
  <sheetFormatPr defaultColWidth="8.77734375" defaultRowHeight="15" x14ac:dyDescent="0.2"/>
  <cols>
    <col min="1" max="1" width="5.6640625" style="109" customWidth="1"/>
    <col min="2" max="2" width="26.5546875" style="109" customWidth="1"/>
    <col min="3" max="3" width="11.44140625" style="109" customWidth="1"/>
    <col min="4" max="4" width="7.44140625" style="109" customWidth="1"/>
    <col min="5" max="5" width="8.5546875" style="109" customWidth="1"/>
    <col min="6" max="6" width="12.33203125" style="109" customWidth="1"/>
    <col min="7" max="7" width="11.77734375" style="109" customWidth="1"/>
    <col min="8" max="8" width="8.21875" style="109" customWidth="1"/>
    <col min="9" max="9" width="12" style="109" customWidth="1"/>
    <col min="10" max="10" width="8.77734375" style="109" customWidth="1"/>
    <col min="11" max="11" width="11.109375" style="109" customWidth="1"/>
    <col min="12" max="12" width="12.88671875" style="109" customWidth="1"/>
    <col min="13" max="13" width="12.5546875" style="109" customWidth="1"/>
    <col min="14" max="14" width="9.6640625" style="109" customWidth="1"/>
    <col min="15" max="15" width="9.88671875" style="109" customWidth="1"/>
    <col min="16" max="16" width="11.33203125" style="109" customWidth="1"/>
    <col min="17" max="17" width="11.5546875" style="109" customWidth="1"/>
    <col min="18" max="18" width="11.6640625" style="109" customWidth="1"/>
    <col min="19" max="19" width="10.33203125" style="109" customWidth="1"/>
    <col min="20" max="20" width="11.77734375" style="109" customWidth="1"/>
    <col min="21" max="21" width="12.109375" style="109" customWidth="1"/>
    <col min="22" max="22" width="11" style="109" customWidth="1"/>
    <col min="23" max="23" width="12.109375" style="109" customWidth="1"/>
    <col min="24" max="24" width="10.5546875" style="109" customWidth="1"/>
    <col min="25" max="25" width="9.88671875" style="109" customWidth="1"/>
    <col min="26" max="26" width="10.77734375" style="109" customWidth="1"/>
    <col min="27" max="27" width="9.77734375" style="109" customWidth="1"/>
    <col min="28" max="28" width="11.21875" style="109" customWidth="1"/>
    <col min="29" max="29" width="10.33203125" style="109" customWidth="1"/>
    <col min="30" max="30" width="11.88671875" style="109" customWidth="1"/>
    <col min="31" max="31" width="8.77734375" style="109"/>
    <col min="32" max="32" width="13.88671875" style="109" customWidth="1"/>
    <col min="33" max="33" width="10.88671875" style="109" customWidth="1"/>
    <col min="34" max="34" width="11.44140625" style="109" customWidth="1"/>
    <col min="35" max="35" width="11.77734375" style="109" customWidth="1"/>
    <col min="36" max="36" width="11.109375" style="109" customWidth="1"/>
    <col min="37" max="37" width="10.88671875" style="109" customWidth="1"/>
    <col min="38" max="41" width="8.77734375" style="109"/>
    <col min="42" max="42" width="11.44140625" style="109" bestFit="1" customWidth="1"/>
    <col min="43" max="43" width="10.21875" style="109" customWidth="1"/>
    <col min="44" max="44" width="11.5546875" style="109" customWidth="1"/>
    <col min="45" max="45" width="12.109375" style="109" customWidth="1"/>
    <col min="46" max="46" width="13.21875" style="109" customWidth="1"/>
    <col min="47" max="47" width="14.109375" style="109" customWidth="1"/>
    <col min="48" max="48" width="11.77734375" style="109" customWidth="1"/>
    <col min="49" max="49" width="9.6640625" style="109" customWidth="1"/>
    <col min="50" max="53" width="8.77734375" style="109"/>
    <col min="54" max="54" width="28.77734375" style="109" customWidth="1"/>
    <col min="55" max="55" width="11.77734375" style="109" customWidth="1"/>
    <col min="56" max="56" width="10" style="109" customWidth="1"/>
    <col min="57" max="57" width="10.44140625" style="109" customWidth="1"/>
    <col min="58" max="59" width="8.77734375" style="109"/>
    <col min="60" max="60" width="9.33203125" style="109" customWidth="1"/>
    <col min="61" max="61" width="18.44140625" style="109" customWidth="1"/>
    <col min="62" max="62" width="11" style="109" customWidth="1"/>
    <col min="63" max="63" width="9.5546875" style="109" customWidth="1"/>
    <col min="64" max="64" width="10.6640625" style="109" customWidth="1"/>
    <col min="65" max="65" width="9.88671875" style="109" customWidth="1"/>
    <col min="66" max="66" width="11.44140625" style="109" customWidth="1"/>
    <col min="67" max="67" width="9.88671875" style="109" customWidth="1"/>
    <col min="68" max="68" width="10" style="109" customWidth="1"/>
    <col min="69" max="69" width="6.77734375" style="109" customWidth="1"/>
    <col min="70" max="70" width="12.5546875" style="109" customWidth="1"/>
    <col min="71" max="71" width="9.5546875" style="109" customWidth="1"/>
    <col min="72" max="72" width="10.33203125" style="109" customWidth="1"/>
    <col min="73" max="73" width="7.77734375" style="109" customWidth="1"/>
    <col min="74" max="74" width="7.21875" style="109" customWidth="1"/>
    <col min="75" max="75" width="17.6640625" style="109" customWidth="1"/>
    <col min="76" max="76" width="8.77734375" style="109" customWidth="1"/>
    <col min="77" max="77" width="13.109375" style="109" bestFit="1" customWidth="1"/>
    <col min="78" max="78" width="13.77734375" style="109" customWidth="1"/>
    <col min="79" max="80" width="8.77734375" style="109"/>
    <col min="81" max="81" width="9" style="109" bestFit="1" customWidth="1"/>
    <col min="82" max="90" width="8.77734375" style="109"/>
    <col min="91" max="91" width="13.109375" style="109" customWidth="1"/>
    <col min="92" max="92" width="8.77734375" style="109"/>
    <col min="93" max="93" width="9.88671875" style="109" customWidth="1"/>
    <col min="94" max="97" width="8.77734375" style="109"/>
    <col min="98" max="98" width="8.5546875" style="109" customWidth="1"/>
    <col min="99" max="99" width="30.33203125" style="109" customWidth="1"/>
    <col min="100" max="100" width="9" style="109" bestFit="1" customWidth="1"/>
    <col min="101" max="101" width="8.77734375" style="109"/>
    <col min="102" max="102" width="5.88671875" style="109" customWidth="1"/>
    <col min="103" max="103" width="6.88671875" style="109" customWidth="1"/>
    <col min="104" max="104" width="23.88671875" style="109" customWidth="1"/>
    <col min="105" max="111" width="8.77734375" style="109"/>
    <col min="112" max="112" width="9" style="109" bestFit="1" customWidth="1"/>
    <col min="113" max="114" width="8.77734375" style="109"/>
    <col min="115" max="115" width="32.88671875" style="109" customWidth="1"/>
    <col min="116" max="116" width="16.6640625" style="109" customWidth="1"/>
    <col min="117" max="117" width="10.21875" style="109" customWidth="1"/>
    <col min="118" max="118" width="12.44140625" style="109" customWidth="1"/>
    <col min="119" max="119" width="10" style="109" bestFit="1" customWidth="1"/>
    <col min="120" max="120" width="8.77734375" style="109"/>
    <col min="121" max="121" width="9" style="109" bestFit="1" customWidth="1"/>
    <col min="122" max="123" width="8.77734375" style="109"/>
    <col min="124" max="124" width="11.6640625" style="109" customWidth="1"/>
    <col min="125" max="125" width="8.77734375" style="109"/>
    <col min="126" max="126" width="28.77734375" style="109" customWidth="1"/>
    <col min="127" max="127" width="12.33203125" style="109" customWidth="1"/>
    <col min="128" max="128" width="11.21875" style="109" customWidth="1"/>
    <col min="129" max="256" width="8.77734375" style="109"/>
    <col min="257" max="257" width="5.6640625" style="109" customWidth="1"/>
    <col min="258" max="258" width="26.5546875" style="109" customWidth="1"/>
    <col min="259" max="259" width="11.44140625" style="109" customWidth="1"/>
    <col min="260" max="260" width="7.44140625" style="109" customWidth="1"/>
    <col min="261" max="261" width="8.5546875" style="109" customWidth="1"/>
    <col min="262" max="262" width="12.33203125" style="109" customWidth="1"/>
    <col min="263" max="263" width="11.77734375" style="109" customWidth="1"/>
    <col min="264" max="264" width="8.21875" style="109" customWidth="1"/>
    <col min="265" max="265" width="12" style="109" customWidth="1"/>
    <col min="266" max="266" width="8.77734375" style="109" customWidth="1"/>
    <col min="267" max="267" width="11.109375" style="109" customWidth="1"/>
    <col min="268" max="268" width="12.88671875" style="109" customWidth="1"/>
    <col min="269" max="269" width="12.5546875" style="109" customWidth="1"/>
    <col min="270" max="270" width="9.6640625" style="109" customWidth="1"/>
    <col min="271" max="271" width="9.88671875" style="109" customWidth="1"/>
    <col min="272" max="272" width="11.33203125" style="109" customWidth="1"/>
    <col min="273" max="273" width="11.5546875" style="109" customWidth="1"/>
    <col min="274" max="274" width="11.6640625" style="109" customWidth="1"/>
    <col min="275" max="275" width="10.33203125" style="109" customWidth="1"/>
    <col min="276" max="276" width="11.77734375" style="109" customWidth="1"/>
    <col min="277" max="277" width="12.109375" style="109" customWidth="1"/>
    <col min="278" max="278" width="11" style="109" customWidth="1"/>
    <col min="279" max="279" width="12.109375" style="109" customWidth="1"/>
    <col min="280" max="280" width="10.5546875" style="109" customWidth="1"/>
    <col min="281" max="281" width="9.88671875" style="109" customWidth="1"/>
    <col min="282" max="282" width="10.77734375" style="109" customWidth="1"/>
    <col min="283" max="283" width="9.77734375" style="109" customWidth="1"/>
    <col min="284" max="284" width="11.21875" style="109" customWidth="1"/>
    <col min="285" max="285" width="10.33203125" style="109" customWidth="1"/>
    <col min="286" max="286" width="11.88671875" style="109" customWidth="1"/>
    <col min="287" max="287" width="8.77734375" style="109"/>
    <col min="288" max="288" width="13.88671875" style="109" customWidth="1"/>
    <col min="289" max="289" width="10.88671875" style="109" customWidth="1"/>
    <col min="290" max="290" width="11.44140625" style="109" customWidth="1"/>
    <col min="291" max="291" width="11.77734375" style="109" customWidth="1"/>
    <col min="292" max="292" width="11.109375" style="109" customWidth="1"/>
    <col min="293" max="293" width="10.88671875" style="109" customWidth="1"/>
    <col min="294" max="297" width="8.77734375" style="109"/>
    <col min="298" max="298" width="11.44140625" style="109" bestFit="1" customWidth="1"/>
    <col min="299" max="299" width="10.21875" style="109" customWidth="1"/>
    <col min="300" max="300" width="11.5546875" style="109" customWidth="1"/>
    <col min="301" max="301" width="12.109375" style="109" customWidth="1"/>
    <col min="302" max="302" width="13.21875" style="109" customWidth="1"/>
    <col min="303" max="303" width="14.109375" style="109" customWidth="1"/>
    <col min="304" max="304" width="11.77734375" style="109" customWidth="1"/>
    <col min="305" max="305" width="9.6640625" style="109" customWidth="1"/>
    <col min="306" max="309" width="8.77734375" style="109"/>
    <col min="310" max="310" width="28.77734375" style="109" customWidth="1"/>
    <col min="311" max="311" width="11.77734375" style="109" customWidth="1"/>
    <col min="312" max="312" width="10" style="109" customWidth="1"/>
    <col min="313" max="313" width="10.44140625" style="109" customWidth="1"/>
    <col min="314" max="315" width="8.77734375" style="109"/>
    <col min="316" max="316" width="9.33203125" style="109" customWidth="1"/>
    <col min="317" max="317" width="18.44140625" style="109" customWidth="1"/>
    <col min="318" max="318" width="11" style="109" customWidth="1"/>
    <col min="319" max="319" width="9.5546875" style="109" customWidth="1"/>
    <col min="320" max="320" width="10.6640625" style="109" customWidth="1"/>
    <col min="321" max="321" width="9.88671875" style="109" customWidth="1"/>
    <col min="322" max="322" width="11.44140625" style="109" customWidth="1"/>
    <col min="323" max="323" width="9.88671875" style="109" customWidth="1"/>
    <col min="324" max="324" width="10" style="109" customWidth="1"/>
    <col min="325" max="325" width="6.77734375" style="109" customWidth="1"/>
    <col min="326" max="326" width="12.5546875" style="109" customWidth="1"/>
    <col min="327" max="327" width="9.5546875" style="109" customWidth="1"/>
    <col min="328" max="328" width="10.33203125" style="109" customWidth="1"/>
    <col min="329" max="329" width="7.77734375" style="109" customWidth="1"/>
    <col min="330" max="330" width="7.21875" style="109" customWidth="1"/>
    <col min="331" max="331" width="17.6640625" style="109" customWidth="1"/>
    <col min="332" max="332" width="8.77734375" style="109" customWidth="1"/>
    <col min="333" max="333" width="13.109375" style="109" bestFit="1" customWidth="1"/>
    <col min="334" max="334" width="13.77734375" style="109" customWidth="1"/>
    <col min="335" max="336" width="8.77734375" style="109"/>
    <col min="337" max="337" width="9" style="109" bestFit="1" customWidth="1"/>
    <col min="338" max="346" width="8.77734375" style="109"/>
    <col min="347" max="347" width="13.109375" style="109" customWidth="1"/>
    <col min="348" max="348" width="8.77734375" style="109"/>
    <col min="349" max="349" width="9.88671875" style="109" customWidth="1"/>
    <col min="350" max="353" width="8.77734375" style="109"/>
    <col min="354" max="354" width="8.5546875" style="109" customWidth="1"/>
    <col min="355" max="355" width="30.33203125" style="109" customWidth="1"/>
    <col min="356" max="356" width="9" style="109" bestFit="1" customWidth="1"/>
    <col min="357" max="357" width="8.77734375" style="109"/>
    <col min="358" max="358" width="5.88671875" style="109" customWidth="1"/>
    <col min="359" max="359" width="6.88671875" style="109" customWidth="1"/>
    <col min="360" max="360" width="23.88671875" style="109" customWidth="1"/>
    <col min="361" max="367" width="8.77734375" style="109"/>
    <col min="368" max="368" width="9" style="109" bestFit="1" customWidth="1"/>
    <col min="369" max="370" width="8.77734375" style="109"/>
    <col min="371" max="371" width="32.88671875" style="109" customWidth="1"/>
    <col min="372" max="372" width="16.6640625" style="109" customWidth="1"/>
    <col min="373" max="373" width="10.21875" style="109" customWidth="1"/>
    <col min="374" max="374" width="12.44140625" style="109" customWidth="1"/>
    <col min="375" max="375" width="10" style="109" bestFit="1" customWidth="1"/>
    <col min="376" max="376" width="8.77734375" style="109"/>
    <col min="377" max="377" width="9" style="109" bestFit="1" customWidth="1"/>
    <col min="378" max="379" width="8.77734375" style="109"/>
    <col min="380" max="380" width="11.6640625" style="109" customWidth="1"/>
    <col min="381" max="381" width="8.77734375" style="109"/>
    <col min="382" max="382" width="28.77734375" style="109" customWidth="1"/>
    <col min="383" max="383" width="12.33203125" style="109" customWidth="1"/>
    <col min="384" max="384" width="11.21875" style="109" customWidth="1"/>
    <col min="385" max="512" width="8.77734375" style="109"/>
    <col min="513" max="513" width="5.6640625" style="109" customWidth="1"/>
    <col min="514" max="514" width="26.5546875" style="109" customWidth="1"/>
    <col min="515" max="515" width="11.44140625" style="109" customWidth="1"/>
    <col min="516" max="516" width="7.44140625" style="109" customWidth="1"/>
    <col min="517" max="517" width="8.5546875" style="109" customWidth="1"/>
    <col min="518" max="518" width="12.33203125" style="109" customWidth="1"/>
    <col min="519" max="519" width="11.77734375" style="109" customWidth="1"/>
    <col min="520" max="520" width="8.21875" style="109" customWidth="1"/>
    <col min="521" max="521" width="12" style="109" customWidth="1"/>
    <col min="522" max="522" width="8.77734375" style="109" customWidth="1"/>
    <col min="523" max="523" width="11.109375" style="109" customWidth="1"/>
    <col min="524" max="524" width="12.88671875" style="109" customWidth="1"/>
    <col min="525" max="525" width="12.5546875" style="109" customWidth="1"/>
    <col min="526" max="526" width="9.6640625" style="109" customWidth="1"/>
    <col min="527" max="527" width="9.88671875" style="109" customWidth="1"/>
    <col min="528" max="528" width="11.33203125" style="109" customWidth="1"/>
    <col min="529" max="529" width="11.5546875" style="109" customWidth="1"/>
    <col min="530" max="530" width="11.6640625" style="109" customWidth="1"/>
    <col min="531" max="531" width="10.33203125" style="109" customWidth="1"/>
    <col min="532" max="532" width="11.77734375" style="109" customWidth="1"/>
    <col min="533" max="533" width="12.109375" style="109" customWidth="1"/>
    <col min="534" max="534" width="11" style="109" customWidth="1"/>
    <col min="535" max="535" width="12.109375" style="109" customWidth="1"/>
    <col min="536" max="536" width="10.5546875" style="109" customWidth="1"/>
    <col min="537" max="537" width="9.88671875" style="109" customWidth="1"/>
    <col min="538" max="538" width="10.77734375" style="109" customWidth="1"/>
    <col min="539" max="539" width="9.77734375" style="109" customWidth="1"/>
    <col min="540" max="540" width="11.21875" style="109" customWidth="1"/>
    <col min="541" max="541" width="10.33203125" style="109" customWidth="1"/>
    <col min="542" max="542" width="11.88671875" style="109" customWidth="1"/>
    <col min="543" max="543" width="8.77734375" style="109"/>
    <col min="544" max="544" width="13.88671875" style="109" customWidth="1"/>
    <col min="545" max="545" width="10.88671875" style="109" customWidth="1"/>
    <col min="546" max="546" width="11.44140625" style="109" customWidth="1"/>
    <col min="547" max="547" width="11.77734375" style="109" customWidth="1"/>
    <col min="548" max="548" width="11.109375" style="109" customWidth="1"/>
    <col min="549" max="549" width="10.88671875" style="109" customWidth="1"/>
    <col min="550" max="553" width="8.77734375" style="109"/>
    <col min="554" max="554" width="11.44140625" style="109" bestFit="1" customWidth="1"/>
    <col min="555" max="555" width="10.21875" style="109" customWidth="1"/>
    <col min="556" max="556" width="11.5546875" style="109" customWidth="1"/>
    <col min="557" max="557" width="12.109375" style="109" customWidth="1"/>
    <col min="558" max="558" width="13.21875" style="109" customWidth="1"/>
    <col min="559" max="559" width="14.109375" style="109" customWidth="1"/>
    <col min="560" max="560" width="11.77734375" style="109" customWidth="1"/>
    <col min="561" max="561" width="9.6640625" style="109" customWidth="1"/>
    <col min="562" max="565" width="8.77734375" style="109"/>
    <col min="566" max="566" width="28.77734375" style="109" customWidth="1"/>
    <col min="567" max="567" width="11.77734375" style="109" customWidth="1"/>
    <col min="568" max="568" width="10" style="109" customWidth="1"/>
    <col min="569" max="569" width="10.44140625" style="109" customWidth="1"/>
    <col min="570" max="571" width="8.77734375" style="109"/>
    <col min="572" max="572" width="9.33203125" style="109" customWidth="1"/>
    <col min="573" max="573" width="18.44140625" style="109" customWidth="1"/>
    <col min="574" max="574" width="11" style="109" customWidth="1"/>
    <col min="575" max="575" width="9.5546875" style="109" customWidth="1"/>
    <col min="576" max="576" width="10.6640625" style="109" customWidth="1"/>
    <col min="577" max="577" width="9.88671875" style="109" customWidth="1"/>
    <col min="578" max="578" width="11.44140625" style="109" customWidth="1"/>
    <col min="579" max="579" width="9.88671875" style="109" customWidth="1"/>
    <col min="580" max="580" width="10" style="109" customWidth="1"/>
    <col min="581" max="581" width="6.77734375" style="109" customWidth="1"/>
    <col min="582" max="582" width="12.5546875" style="109" customWidth="1"/>
    <col min="583" max="583" width="9.5546875" style="109" customWidth="1"/>
    <col min="584" max="584" width="10.33203125" style="109" customWidth="1"/>
    <col min="585" max="585" width="7.77734375" style="109" customWidth="1"/>
    <col min="586" max="586" width="7.21875" style="109" customWidth="1"/>
    <col min="587" max="587" width="17.6640625" style="109" customWidth="1"/>
    <col min="588" max="588" width="8.77734375" style="109" customWidth="1"/>
    <col min="589" max="589" width="13.109375" style="109" bestFit="1" customWidth="1"/>
    <col min="590" max="590" width="13.77734375" style="109" customWidth="1"/>
    <col min="591" max="592" width="8.77734375" style="109"/>
    <col min="593" max="593" width="9" style="109" bestFit="1" customWidth="1"/>
    <col min="594" max="602" width="8.77734375" style="109"/>
    <col min="603" max="603" width="13.109375" style="109" customWidth="1"/>
    <col min="604" max="604" width="8.77734375" style="109"/>
    <col min="605" max="605" width="9.88671875" style="109" customWidth="1"/>
    <col min="606" max="609" width="8.77734375" style="109"/>
    <col min="610" max="610" width="8.5546875" style="109" customWidth="1"/>
    <col min="611" max="611" width="30.33203125" style="109" customWidth="1"/>
    <col min="612" max="612" width="9" style="109" bestFit="1" customWidth="1"/>
    <col min="613" max="613" width="8.77734375" style="109"/>
    <col min="614" max="614" width="5.88671875" style="109" customWidth="1"/>
    <col min="615" max="615" width="6.88671875" style="109" customWidth="1"/>
    <col min="616" max="616" width="23.88671875" style="109" customWidth="1"/>
    <col min="617" max="623" width="8.77734375" style="109"/>
    <col min="624" max="624" width="9" style="109" bestFit="1" customWidth="1"/>
    <col min="625" max="626" width="8.77734375" style="109"/>
    <col min="627" max="627" width="32.88671875" style="109" customWidth="1"/>
    <col min="628" max="628" width="16.6640625" style="109" customWidth="1"/>
    <col min="629" max="629" width="10.21875" style="109" customWidth="1"/>
    <col min="630" max="630" width="12.44140625" style="109" customWidth="1"/>
    <col min="631" max="631" width="10" style="109" bestFit="1" customWidth="1"/>
    <col min="632" max="632" width="8.77734375" style="109"/>
    <col min="633" max="633" width="9" style="109" bestFit="1" customWidth="1"/>
    <col min="634" max="635" width="8.77734375" style="109"/>
    <col min="636" max="636" width="11.6640625" style="109" customWidth="1"/>
    <col min="637" max="637" width="8.77734375" style="109"/>
    <col min="638" max="638" width="28.77734375" style="109" customWidth="1"/>
    <col min="639" max="639" width="12.33203125" style="109" customWidth="1"/>
    <col min="640" max="640" width="11.21875" style="109" customWidth="1"/>
    <col min="641" max="768" width="8.77734375" style="109"/>
    <col min="769" max="769" width="5.6640625" style="109" customWidth="1"/>
    <col min="770" max="770" width="26.5546875" style="109" customWidth="1"/>
    <col min="771" max="771" width="11.44140625" style="109" customWidth="1"/>
    <col min="772" max="772" width="7.44140625" style="109" customWidth="1"/>
    <col min="773" max="773" width="8.5546875" style="109" customWidth="1"/>
    <col min="774" max="774" width="12.33203125" style="109" customWidth="1"/>
    <col min="775" max="775" width="11.77734375" style="109" customWidth="1"/>
    <col min="776" max="776" width="8.21875" style="109" customWidth="1"/>
    <col min="777" max="777" width="12" style="109" customWidth="1"/>
    <col min="778" max="778" width="8.77734375" style="109" customWidth="1"/>
    <col min="779" max="779" width="11.109375" style="109" customWidth="1"/>
    <col min="780" max="780" width="12.88671875" style="109" customWidth="1"/>
    <col min="781" max="781" width="12.5546875" style="109" customWidth="1"/>
    <col min="782" max="782" width="9.6640625" style="109" customWidth="1"/>
    <col min="783" max="783" width="9.88671875" style="109" customWidth="1"/>
    <col min="784" max="784" width="11.33203125" style="109" customWidth="1"/>
    <col min="785" max="785" width="11.5546875" style="109" customWidth="1"/>
    <col min="786" max="786" width="11.6640625" style="109" customWidth="1"/>
    <col min="787" max="787" width="10.33203125" style="109" customWidth="1"/>
    <col min="788" max="788" width="11.77734375" style="109" customWidth="1"/>
    <col min="789" max="789" width="12.109375" style="109" customWidth="1"/>
    <col min="790" max="790" width="11" style="109" customWidth="1"/>
    <col min="791" max="791" width="12.109375" style="109" customWidth="1"/>
    <col min="792" max="792" width="10.5546875" style="109" customWidth="1"/>
    <col min="793" max="793" width="9.88671875" style="109" customWidth="1"/>
    <col min="794" max="794" width="10.77734375" style="109" customWidth="1"/>
    <col min="795" max="795" width="9.77734375" style="109" customWidth="1"/>
    <col min="796" max="796" width="11.21875" style="109" customWidth="1"/>
    <col min="797" max="797" width="10.33203125" style="109" customWidth="1"/>
    <col min="798" max="798" width="11.88671875" style="109" customWidth="1"/>
    <col min="799" max="799" width="8.77734375" style="109"/>
    <col min="800" max="800" width="13.88671875" style="109" customWidth="1"/>
    <col min="801" max="801" width="10.88671875" style="109" customWidth="1"/>
    <col min="802" max="802" width="11.44140625" style="109" customWidth="1"/>
    <col min="803" max="803" width="11.77734375" style="109" customWidth="1"/>
    <col min="804" max="804" width="11.109375" style="109" customWidth="1"/>
    <col min="805" max="805" width="10.88671875" style="109" customWidth="1"/>
    <col min="806" max="809" width="8.77734375" style="109"/>
    <col min="810" max="810" width="11.44140625" style="109" bestFit="1" customWidth="1"/>
    <col min="811" max="811" width="10.21875" style="109" customWidth="1"/>
    <col min="812" max="812" width="11.5546875" style="109" customWidth="1"/>
    <col min="813" max="813" width="12.109375" style="109" customWidth="1"/>
    <col min="814" max="814" width="13.21875" style="109" customWidth="1"/>
    <col min="815" max="815" width="14.109375" style="109" customWidth="1"/>
    <col min="816" max="816" width="11.77734375" style="109" customWidth="1"/>
    <col min="817" max="817" width="9.6640625" style="109" customWidth="1"/>
    <col min="818" max="821" width="8.77734375" style="109"/>
    <col min="822" max="822" width="28.77734375" style="109" customWidth="1"/>
    <col min="823" max="823" width="11.77734375" style="109" customWidth="1"/>
    <col min="824" max="824" width="10" style="109" customWidth="1"/>
    <col min="825" max="825" width="10.44140625" style="109" customWidth="1"/>
    <col min="826" max="827" width="8.77734375" style="109"/>
    <col min="828" max="828" width="9.33203125" style="109" customWidth="1"/>
    <col min="829" max="829" width="18.44140625" style="109" customWidth="1"/>
    <col min="830" max="830" width="11" style="109" customWidth="1"/>
    <col min="831" max="831" width="9.5546875" style="109" customWidth="1"/>
    <col min="832" max="832" width="10.6640625" style="109" customWidth="1"/>
    <col min="833" max="833" width="9.88671875" style="109" customWidth="1"/>
    <col min="834" max="834" width="11.44140625" style="109" customWidth="1"/>
    <col min="835" max="835" width="9.88671875" style="109" customWidth="1"/>
    <col min="836" max="836" width="10" style="109" customWidth="1"/>
    <col min="837" max="837" width="6.77734375" style="109" customWidth="1"/>
    <col min="838" max="838" width="12.5546875" style="109" customWidth="1"/>
    <col min="839" max="839" width="9.5546875" style="109" customWidth="1"/>
    <col min="840" max="840" width="10.33203125" style="109" customWidth="1"/>
    <col min="841" max="841" width="7.77734375" style="109" customWidth="1"/>
    <col min="842" max="842" width="7.21875" style="109" customWidth="1"/>
    <col min="843" max="843" width="17.6640625" style="109" customWidth="1"/>
    <col min="844" max="844" width="8.77734375" style="109" customWidth="1"/>
    <col min="845" max="845" width="13.109375" style="109" bestFit="1" customWidth="1"/>
    <col min="846" max="846" width="13.77734375" style="109" customWidth="1"/>
    <col min="847" max="848" width="8.77734375" style="109"/>
    <col min="849" max="849" width="9" style="109" bestFit="1" customWidth="1"/>
    <col min="850" max="858" width="8.77734375" style="109"/>
    <col min="859" max="859" width="13.109375" style="109" customWidth="1"/>
    <col min="860" max="860" width="8.77734375" style="109"/>
    <col min="861" max="861" width="9.88671875" style="109" customWidth="1"/>
    <col min="862" max="865" width="8.77734375" style="109"/>
    <col min="866" max="866" width="8.5546875" style="109" customWidth="1"/>
    <col min="867" max="867" width="30.33203125" style="109" customWidth="1"/>
    <col min="868" max="868" width="9" style="109" bestFit="1" customWidth="1"/>
    <col min="869" max="869" width="8.77734375" style="109"/>
    <col min="870" max="870" width="5.88671875" style="109" customWidth="1"/>
    <col min="871" max="871" width="6.88671875" style="109" customWidth="1"/>
    <col min="872" max="872" width="23.88671875" style="109" customWidth="1"/>
    <col min="873" max="879" width="8.77734375" style="109"/>
    <col min="880" max="880" width="9" style="109" bestFit="1" customWidth="1"/>
    <col min="881" max="882" width="8.77734375" style="109"/>
    <col min="883" max="883" width="32.88671875" style="109" customWidth="1"/>
    <col min="884" max="884" width="16.6640625" style="109" customWidth="1"/>
    <col min="885" max="885" width="10.21875" style="109" customWidth="1"/>
    <col min="886" max="886" width="12.44140625" style="109" customWidth="1"/>
    <col min="887" max="887" width="10" style="109" bestFit="1" customWidth="1"/>
    <col min="888" max="888" width="8.77734375" style="109"/>
    <col min="889" max="889" width="9" style="109" bestFit="1" customWidth="1"/>
    <col min="890" max="891" width="8.77734375" style="109"/>
    <col min="892" max="892" width="11.6640625" style="109" customWidth="1"/>
    <col min="893" max="893" width="8.77734375" style="109"/>
    <col min="894" max="894" width="28.77734375" style="109" customWidth="1"/>
    <col min="895" max="895" width="12.33203125" style="109" customWidth="1"/>
    <col min="896" max="896" width="11.21875" style="109" customWidth="1"/>
    <col min="897" max="1024" width="8.77734375" style="109"/>
    <col min="1025" max="1025" width="5.6640625" style="109" customWidth="1"/>
    <col min="1026" max="1026" width="26.5546875" style="109" customWidth="1"/>
    <col min="1027" max="1027" width="11.44140625" style="109" customWidth="1"/>
    <col min="1028" max="1028" width="7.44140625" style="109" customWidth="1"/>
    <col min="1029" max="1029" width="8.5546875" style="109" customWidth="1"/>
    <col min="1030" max="1030" width="12.33203125" style="109" customWidth="1"/>
    <col min="1031" max="1031" width="11.77734375" style="109" customWidth="1"/>
    <col min="1032" max="1032" width="8.21875" style="109" customWidth="1"/>
    <col min="1033" max="1033" width="12" style="109" customWidth="1"/>
    <col min="1034" max="1034" width="8.77734375" style="109" customWidth="1"/>
    <col min="1035" max="1035" width="11.109375" style="109" customWidth="1"/>
    <col min="1036" max="1036" width="12.88671875" style="109" customWidth="1"/>
    <col min="1037" max="1037" width="12.5546875" style="109" customWidth="1"/>
    <col min="1038" max="1038" width="9.6640625" style="109" customWidth="1"/>
    <col min="1039" max="1039" width="9.88671875" style="109" customWidth="1"/>
    <col min="1040" max="1040" width="11.33203125" style="109" customWidth="1"/>
    <col min="1041" max="1041" width="11.5546875" style="109" customWidth="1"/>
    <col min="1042" max="1042" width="11.6640625" style="109" customWidth="1"/>
    <col min="1043" max="1043" width="10.33203125" style="109" customWidth="1"/>
    <col min="1044" max="1044" width="11.77734375" style="109" customWidth="1"/>
    <col min="1045" max="1045" width="12.109375" style="109" customWidth="1"/>
    <col min="1046" max="1046" width="11" style="109" customWidth="1"/>
    <col min="1047" max="1047" width="12.109375" style="109" customWidth="1"/>
    <col min="1048" max="1048" width="10.5546875" style="109" customWidth="1"/>
    <col min="1049" max="1049" width="9.88671875" style="109" customWidth="1"/>
    <col min="1050" max="1050" width="10.77734375" style="109" customWidth="1"/>
    <col min="1051" max="1051" width="9.77734375" style="109" customWidth="1"/>
    <col min="1052" max="1052" width="11.21875" style="109" customWidth="1"/>
    <col min="1053" max="1053" width="10.33203125" style="109" customWidth="1"/>
    <col min="1054" max="1054" width="11.88671875" style="109" customWidth="1"/>
    <col min="1055" max="1055" width="8.77734375" style="109"/>
    <col min="1056" max="1056" width="13.88671875" style="109" customWidth="1"/>
    <col min="1057" max="1057" width="10.88671875" style="109" customWidth="1"/>
    <col min="1058" max="1058" width="11.44140625" style="109" customWidth="1"/>
    <col min="1059" max="1059" width="11.77734375" style="109" customWidth="1"/>
    <col min="1060" max="1060" width="11.109375" style="109" customWidth="1"/>
    <col min="1061" max="1061" width="10.88671875" style="109" customWidth="1"/>
    <col min="1062" max="1065" width="8.77734375" style="109"/>
    <col min="1066" max="1066" width="11.44140625" style="109" bestFit="1" customWidth="1"/>
    <col min="1067" max="1067" width="10.21875" style="109" customWidth="1"/>
    <col min="1068" max="1068" width="11.5546875" style="109" customWidth="1"/>
    <col min="1069" max="1069" width="12.109375" style="109" customWidth="1"/>
    <col min="1070" max="1070" width="13.21875" style="109" customWidth="1"/>
    <col min="1071" max="1071" width="14.109375" style="109" customWidth="1"/>
    <col min="1072" max="1072" width="11.77734375" style="109" customWidth="1"/>
    <col min="1073" max="1073" width="9.6640625" style="109" customWidth="1"/>
    <col min="1074" max="1077" width="8.77734375" style="109"/>
    <col min="1078" max="1078" width="28.77734375" style="109" customWidth="1"/>
    <col min="1079" max="1079" width="11.77734375" style="109" customWidth="1"/>
    <col min="1080" max="1080" width="10" style="109" customWidth="1"/>
    <col min="1081" max="1081" width="10.44140625" style="109" customWidth="1"/>
    <col min="1082" max="1083" width="8.77734375" style="109"/>
    <col min="1084" max="1084" width="9.33203125" style="109" customWidth="1"/>
    <col min="1085" max="1085" width="18.44140625" style="109" customWidth="1"/>
    <col min="1086" max="1086" width="11" style="109" customWidth="1"/>
    <col min="1087" max="1087" width="9.5546875" style="109" customWidth="1"/>
    <col min="1088" max="1088" width="10.6640625" style="109" customWidth="1"/>
    <col min="1089" max="1089" width="9.88671875" style="109" customWidth="1"/>
    <col min="1090" max="1090" width="11.44140625" style="109" customWidth="1"/>
    <col min="1091" max="1091" width="9.88671875" style="109" customWidth="1"/>
    <col min="1092" max="1092" width="10" style="109" customWidth="1"/>
    <col min="1093" max="1093" width="6.77734375" style="109" customWidth="1"/>
    <col min="1094" max="1094" width="12.5546875" style="109" customWidth="1"/>
    <col min="1095" max="1095" width="9.5546875" style="109" customWidth="1"/>
    <col min="1096" max="1096" width="10.33203125" style="109" customWidth="1"/>
    <col min="1097" max="1097" width="7.77734375" style="109" customWidth="1"/>
    <col min="1098" max="1098" width="7.21875" style="109" customWidth="1"/>
    <col min="1099" max="1099" width="17.6640625" style="109" customWidth="1"/>
    <col min="1100" max="1100" width="8.77734375" style="109" customWidth="1"/>
    <col min="1101" max="1101" width="13.109375" style="109" bestFit="1" customWidth="1"/>
    <col min="1102" max="1102" width="13.77734375" style="109" customWidth="1"/>
    <col min="1103" max="1104" width="8.77734375" style="109"/>
    <col min="1105" max="1105" width="9" style="109" bestFit="1" customWidth="1"/>
    <col min="1106" max="1114" width="8.77734375" style="109"/>
    <col min="1115" max="1115" width="13.109375" style="109" customWidth="1"/>
    <col min="1116" max="1116" width="8.77734375" style="109"/>
    <col min="1117" max="1117" width="9.88671875" style="109" customWidth="1"/>
    <col min="1118" max="1121" width="8.77734375" style="109"/>
    <col min="1122" max="1122" width="8.5546875" style="109" customWidth="1"/>
    <col min="1123" max="1123" width="30.33203125" style="109" customWidth="1"/>
    <col min="1124" max="1124" width="9" style="109" bestFit="1" customWidth="1"/>
    <col min="1125" max="1125" width="8.77734375" style="109"/>
    <col min="1126" max="1126" width="5.88671875" style="109" customWidth="1"/>
    <col min="1127" max="1127" width="6.88671875" style="109" customWidth="1"/>
    <col min="1128" max="1128" width="23.88671875" style="109" customWidth="1"/>
    <col min="1129" max="1135" width="8.77734375" style="109"/>
    <col min="1136" max="1136" width="9" style="109" bestFit="1" customWidth="1"/>
    <col min="1137" max="1138" width="8.77734375" style="109"/>
    <col min="1139" max="1139" width="32.88671875" style="109" customWidth="1"/>
    <col min="1140" max="1140" width="16.6640625" style="109" customWidth="1"/>
    <col min="1141" max="1141" width="10.21875" style="109" customWidth="1"/>
    <col min="1142" max="1142" width="12.44140625" style="109" customWidth="1"/>
    <col min="1143" max="1143" width="10" style="109" bestFit="1" customWidth="1"/>
    <col min="1144" max="1144" width="8.77734375" style="109"/>
    <col min="1145" max="1145" width="9" style="109" bestFit="1" customWidth="1"/>
    <col min="1146" max="1147" width="8.77734375" style="109"/>
    <col min="1148" max="1148" width="11.6640625" style="109" customWidth="1"/>
    <col min="1149" max="1149" width="8.77734375" style="109"/>
    <col min="1150" max="1150" width="28.77734375" style="109" customWidth="1"/>
    <col min="1151" max="1151" width="12.33203125" style="109" customWidth="1"/>
    <col min="1152" max="1152" width="11.21875" style="109" customWidth="1"/>
    <col min="1153" max="1280" width="8.77734375" style="109"/>
    <col min="1281" max="1281" width="5.6640625" style="109" customWidth="1"/>
    <col min="1282" max="1282" width="26.5546875" style="109" customWidth="1"/>
    <col min="1283" max="1283" width="11.44140625" style="109" customWidth="1"/>
    <col min="1284" max="1284" width="7.44140625" style="109" customWidth="1"/>
    <col min="1285" max="1285" width="8.5546875" style="109" customWidth="1"/>
    <col min="1286" max="1286" width="12.33203125" style="109" customWidth="1"/>
    <col min="1287" max="1287" width="11.77734375" style="109" customWidth="1"/>
    <col min="1288" max="1288" width="8.21875" style="109" customWidth="1"/>
    <col min="1289" max="1289" width="12" style="109" customWidth="1"/>
    <col min="1290" max="1290" width="8.77734375" style="109" customWidth="1"/>
    <col min="1291" max="1291" width="11.109375" style="109" customWidth="1"/>
    <col min="1292" max="1292" width="12.88671875" style="109" customWidth="1"/>
    <col min="1293" max="1293" width="12.5546875" style="109" customWidth="1"/>
    <col min="1294" max="1294" width="9.6640625" style="109" customWidth="1"/>
    <col min="1295" max="1295" width="9.88671875" style="109" customWidth="1"/>
    <col min="1296" max="1296" width="11.33203125" style="109" customWidth="1"/>
    <col min="1297" max="1297" width="11.5546875" style="109" customWidth="1"/>
    <col min="1298" max="1298" width="11.6640625" style="109" customWidth="1"/>
    <col min="1299" max="1299" width="10.33203125" style="109" customWidth="1"/>
    <col min="1300" max="1300" width="11.77734375" style="109" customWidth="1"/>
    <col min="1301" max="1301" width="12.109375" style="109" customWidth="1"/>
    <col min="1302" max="1302" width="11" style="109" customWidth="1"/>
    <col min="1303" max="1303" width="12.109375" style="109" customWidth="1"/>
    <col min="1304" max="1304" width="10.5546875" style="109" customWidth="1"/>
    <col min="1305" max="1305" width="9.88671875" style="109" customWidth="1"/>
    <col min="1306" max="1306" width="10.77734375" style="109" customWidth="1"/>
    <col min="1307" max="1307" width="9.77734375" style="109" customWidth="1"/>
    <col min="1308" max="1308" width="11.21875" style="109" customWidth="1"/>
    <col min="1309" max="1309" width="10.33203125" style="109" customWidth="1"/>
    <col min="1310" max="1310" width="11.88671875" style="109" customWidth="1"/>
    <col min="1311" max="1311" width="8.77734375" style="109"/>
    <col min="1312" max="1312" width="13.88671875" style="109" customWidth="1"/>
    <col min="1313" max="1313" width="10.88671875" style="109" customWidth="1"/>
    <col min="1314" max="1314" width="11.44140625" style="109" customWidth="1"/>
    <col min="1315" max="1315" width="11.77734375" style="109" customWidth="1"/>
    <col min="1316" max="1316" width="11.109375" style="109" customWidth="1"/>
    <col min="1317" max="1317" width="10.88671875" style="109" customWidth="1"/>
    <col min="1318" max="1321" width="8.77734375" style="109"/>
    <col min="1322" max="1322" width="11.44140625" style="109" bestFit="1" customWidth="1"/>
    <col min="1323" max="1323" width="10.21875" style="109" customWidth="1"/>
    <col min="1324" max="1324" width="11.5546875" style="109" customWidth="1"/>
    <col min="1325" max="1325" width="12.109375" style="109" customWidth="1"/>
    <col min="1326" max="1326" width="13.21875" style="109" customWidth="1"/>
    <col min="1327" max="1327" width="14.109375" style="109" customWidth="1"/>
    <col min="1328" max="1328" width="11.77734375" style="109" customWidth="1"/>
    <col min="1329" max="1329" width="9.6640625" style="109" customWidth="1"/>
    <col min="1330" max="1333" width="8.77734375" style="109"/>
    <col min="1334" max="1334" width="28.77734375" style="109" customWidth="1"/>
    <col min="1335" max="1335" width="11.77734375" style="109" customWidth="1"/>
    <col min="1336" max="1336" width="10" style="109" customWidth="1"/>
    <col min="1337" max="1337" width="10.44140625" style="109" customWidth="1"/>
    <col min="1338" max="1339" width="8.77734375" style="109"/>
    <col min="1340" max="1340" width="9.33203125" style="109" customWidth="1"/>
    <col min="1341" max="1341" width="18.44140625" style="109" customWidth="1"/>
    <col min="1342" max="1342" width="11" style="109" customWidth="1"/>
    <col min="1343" max="1343" width="9.5546875" style="109" customWidth="1"/>
    <col min="1344" max="1344" width="10.6640625" style="109" customWidth="1"/>
    <col min="1345" max="1345" width="9.88671875" style="109" customWidth="1"/>
    <col min="1346" max="1346" width="11.44140625" style="109" customWidth="1"/>
    <col min="1347" max="1347" width="9.88671875" style="109" customWidth="1"/>
    <col min="1348" max="1348" width="10" style="109" customWidth="1"/>
    <col min="1349" max="1349" width="6.77734375" style="109" customWidth="1"/>
    <col min="1350" max="1350" width="12.5546875" style="109" customWidth="1"/>
    <col min="1351" max="1351" width="9.5546875" style="109" customWidth="1"/>
    <col min="1352" max="1352" width="10.33203125" style="109" customWidth="1"/>
    <col min="1353" max="1353" width="7.77734375" style="109" customWidth="1"/>
    <col min="1354" max="1354" width="7.21875" style="109" customWidth="1"/>
    <col min="1355" max="1355" width="17.6640625" style="109" customWidth="1"/>
    <col min="1356" max="1356" width="8.77734375" style="109" customWidth="1"/>
    <col min="1357" max="1357" width="13.109375" style="109" bestFit="1" customWidth="1"/>
    <col min="1358" max="1358" width="13.77734375" style="109" customWidth="1"/>
    <col min="1359" max="1360" width="8.77734375" style="109"/>
    <col min="1361" max="1361" width="9" style="109" bestFit="1" customWidth="1"/>
    <col min="1362" max="1370" width="8.77734375" style="109"/>
    <col min="1371" max="1371" width="13.109375" style="109" customWidth="1"/>
    <col min="1372" max="1372" width="8.77734375" style="109"/>
    <col min="1373" max="1373" width="9.88671875" style="109" customWidth="1"/>
    <col min="1374" max="1377" width="8.77734375" style="109"/>
    <col min="1378" max="1378" width="8.5546875" style="109" customWidth="1"/>
    <col min="1379" max="1379" width="30.33203125" style="109" customWidth="1"/>
    <col min="1380" max="1380" width="9" style="109" bestFit="1" customWidth="1"/>
    <col min="1381" max="1381" width="8.77734375" style="109"/>
    <col min="1382" max="1382" width="5.88671875" style="109" customWidth="1"/>
    <col min="1383" max="1383" width="6.88671875" style="109" customWidth="1"/>
    <col min="1384" max="1384" width="23.88671875" style="109" customWidth="1"/>
    <col min="1385" max="1391" width="8.77734375" style="109"/>
    <col min="1392" max="1392" width="9" style="109" bestFit="1" customWidth="1"/>
    <col min="1393" max="1394" width="8.77734375" style="109"/>
    <col min="1395" max="1395" width="32.88671875" style="109" customWidth="1"/>
    <col min="1396" max="1396" width="16.6640625" style="109" customWidth="1"/>
    <col min="1397" max="1397" width="10.21875" style="109" customWidth="1"/>
    <col min="1398" max="1398" width="12.44140625" style="109" customWidth="1"/>
    <col min="1399" max="1399" width="10" style="109" bestFit="1" customWidth="1"/>
    <col min="1400" max="1400" width="8.77734375" style="109"/>
    <col min="1401" max="1401" width="9" style="109" bestFit="1" customWidth="1"/>
    <col min="1402" max="1403" width="8.77734375" style="109"/>
    <col min="1404" max="1404" width="11.6640625" style="109" customWidth="1"/>
    <col min="1405" max="1405" width="8.77734375" style="109"/>
    <col min="1406" max="1406" width="28.77734375" style="109" customWidth="1"/>
    <col min="1407" max="1407" width="12.33203125" style="109" customWidth="1"/>
    <col min="1408" max="1408" width="11.21875" style="109" customWidth="1"/>
    <col min="1409" max="1536" width="8.77734375" style="109"/>
    <col min="1537" max="1537" width="5.6640625" style="109" customWidth="1"/>
    <col min="1538" max="1538" width="26.5546875" style="109" customWidth="1"/>
    <col min="1539" max="1539" width="11.44140625" style="109" customWidth="1"/>
    <col min="1540" max="1540" width="7.44140625" style="109" customWidth="1"/>
    <col min="1541" max="1541" width="8.5546875" style="109" customWidth="1"/>
    <col min="1542" max="1542" width="12.33203125" style="109" customWidth="1"/>
    <col min="1543" max="1543" width="11.77734375" style="109" customWidth="1"/>
    <col min="1544" max="1544" width="8.21875" style="109" customWidth="1"/>
    <col min="1545" max="1545" width="12" style="109" customWidth="1"/>
    <col min="1546" max="1546" width="8.77734375" style="109" customWidth="1"/>
    <col min="1547" max="1547" width="11.109375" style="109" customWidth="1"/>
    <col min="1548" max="1548" width="12.88671875" style="109" customWidth="1"/>
    <col min="1549" max="1549" width="12.5546875" style="109" customWidth="1"/>
    <col min="1550" max="1550" width="9.6640625" style="109" customWidth="1"/>
    <col min="1551" max="1551" width="9.88671875" style="109" customWidth="1"/>
    <col min="1552" max="1552" width="11.33203125" style="109" customWidth="1"/>
    <col min="1553" max="1553" width="11.5546875" style="109" customWidth="1"/>
    <col min="1554" max="1554" width="11.6640625" style="109" customWidth="1"/>
    <col min="1555" max="1555" width="10.33203125" style="109" customWidth="1"/>
    <col min="1556" max="1556" width="11.77734375" style="109" customWidth="1"/>
    <col min="1557" max="1557" width="12.109375" style="109" customWidth="1"/>
    <col min="1558" max="1558" width="11" style="109" customWidth="1"/>
    <col min="1559" max="1559" width="12.109375" style="109" customWidth="1"/>
    <col min="1560" max="1560" width="10.5546875" style="109" customWidth="1"/>
    <col min="1561" max="1561" width="9.88671875" style="109" customWidth="1"/>
    <col min="1562" max="1562" width="10.77734375" style="109" customWidth="1"/>
    <col min="1563" max="1563" width="9.77734375" style="109" customWidth="1"/>
    <col min="1564" max="1564" width="11.21875" style="109" customWidth="1"/>
    <col min="1565" max="1565" width="10.33203125" style="109" customWidth="1"/>
    <col min="1566" max="1566" width="11.88671875" style="109" customWidth="1"/>
    <col min="1567" max="1567" width="8.77734375" style="109"/>
    <col min="1568" max="1568" width="13.88671875" style="109" customWidth="1"/>
    <col min="1569" max="1569" width="10.88671875" style="109" customWidth="1"/>
    <col min="1570" max="1570" width="11.44140625" style="109" customWidth="1"/>
    <col min="1571" max="1571" width="11.77734375" style="109" customWidth="1"/>
    <col min="1572" max="1572" width="11.109375" style="109" customWidth="1"/>
    <col min="1573" max="1573" width="10.88671875" style="109" customWidth="1"/>
    <col min="1574" max="1577" width="8.77734375" style="109"/>
    <col min="1578" max="1578" width="11.44140625" style="109" bestFit="1" customWidth="1"/>
    <col min="1579" max="1579" width="10.21875" style="109" customWidth="1"/>
    <col min="1580" max="1580" width="11.5546875" style="109" customWidth="1"/>
    <col min="1581" max="1581" width="12.109375" style="109" customWidth="1"/>
    <col min="1582" max="1582" width="13.21875" style="109" customWidth="1"/>
    <col min="1583" max="1583" width="14.109375" style="109" customWidth="1"/>
    <col min="1584" max="1584" width="11.77734375" style="109" customWidth="1"/>
    <col min="1585" max="1585" width="9.6640625" style="109" customWidth="1"/>
    <col min="1586" max="1589" width="8.77734375" style="109"/>
    <col min="1590" max="1590" width="28.77734375" style="109" customWidth="1"/>
    <col min="1591" max="1591" width="11.77734375" style="109" customWidth="1"/>
    <col min="1592" max="1592" width="10" style="109" customWidth="1"/>
    <col min="1593" max="1593" width="10.44140625" style="109" customWidth="1"/>
    <col min="1594" max="1595" width="8.77734375" style="109"/>
    <col min="1596" max="1596" width="9.33203125" style="109" customWidth="1"/>
    <col min="1597" max="1597" width="18.44140625" style="109" customWidth="1"/>
    <col min="1598" max="1598" width="11" style="109" customWidth="1"/>
    <col min="1599" max="1599" width="9.5546875" style="109" customWidth="1"/>
    <col min="1600" max="1600" width="10.6640625" style="109" customWidth="1"/>
    <col min="1601" max="1601" width="9.88671875" style="109" customWidth="1"/>
    <col min="1602" max="1602" width="11.44140625" style="109" customWidth="1"/>
    <col min="1603" max="1603" width="9.88671875" style="109" customWidth="1"/>
    <col min="1604" max="1604" width="10" style="109" customWidth="1"/>
    <col min="1605" max="1605" width="6.77734375" style="109" customWidth="1"/>
    <col min="1606" max="1606" width="12.5546875" style="109" customWidth="1"/>
    <col min="1607" max="1607" width="9.5546875" style="109" customWidth="1"/>
    <col min="1608" max="1608" width="10.33203125" style="109" customWidth="1"/>
    <col min="1609" max="1609" width="7.77734375" style="109" customWidth="1"/>
    <col min="1610" max="1610" width="7.21875" style="109" customWidth="1"/>
    <col min="1611" max="1611" width="17.6640625" style="109" customWidth="1"/>
    <col min="1612" max="1612" width="8.77734375" style="109" customWidth="1"/>
    <col min="1613" max="1613" width="13.109375" style="109" bestFit="1" customWidth="1"/>
    <col min="1614" max="1614" width="13.77734375" style="109" customWidth="1"/>
    <col min="1615" max="1616" width="8.77734375" style="109"/>
    <col min="1617" max="1617" width="9" style="109" bestFit="1" customWidth="1"/>
    <col min="1618" max="1626" width="8.77734375" style="109"/>
    <col min="1627" max="1627" width="13.109375" style="109" customWidth="1"/>
    <col min="1628" max="1628" width="8.77734375" style="109"/>
    <col min="1629" max="1629" width="9.88671875" style="109" customWidth="1"/>
    <col min="1630" max="1633" width="8.77734375" style="109"/>
    <col min="1634" max="1634" width="8.5546875" style="109" customWidth="1"/>
    <col min="1635" max="1635" width="30.33203125" style="109" customWidth="1"/>
    <col min="1636" max="1636" width="9" style="109" bestFit="1" customWidth="1"/>
    <col min="1637" max="1637" width="8.77734375" style="109"/>
    <col min="1638" max="1638" width="5.88671875" style="109" customWidth="1"/>
    <col min="1639" max="1639" width="6.88671875" style="109" customWidth="1"/>
    <col min="1640" max="1640" width="23.88671875" style="109" customWidth="1"/>
    <col min="1641" max="1647" width="8.77734375" style="109"/>
    <col min="1648" max="1648" width="9" style="109" bestFit="1" customWidth="1"/>
    <col min="1649" max="1650" width="8.77734375" style="109"/>
    <col min="1651" max="1651" width="32.88671875" style="109" customWidth="1"/>
    <col min="1652" max="1652" width="16.6640625" style="109" customWidth="1"/>
    <col min="1653" max="1653" width="10.21875" style="109" customWidth="1"/>
    <col min="1654" max="1654" width="12.44140625" style="109" customWidth="1"/>
    <col min="1655" max="1655" width="10" style="109" bestFit="1" customWidth="1"/>
    <col min="1656" max="1656" width="8.77734375" style="109"/>
    <col min="1657" max="1657" width="9" style="109" bestFit="1" customWidth="1"/>
    <col min="1658" max="1659" width="8.77734375" style="109"/>
    <col min="1660" max="1660" width="11.6640625" style="109" customWidth="1"/>
    <col min="1661" max="1661" width="8.77734375" style="109"/>
    <col min="1662" max="1662" width="28.77734375" style="109" customWidth="1"/>
    <col min="1663" max="1663" width="12.33203125" style="109" customWidth="1"/>
    <col min="1664" max="1664" width="11.21875" style="109" customWidth="1"/>
    <col min="1665" max="1792" width="8.77734375" style="109"/>
    <col min="1793" max="1793" width="5.6640625" style="109" customWidth="1"/>
    <col min="1794" max="1794" width="26.5546875" style="109" customWidth="1"/>
    <col min="1795" max="1795" width="11.44140625" style="109" customWidth="1"/>
    <col min="1796" max="1796" width="7.44140625" style="109" customWidth="1"/>
    <col min="1797" max="1797" width="8.5546875" style="109" customWidth="1"/>
    <col min="1798" max="1798" width="12.33203125" style="109" customWidth="1"/>
    <col min="1799" max="1799" width="11.77734375" style="109" customWidth="1"/>
    <col min="1800" max="1800" width="8.21875" style="109" customWidth="1"/>
    <col min="1801" max="1801" width="12" style="109" customWidth="1"/>
    <col min="1802" max="1802" width="8.77734375" style="109" customWidth="1"/>
    <col min="1803" max="1803" width="11.109375" style="109" customWidth="1"/>
    <col min="1804" max="1804" width="12.88671875" style="109" customWidth="1"/>
    <col min="1805" max="1805" width="12.5546875" style="109" customWidth="1"/>
    <col min="1806" max="1806" width="9.6640625" style="109" customWidth="1"/>
    <col min="1807" max="1807" width="9.88671875" style="109" customWidth="1"/>
    <col min="1808" max="1808" width="11.33203125" style="109" customWidth="1"/>
    <col min="1809" max="1809" width="11.5546875" style="109" customWidth="1"/>
    <col min="1810" max="1810" width="11.6640625" style="109" customWidth="1"/>
    <col min="1811" max="1811" width="10.33203125" style="109" customWidth="1"/>
    <col min="1812" max="1812" width="11.77734375" style="109" customWidth="1"/>
    <col min="1813" max="1813" width="12.109375" style="109" customWidth="1"/>
    <col min="1814" max="1814" width="11" style="109" customWidth="1"/>
    <col min="1815" max="1815" width="12.109375" style="109" customWidth="1"/>
    <col min="1816" max="1816" width="10.5546875" style="109" customWidth="1"/>
    <col min="1817" max="1817" width="9.88671875" style="109" customWidth="1"/>
    <col min="1818" max="1818" width="10.77734375" style="109" customWidth="1"/>
    <col min="1819" max="1819" width="9.77734375" style="109" customWidth="1"/>
    <col min="1820" max="1820" width="11.21875" style="109" customWidth="1"/>
    <col min="1821" max="1821" width="10.33203125" style="109" customWidth="1"/>
    <col min="1822" max="1822" width="11.88671875" style="109" customWidth="1"/>
    <col min="1823" max="1823" width="8.77734375" style="109"/>
    <col min="1824" max="1824" width="13.88671875" style="109" customWidth="1"/>
    <col min="1825" max="1825" width="10.88671875" style="109" customWidth="1"/>
    <col min="1826" max="1826" width="11.44140625" style="109" customWidth="1"/>
    <col min="1827" max="1827" width="11.77734375" style="109" customWidth="1"/>
    <col min="1828" max="1828" width="11.109375" style="109" customWidth="1"/>
    <col min="1829" max="1829" width="10.88671875" style="109" customWidth="1"/>
    <col min="1830" max="1833" width="8.77734375" style="109"/>
    <col min="1834" max="1834" width="11.44140625" style="109" bestFit="1" customWidth="1"/>
    <col min="1835" max="1835" width="10.21875" style="109" customWidth="1"/>
    <col min="1836" max="1836" width="11.5546875" style="109" customWidth="1"/>
    <col min="1837" max="1837" width="12.109375" style="109" customWidth="1"/>
    <col min="1838" max="1838" width="13.21875" style="109" customWidth="1"/>
    <col min="1839" max="1839" width="14.109375" style="109" customWidth="1"/>
    <col min="1840" max="1840" width="11.77734375" style="109" customWidth="1"/>
    <col min="1841" max="1841" width="9.6640625" style="109" customWidth="1"/>
    <col min="1842" max="1845" width="8.77734375" style="109"/>
    <col min="1846" max="1846" width="28.77734375" style="109" customWidth="1"/>
    <col min="1847" max="1847" width="11.77734375" style="109" customWidth="1"/>
    <col min="1848" max="1848" width="10" style="109" customWidth="1"/>
    <col min="1849" max="1849" width="10.44140625" style="109" customWidth="1"/>
    <col min="1850" max="1851" width="8.77734375" style="109"/>
    <col min="1852" max="1852" width="9.33203125" style="109" customWidth="1"/>
    <col min="1853" max="1853" width="18.44140625" style="109" customWidth="1"/>
    <col min="1854" max="1854" width="11" style="109" customWidth="1"/>
    <col min="1855" max="1855" width="9.5546875" style="109" customWidth="1"/>
    <col min="1856" max="1856" width="10.6640625" style="109" customWidth="1"/>
    <col min="1857" max="1857" width="9.88671875" style="109" customWidth="1"/>
    <col min="1858" max="1858" width="11.44140625" style="109" customWidth="1"/>
    <col min="1859" max="1859" width="9.88671875" style="109" customWidth="1"/>
    <col min="1860" max="1860" width="10" style="109" customWidth="1"/>
    <col min="1861" max="1861" width="6.77734375" style="109" customWidth="1"/>
    <col min="1862" max="1862" width="12.5546875" style="109" customWidth="1"/>
    <col min="1863" max="1863" width="9.5546875" style="109" customWidth="1"/>
    <col min="1864" max="1864" width="10.33203125" style="109" customWidth="1"/>
    <col min="1865" max="1865" width="7.77734375" style="109" customWidth="1"/>
    <col min="1866" max="1866" width="7.21875" style="109" customWidth="1"/>
    <col min="1867" max="1867" width="17.6640625" style="109" customWidth="1"/>
    <col min="1868" max="1868" width="8.77734375" style="109" customWidth="1"/>
    <col min="1869" max="1869" width="13.109375" style="109" bestFit="1" customWidth="1"/>
    <col min="1870" max="1870" width="13.77734375" style="109" customWidth="1"/>
    <col min="1871" max="1872" width="8.77734375" style="109"/>
    <col min="1873" max="1873" width="9" style="109" bestFit="1" customWidth="1"/>
    <col min="1874" max="1882" width="8.77734375" style="109"/>
    <col min="1883" max="1883" width="13.109375" style="109" customWidth="1"/>
    <col min="1884" max="1884" width="8.77734375" style="109"/>
    <col min="1885" max="1885" width="9.88671875" style="109" customWidth="1"/>
    <col min="1886" max="1889" width="8.77734375" style="109"/>
    <col min="1890" max="1890" width="8.5546875" style="109" customWidth="1"/>
    <col min="1891" max="1891" width="30.33203125" style="109" customWidth="1"/>
    <col min="1892" max="1892" width="9" style="109" bestFit="1" customWidth="1"/>
    <col min="1893" max="1893" width="8.77734375" style="109"/>
    <col min="1894" max="1894" width="5.88671875" style="109" customWidth="1"/>
    <col min="1895" max="1895" width="6.88671875" style="109" customWidth="1"/>
    <col min="1896" max="1896" width="23.88671875" style="109" customWidth="1"/>
    <col min="1897" max="1903" width="8.77734375" style="109"/>
    <col min="1904" max="1904" width="9" style="109" bestFit="1" customWidth="1"/>
    <col min="1905" max="1906" width="8.77734375" style="109"/>
    <col min="1907" max="1907" width="32.88671875" style="109" customWidth="1"/>
    <col min="1908" max="1908" width="16.6640625" style="109" customWidth="1"/>
    <col min="1909" max="1909" width="10.21875" style="109" customWidth="1"/>
    <col min="1910" max="1910" width="12.44140625" style="109" customWidth="1"/>
    <col min="1911" max="1911" width="10" style="109" bestFit="1" customWidth="1"/>
    <col min="1912" max="1912" width="8.77734375" style="109"/>
    <col min="1913" max="1913" width="9" style="109" bestFit="1" customWidth="1"/>
    <col min="1914" max="1915" width="8.77734375" style="109"/>
    <col min="1916" max="1916" width="11.6640625" style="109" customWidth="1"/>
    <col min="1917" max="1917" width="8.77734375" style="109"/>
    <col min="1918" max="1918" width="28.77734375" style="109" customWidth="1"/>
    <col min="1919" max="1919" width="12.33203125" style="109" customWidth="1"/>
    <col min="1920" max="1920" width="11.21875" style="109" customWidth="1"/>
    <col min="1921" max="2048" width="8.77734375" style="109"/>
    <col min="2049" max="2049" width="5.6640625" style="109" customWidth="1"/>
    <col min="2050" max="2050" width="26.5546875" style="109" customWidth="1"/>
    <col min="2051" max="2051" width="11.44140625" style="109" customWidth="1"/>
    <col min="2052" max="2052" width="7.44140625" style="109" customWidth="1"/>
    <col min="2053" max="2053" width="8.5546875" style="109" customWidth="1"/>
    <col min="2054" max="2054" width="12.33203125" style="109" customWidth="1"/>
    <col min="2055" max="2055" width="11.77734375" style="109" customWidth="1"/>
    <col min="2056" max="2056" width="8.21875" style="109" customWidth="1"/>
    <col min="2057" max="2057" width="12" style="109" customWidth="1"/>
    <col min="2058" max="2058" width="8.77734375" style="109" customWidth="1"/>
    <col min="2059" max="2059" width="11.109375" style="109" customWidth="1"/>
    <col min="2060" max="2060" width="12.88671875" style="109" customWidth="1"/>
    <col min="2061" max="2061" width="12.5546875" style="109" customWidth="1"/>
    <col min="2062" max="2062" width="9.6640625" style="109" customWidth="1"/>
    <col min="2063" max="2063" width="9.88671875" style="109" customWidth="1"/>
    <col min="2064" max="2064" width="11.33203125" style="109" customWidth="1"/>
    <col min="2065" max="2065" width="11.5546875" style="109" customWidth="1"/>
    <col min="2066" max="2066" width="11.6640625" style="109" customWidth="1"/>
    <col min="2067" max="2067" width="10.33203125" style="109" customWidth="1"/>
    <col min="2068" max="2068" width="11.77734375" style="109" customWidth="1"/>
    <col min="2069" max="2069" width="12.109375" style="109" customWidth="1"/>
    <col min="2070" max="2070" width="11" style="109" customWidth="1"/>
    <col min="2071" max="2071" width="12.109375" style="109" customWidth="1"/>
    <col min="2072" max="2072" width="10.5546875" style="109" customWidth="1"/>
    <col min="2073" max="2073" width="9.88671875" style="109" customWidth="1"/>
    <col min="2074" max="2074" width="10.77734375" style="109" customWidth="1"/>
    <col min="2075" max="2075" width="9.77734375" style="109" customWidth="1"/>
    <col min="2076" max="2076" width="11.21875" style="109" customWidth="1"/>
    <col min="2077" max="2077" width="10.33203125" style="109" customWidth="1"/>
    <col min="2078" max="2078" width="11.88671875" style="109" customWidth="1"/>
    <col min="2079" max="2079" width="8.77734375" style="109"/>
    <col min="2080" max="2080" width="13.88671875" style="109" customWidth="1"/>
    <col min="2081" max="2081" width="10.88671875" style="109" customWidth="1"/>
    <col min="2082" max="2082" width="11.44140625" style="109" customWidth="1"/>
    <col min="2083" max="2083" width="11.77734375" style="109" customWidth="1"/>
    <col min="2084" max="2084" width="11.109375" style="109" customWidth="1"/>
    <col min="2085" max="2085" width="10.88671875" style="109" customWidth="1"/>
    <col min="2086" max="2089" width="8.77734375" style="109"/>
    <col min="2090" max="2090" width="11.44140625" style="109" bestFit="1" customWidth="1"/>
    <col min="2091" max="2091" width="10.21875" style="109" customWidth="1"/>
    <col min="2092" max="2092" width="11.5546875" style="109" customWidth="1"/>
    <col min="2093" max="2093" width="12.109375" style="109" customWidth="1"/>
    <col min="2094" max="2094" width="13.21875" style="109" customWidth="1"/>
    <col min="2095" max="2095" width="14.109375" style="109" customWidth="1"/>
    <col min="2096" max="2096" width="11.77734375" style="109" customWidth="1"/>
    <col min="2097" max="2097" width="9.6640625" style="109" customWidth="1"/>
    <col min="2098" max="2101" width="8.77734375" style="109"/>
    <col min="2102" max="2102" width="28.77734375" style="109" customWidth="1"/>
    <col min="2103" max="2103" width="11.77734375" style="109" customWidth="1"/>
    <col min="2104" max="2104" width="10" style="109" customWidth="1"/>
    <col min="2105" max="2105" width="10.44140625" style="109" customWidth="1"/>
    <col min="2106" max="2107" width="8.77734375" style="109"/>
    <col min="2108" max="2108" width="9.33203125" style="109" customWidth="1"/>
    <col min="2109" max="2109" width="18.44140625" style="109" customWidth="1"/>
    <col min="2110" max="2110" width="11" style="109" customWidth="1"/>
    <col min="2111" max="2111" width="9.5546875" style="109" customWidth="1"/>
    <col min="2112" max="2112" width="10.6640625" style="109" customWidth="1"/>
    <col min="2113" max="2113" width="9.88671875" style="109" customWidth="1"/>
    <col min="2114" max="2114" width="11.44140625" style="109" customWidth="1"/>
    <col min="2115" max="2115" width="9.88671875" style="109" customWidth="1"/>
    <col min="2116" max="2116" width="10" style="109" customWidth="1"/>
    <col min="2117" max="2117" width="6.77734375" style="109" customWidth="1"/>
    <col min="2118" max="2118" width="12.5546875" style="109" customWidth="1"/>
    <col min="2119" max="2119" width="9.5546875" style="109" customWidth="1"/>
    <col min="2120" max="2120" width="10.33203125" style="109" customWidth="1"/>
    <col min="2121" max="2121" width="7.77734375" style="109" customWidth="1"/>
    <col min="2122" max="2122" width="7.21875" style="109" customWidth="1"/>
    <col min="2123" max="2123" width="17.6640625" style="109" customWidth="1"/>
    <col min="2124" max="2124" width="8.77734375" style="109" customWidth="1"/>
    <col min="2125" max="2125" width="13.109375" style="109" bestFit="1" customWidth="1"/>
    <col min="2126" max="2126" width="13.77734375" style="109" customWidth="1"/>
    <col min="2127" max="2128" width="8.77734375" style="109"/>
    <col min="2129" max="2129" width="9" style="109" bestFit="1" customWidth="1"/>
    <col min="2130" max="2138" width="8.77734375" style="109"/>
    <col min="2139" max="2139" width="13.109375" style="109" customWidth="1"/>
    <col min="2140" max="2140" width="8.77734375" style="109"/>
    <col min="2141" max="2141" width="9.88671875" style="109" customWidth="1"/>
    <col min="2142" max="2145" width="8.77734375" style="109"/>
    <col min="2146" max="2146" width="8.5546875" style="109" customWidth="1"/>
    <col min="2147" max="2147" width="30.33203125" style="109" customWidth="1"/>
    <col min="2148" max="2148" width="9" style="109" bestFit="1" customWidth="1"/>
    <col min="2149" max="2149" width="8.77734375" style="109"/>
    <col min="2150" max="2150" width="5.88671875" style="109" customWidth="1"/>
    <col min="2151" max="2151" width="6.88671875" style="109" customWidth="1"/>
    <col min="2152" max="2152" width="23.88671875" style="109" customWidth="1"/>
    <col min="2153" max="2159" width="8.77734375" style="109"/>
    <col min="2160" max="2160" width="9" style="109" bestFit="1" customWidth="1"/>
    <col min="2161" max="2162" width="8.77734375" style="109"/>
    <col min="2163" max="2163" width="32.88671875" style="109" customWidth="1"/>
    <col min="2164" max="2164" width="16.6640625" style="109" customWidth="1"/>
    <col min="2165" max="2165" width="10.21875" style="109" customWidth="1"/>
    <col min="2166" max="2166" width="12.44140625" style="109" customWidth="1"/>
    <col min="2167" max="2167" width="10" style="109" bestFit="1" customWidth="1"/>
    <col min="2168" max="2168" width="8.77734375" style="109"/>
    <col min="2169" max="2169" width="9" style="109" bestFit="1" customWidth="1"/>
    <col min="2170" max="2171" width="8.77734375" style="109"/>
    <col min="2172" max="2172" width="11.6640625" style="109" customWidth="1"/>
    <col min="2173" max="2173" width="8.77734375" style="109"/>
    <col min="2174" max="2174" width="28.77734375" style="109" customWidth="1"/>
    <col min="2175" max="2175" width="12.33203125" style="109" customWidth="1"/>
    <col min="2176" max="2176" width="11.21875" style="109" customWidth="1"/>
    <col min="2177" max="2304" width="8.77734375" style="109"/>
    <col min="2305" max="2305" width="5.6640625" style="109" customWidth="1"/>
    <col min="2306" max="2306" width="26.5546875" style="109" customWidth="1"/>
    <col min="2307" max="2307" width="11.44140625" style="109" customWidth="1"/>
    <col min="2308" max="2308" width="7.44140625" style="109" customWidth="1"/>
    <col min="2309" max="2309" width="8.5546875" style="109" customWidth="1"/>
    <col min="2310" max="2310" width="12.33203125" style="109" customWidth="1"/>
    <col min="2311" max="2311" width="11.77734375" style="109" customWidth="1"/>
    <col min="2312" max="2312" width="8.21875" style="109" customWidth="1"/>
    <col min="2313" max="2313" width="12" style="109" customWidth="1"/>
    <col min="2314" max="2314" width="8.77734375" style="109" customWidth="1"/>
    <col min="2315" max="2315" width="11.109375" style="109" customWidth="1"/>
    <col min="2316" max="2316" width="12.88671875" style="109" customWidth="1"/>
    <col min="2317" max="2317" width="12.5546875" style="109" customWidth="1"/>
    <col min="2318" max="2318" width="9.6640625" style="109" customWidth="1"/>
    <col min="2319" max="2319" width="9.88671875" style="109" customWidth="1"/>
    <col min="2320" max="2320" width="11.33203125" style="109" customWidth="1"/>
    <col min="2321" max="2321" width="11.5546875" style="109" customWidth="1"/>
    <col min="2322" max="2322" width="11.6640625" style="109" customWidth="1"/>
    <col min="2323" max="2323" width="10.33203125" style="109" customWidth="1"/>
    <col min="2324" max="2324" width="11.77734375" style="109" customWidth="1"/>
    <col min="2325" max="2325" width="12.109375" style="109" customWidth="1"/>
    <col min="2326" max="2326" width="11" style="109" customWidth="1"/>
    <col min="2327" max="2327" width="12.109375" style="109" customWidth="1"/>
    <col min="2328" max="2328" width="10.5546875" style="109" customWidth="1"/>
    <col min="2329" max="2329" width="9.88671875" style="109" customWidth="1"/>
    <col min="2330" max="2330" width="10.77734375" style="109" customWidth="1"/>
    <col min="2331" max="2331" width="9.77734375" style="109" customWidth="1"/>
    <col min="2332" max="2332" width="11.21875" style="109" customWidth="1"/>
    <col min="2333" max="2333" width="10.33203125" style="109" customWidth="1"/>
    <col min="2334" max="2334" width="11.88671875" style="109" customWidth="1"/>
    <col min="2335" max="2335" width="8.77734375" style="109"/>
    <col min="2336" max="2336" width="13.88671875" style="109" customWidth="1"/>
    <col min="2337" max="2337" width="10.88671875" style="109" customWidth="1"/>
    <col min="2338" max="2338" width="11.44140625" style="109" customWidth="1"/>
    <col min="2339" max="2339" width="11.77734375" style="109" customWidth="1"/>
    <col min="2340" max="2340" width="11.109375" style="109" customWidth="1"/>
    <col min="2341" max="2341" width="10.88671875" style="109" customWidth="1"/>
    <col min="2342" max="2345" width="8.77734375" style="109"/>
    <col min="2346" max="2346" width="11.44140625" style="109" bestFit="1" customWidth="1"/>
    <col min="2347" max="2347" width="10.21875" style="109" customWidth="1"/>
    <col min="2348" max="2348" width="11.5546875" style="109" customWidth="1"/>
    <col min="2349" max="2349" width="12.109375" style="109" customWidth="1"/>
    <col min="2350" max="2350" width="13.21875" style="109" customWidth="1"/>
    <col min="2351" max="2351" width="14.109375" style="109" customWidth="1"/>
    <col min="2352" max="2352" width="11.77734375" style="109" customWidth="1"/>
    <col min="2353" max="2353" width="9.6640625" style="109" customWidth="1"/>
    <col min="2354" max="2357" width="8.77734375" style="109"/>
    <col min="2358" max="2358" width="28.77734375" style="109" customWidth="1"/>
    <col min="2359" max="2359" width="11.77734375" style="109" customWidth="1"/>
    <col min="2360" max="2360" width="10" style="109" customWidth="1"/>
    <col min="2361" max="2361" width="10.44140625" style="109" customWidth="1"/>
    <col min="2362" max="2363" width="8.77734375" style="109"/>
    <col min="2364" max="2364" width="9.33203125" style="109" customWidth="1"/>
    <col min="2365" max="2365" width="18.44140625" style="109" customWidth="1"/>
    <col min="2366" max="2366" width="11" style="109" customWidth="1"/>
    <col min="2367" max="2367" width="9.5546875" style="109" customWidth="1"/>
    <col min="2368" max="2368" width="10.6640625" style="109" customWidth="1"/>
    <col min="2369" max="2369" width="9.88671875" style="109" customWidth="1"/>
    <col min="2370" max="2370" width="11.44140625" style="109" customWidth="1"/>
    <col min="2371" max="2371" width="9.88671875" style="109" customWidth="1"/>
    <col min="2372" max="2372" width="10" style="109" customWidth="1"/>
    <col min="2373" max="2373" width="6.77734375" style="109" customWidth="1"/>
    <col min="2374" max="2374" width="12.5546875" style="109" customWidth="1"/>
    <col min="2375" max="2375" width="9.5546875" style="109" customWidth="1"/>
    <col min="2376" max="2376" width="10.33203125" style="109" customWidth="1"/>
    <col min="2377" max="2377" width="7.77734375" style="109" customWidth="1"/>
    <col min="2378" max="2378" width="7.21875" style="109" customWidth="1"/>
    <col min="2379" max="2379" width="17.6640625" style="109" customWidth="1"/>
    <col min="2380" max="2380" width="8.77734375" style="109" customWidth="1"/>
    <col min="2381" max="2381" width="13.109375" style="109" bestFit="1" customWidth="1"/>
    <col min="2382" max="2382" width="13.77734375" style="109" customWidth="1"/>
    <col min="2383" max="2384" width="8.77734375" style="109"/>
    <col min="2385" max="2385" width="9" style="109" bestFit="1" customWidth="1"/>
    <col min="2386" max="2394" width="8.77734375" style="109"/>
    <col min="2395" max="2395" width="13.109375" style="109" customWidth="1"/>
    <col min="2396" max="2396" width="8.77734375" style="109"/>
    <col min="2397" max="2397" width="9.88671875" style="109" customWidth="1"/>
    <col min="2398" max="2401" width="8.77734375" style="109"/>
    <col min="2402" max="2402" width="8.5546875" style="109" customWidth="1"/>
    <col min="2403" max="2403" width="30.33203125" style="109" customWidth="1"/>
    <col min="2404" max="2404" width="9" style="109" bestFit="1" customWidth="1"/>
    <col min="2405" max="2405" width="8.77734375" style="109"/>
    <col min="2406" max="2406" width="5.88671875" style="109" customWidth="1"/>
    <col min="2407" max="2407" width="6.88671875" style="109" customWidth="1"/>
    <col min="2408" max="2408" width="23.88671875" style="109" customWidth="1"/>
    <col min="2409" max="2415" width="8.77734375" style="109"/>
    <col min="2416" max="2416" width="9" style="109" bestFit="1" customWidth="1"/>
    <col min="2417" max="2418" width="8.77734375" style="109"/>
    <col min="2419" max="2419" width="32.88671875" style="109" customWidth="1"/>
    <col min="2420" max="2420" width="16.6640625" style="109" customWidth="1"/>
    <col min="2421" max="2421" width="10.21875" style="109" customWidth="1"/>
    <col min="2422" max="2422" width="12.44140625" style="109" customWidth="1"/>
    <col min="2423" max="2423" width="10" style="109" bestFit="1" customWidth="1"/>
    <col min="2424" max="2424" width="8.77734375" style="109"/>
    <col min="2425" max="2425" width="9" style="109" bestFit="1" customWidth="1"/>
    <col min="2426" max="2427" width="8.77734375" style="109"/>
    <col min="2428" max="2428" width="11.6640625" style="109" customWidth="1"/>
    <col min="2429" max="2429" width="8.77734375" style="109"/>
    <col min="2430" max="2430" width="28.77734375" style="109" customWidth="1"/>
    <col min="2431" max="2431" width="12.33203125" style="109" customWidth="1"/>
    <col min="2432" max="2432" width="11.21875" style="109" customWidth="1"/>
    <col min="2433" max="2560" width="8.77734375" style="109"/>
    <col min="2561" max="2561" width="5.6640625" style="109" customWidth="1"/>
    <col min="2562" max="2562" width="26.5546875" style="109" customWidth="1"/>
    <col min="2563" max="2563" width="11.44140625" style="109" customWidth="1"/>
    <col min="2564" max="2564" width="7.44140625" style="109" customWidth="1"/>
    <col min="2565" max="2565" width="8.5546875" style="109" customWidth="1"/>
    <col min="2566" max="2566" width="12.33203125" style="109" customWidth="1"/>
    <col min="2567" max="2567" width="11.77734375" style="109" customWidth="1"/>
    <col min="2568" max="2568" width="8.21875" style="109" customWidth="1"/>
    <col min="2569" max="2569" width="12" style="109" customWidth="1"/>
    <col min="2570" max="2570" width="8.77734375" style="109" customWidth="1"/>
    <col min="2571" max="2571" width="11.109375" style="109" customWidth="1"/>
    <col min="2572" max="2572" width="12.88671875" style="109" customWidth="1"/>
    <col min="2573" max="2573" width="12.5546875" style="109" customWidth="1"/>
    <col min="2574" max="2574" width="9.6640625" style="109" customWidth="1"/>
    <col min="2575" max="2575" width="9.88671875" style="109" customWidth="1"/>
    <col min="2576" max="2576" width="11.33203125" style="109" customWidth="1"/>
    <col min="2577" max="2577" width="11.5546875" style="109" customWidth="1"/>
    <col min="2578" max="2578" width="11.6640625" style="109" customWidth="1"/>
    <col min="2579" max="2579" width="10.33203125" style="109" customWidth="1"/>
    <col min="2580" max="2580" width="11.77734375" style="109" customWidth="1"/>
    <col min="2581" max="2581" width="12.109375" style="109" customWidth="1"/>
    <col min="2582" max="2582" width="11" style="109" customWidth="1"/>
    <col min="2583" max="2583" width="12.109375" style="109" customWidth="1"/>
    <col min="2584" max="2584" width="10.5546875" style="109" customWidth="1"/>
    <col min="2585" max="2585" width="9.88671875" style="109" customWidth="1"/>
    <col min="2586" max="2586" width="10.77734375" style="109" customWidth="1"/>
    <col min="2587" max="2587" width="9.77734375" style="109" customWidth="1"/>
    <col min="2588" max="2588" width="11.21875" style="109" customWidth="1"/>
    <col min="2589" max="2589" width="10.33203125" style="109" customWidth="1"/>
    <col min="2590" max="2590" width="11.88671875" style="109" customWidth="1"/>
    <col min="2591" max="2591" width="8.77734375" style="109"/>
    <col min="2592" max="2592" width="13.88671875" style="109" customWidth="1"/>
    <col min="2593" max="2593" width="10.88671875" style="109" customWidth="1"/>
    <col min="2594" max="2594" width="11.44140625" style="109" customWidth="1"/>
    <col min="2595" max="2595" width="11.77734375" style="109" customWidth="1"/>
    <col min="2596" max="2596" width="11.109375" style="109" customWidth="1"/>
    <col min="2597" max="2597" width="10.88671875" style="109" customWidth="1"/>
    <col min="2598" max="2601" width="8.77734375" style="109"/>
    <col min="2602" max="2602" width="11.44140625" style="109" bestFit="1" customWidth="1"/>
    <col min="2603" max="2603" width="10.21875" style="109" customWidth="1"/>
    <col min="2604" max="2604" width="11.5546875" style="109" customWidth="1"/>
    <col min="2605" max="2605" width="12.109375" style="109" customWidth="1"/>
    <col min="2606" max="2606" width="13.21875" style="109" customWidth="1"/>
    <col min="2607" max="2607" width="14.109375" style="109" customWidth="1"/>
    <col min="2608" max="2608" width="11.77734375" style="109" customWidth="1"/>
    <col min="2609" max="2609" width="9.6640625" style="109" customWidth="1"/>
    <col min="2610" max="2613" width="8.77734375" style="109"/>
    <col min="2614" max="2614" width="28.77734375" style="109" customWidth="1"/>
    <col min="2615" max="2615" width="11.77734375" style="109" customWidth="1"/>
    <col min="2616" max="2616" width="10" style="109" customWidth="1"/>
    <col min="2617" max="2617" width="10.44140625" style="109" customWidth="1"/>
    <col min="2618" max="2619" width="8.77734375" style="109"/>
    <col min="2620" max="2620" width="9.33203125" style="109" customWidth="1"/>
    <col min="2621" max="2621" width="18.44140625" style="109" customWidth="1"/>
    <col min="2622" max="2622" width="11" style="109" customWidth="1"/>
    <col min="2623" max="2623" width="9.5546875" style="109" customWidth="1"/>
    <col min="2624" max="2624" width="10.6640625" style="109" customWidth="1"/>
    <col min="2625" max="2625" width="9.88671875" style="109" customWidth="1"/>
    <col min="2626" max="2626" width="11.44140625" style="109" customWidth="1"/>
    <col min="2627" max="2627" width="9.88671875" style="109" customWidth="1"/>
    <col min="2628" max="2628" width="10" style="109" customWidth="1"/>
    <col min="2629" max="2629" width="6.77734375" style="109" customWidth="1"/>
    <col min="2630" max="2630" width="12.5546875" style="109" customWidth="1"/>
    <col min="2631" max="2631" width="9.5546875" style="109" customWidth="1"/>
    <col min="2632" max="2632" width="10.33203125" style="109" customWidth="1"/>
    <col min="2633" max="2633" width="7.77734375" style="109" customWidth="1"/>
    <col min="2634" max="2634" width="7.21875" style="109" customWidth="1"/>
    <col min="2635" max="2635" width="17.6640625" style="109" customWidth="1"/>
    <col min="2636" max="2636" width="8.77734375" style="109" customWidth="1"/>
    <col min="2637" max="2637" width="13.109375" style="109" bestFit="1" customWidth="1"/>
    <col min="2638" max="2638" width="13.77734375" style="109" customWidth="1"/>
    <col min="2639" max="2640" width="8.77734375" style="109"/>
    <col min="2641" max="2641" width="9" style="109" bestFit="1" customWidth="1"/>
    <col min="2642" max="2650" width="8.77734375" style="109"/>
    <col min="2651" max="2651" width="13.109375" style="109" customWidth="1"/>
    <col min="2652" max="2652" width="8.77734375" style="109"/>
    <col min="2653" max="2653" width="9.88671875" style="109" customWidth="1"/>
    <col min="2654" max="2657" width="8.77734375" style="109"/>
    <col min="2658" max="2658" width="8.5546875" style="109" customWidth="1"/>
    <col min="2659" max="2659" width="30.33203125" style="109" customWidth="1"/>
    <col min="2660" max="2660" width="9" style="109" bestFit="1" customWidth="1"/>
    <col min="2661" max="2661" width="8.77734375" style="109"/>
    <col min="2662" max="2662" width="5.88671875" style="109" customWidth="1"/>
    <col min="2663" max="2663" width="6.88671875" style="109" customWidth="1"/>
    <col min="2664" max="2664" width="23.88671875" style="109" customWidth="1"/>
    <col min="2665" max="2671" width="8.77734375" style="109"/>
    <col min="2672" max="2672" width="9" style="109" bestFit="1" customWidth="1"/>
    <col min="2673" max="2674" width="8.77734375" style="109"/>
    <col min="2675" max="2675" width="32.88671875" style="109" customWidth="1"/>
    <col min="2676" max="2676" width="16.6640625" style="109" customWidth="1"/>
    <col min="2677" max="2677" width="10.21875" style="109" customWidth="1"/>
    <col min="2678" max="2678" width="12.44140625" style="109" customWidth="1"/>
    <col min="2679" max="2679" width="10" style="109" bestFit="1" customWidth="1"/>
    <col min="2680" max="2680" width="8.77734375" style="109"/>
    <col min="2681" max="2681" width="9" style="109" bestFit="1" customWidth="1"/>
    <col min="2682" max="2683" width="8.77734375" style="109"/>
    <col min="2684" max="2684" width="11.6640625" style="109" customWidth="1"/>
    <col min="2685" max="2685" width="8.77734375" style="109"/>
    <col min="2686" max="2686" width="28.77734375" style="109" customWidth="1"/>
    <col min="2687" max="2687" width="12.33203125" style="109" customWidth="1"/>
    <col min="2688" max="2688" width="11.21875" style="109" customWidth="1"/>
    <col min="2689" max="2816" width="8.77734375" style="109"/>
    <col min="2817" max="2817" width="5.6640625" style="109" customWidth="1"/>
    <col min="2818" max="2818" width="26.5546875" style="109" customWidth="1"/>
    <col min="2819" max="2819" width="11.44140625" style="109" customWidth="1"/>
    <col min="2820" max="2820" width="7.44140625" style="109" customWidth="1"/>
    <col min="2821" max="2821" width="8.5546875" style="109" customWidth="1"/>
    <col min="2822" max="2822" width="12.33203125" style="109" customWidth="1"/>
    <col min="2823" max="2823" width="11.77734375" style="109" customWidth="1"/>
    <col min="2824" max="2824" width="8.21875" style="109" customWidth="1"/>
    <col min="2825" max="2825" width="12" style="109" customWidth="1"/>
    <col min="2826" max="2826" width="8.77734375" style="109" customWidth="1"/>
    <col min="2827" max="2827" width="11.109375" style="109" customWidth="1"/>
    <col min="2828" max="2828" width="12.88671875" style="109" customWidth="1"/>
    <col min="2829" max="2829" width="12.5546875" style="109" customWidth="1"/>
    <col min="2830" max="2830" width="9.6640625" style="109" customWidth="1"/>
    <col min="2831" max="2831" width="9.88671875" style="109" customWidth="1"/>
    <col min="2832" max="2832" width="11.33203125" style="109" customWidth="1"/>
    <col min="2833" max="2833" width="11.5546875" style="109" customWidth="1"/>
    <col min="2834" max="2834" width="11.6640625" style="109" customWidth="1"/>
    <col min="2835" max="2835" width="10.33203125" style="109" customWidth="1"/>
    <col min="2836" max="2836" width="11.77734375" style="109" customWidth="1"/>
    <col min="2837" max="2837" width="12.109375" style="109" customWidth="1"/>
    <col min="2838" max="2838" width="11" style="109" customWidth="1"/>
    <col min="2839" max="2839" width="12.109375" style="109" customWidth="1"/>
    <col min="2840" max="2840" width="10.5546875" style="109" customWidth="1"/>
    <col min="2841" max="2841" width="9.88671875" style="109" customWidth="1"/>
    <col min="2842" max="2842" width="10.77734375" style="109" customWidth="1"/>
    <col min="2843" max="2843" width="9.77734375" style="109" customWidth="1"/>
    <col min="2844" max="2844" width="11.21875" style="109" customWidth="1"/>
    <col min="2845" max="2845" width="10.33203125" style="109" customWidth="1"/>
    <col min="2846" max="2846" width="11.88671875" style="109" customWidth="1"/>
    <col min="2847" max="2847" width="8.77734375" style="109"/>
    <col min="2848" max="2848" width="13.88671875" style="109" customWidth="1"/>
    <col min="2849" max="2849" width="10.88671875" style="109" customWidth="1"/>
    <col min="2850" max="2850" width="11.44140625" style="109" customWidth="1"/>
    <col min="2851" max="2851" width="11.77734375" style="109" customWidth="1"/>
    <col min="2852" max="2852" width="11.109375" style="109" customWidth="1"/>
    <col min="2853" max="2853" width="10.88671875" style="109" customWidth="1"/>
    <col min="2854" max="2857" width="8.77734375" style="109"/>
    <col min="2858" max="2858" width="11.44140625" style="109" bestFit="1" customWidth="1"/>
    <col min="2859" max="2859" width="10.21875" style="109" customWidth="1"/>
    <col min="2860" max="2860" width="11.5546875" style="109" customWidth="1"/>
    <col min="2861" max="2861" width="12.109375" style="109" customWidth="1"/>
    <col min="2862" max="2862" width="13.21875" style="109" customWidth="1"/>
    <col min="2863" max="2863" width="14.109375" style="109" customWidth="1"/>
    <col min="2864" max="2864" width="11.77734375" style="109" customWidth="1"/>
    <col min="2865" max="2865" width="9.6640625" style="109" customWidth="1"/>
    <col min="2866" max="2869" width="8.77734375" style="109"/>
    <col min="2870" max="2870" width="28.77734375" style="109" customWidth="1"/>
    <col min="2871" max="2871" width="11.77734375" style="109" customWidth="1"/>
    <col min="2872" max="2872" width="10" style="109" customWidth="1"/>
    <col min="2873" max="2873" width="10.44140625" style="109" customWidth="1"/>
    <col min="2874" max="2875" width="8.77734375" style="109"/>
    <col min="2876" max="2876" width="9.33203125" style="109" customWidth="1"/>
    <col min="2877" max="2877" width="18.44140625" style="109" customWidth="1"/>
    <col min="2878" max="2878" width="11" style="109" customWidth="1"/>
    <col min="2879" max="2879" width="9.5546875" style="109" customWidth="1"/>
    <col min="2880" max="2880" width="10.6640625" style="109" customWidth="1"/>
    <col min="2881" max="2881" width="9.88671875" style="109" customWidth="1"/>
    <col min="2882" max="2882" width="11.44140625" style="109" customWidth="1"/>
    <col min="2883" max="2883" width="9.88671875" style="109" customWidth="1"/>
    <col min="2884" max="2884" width="10" style="109" customWidth="1"/>
    <col min="2885" max="2885" width="6.77734375" style="109" customWidth="1"/>
    <col min="2886" max="2886" width="12.5546875" style="109" customWidth="1"/>
    <col min="2887" max="2887" width="9.5546875" style="109" customWidth="1"/>
    <col min="2888" max="2888" width="10.33203125" style="109" customWidth="1"/>
    <col min="2889" max="2889" width="7.77734375" style="109" customWidth="1"/>
    <col min="2890" max="2890" width="7.21875" style="109" customWidth="1"/>
    <col min="2891" max="2891" width="17.6640625" style="109" customWidth="1"/>
    <col min="2892" max="2892" width="8.77734375" style="109" customWidth="1"/>
    <col min="2893" max="2893" width="13.109375" style="109" bestFit="1" customWidth="1"/>
    <col min="2894" max="2894" width="13.77734375" style="109" customWidth="1"/>
    <col min="2895" max="2896" width="8.77734375" style="109"/>
    <col min="2897" max="2897" width="9" style="109" bestFit="1" customWidth="1"/>
    <col min="2898" max="2906" width="8.77734375" style="109"/>
    <col min="2907" max="2907" width="13.109375" style="109" customWidth="1"/>
    <col min="2908" max="2908" width="8.77734375" style="109"/>
    <col min="2909" max="2909" width="9.88671875" style="109" customWidth="1"/>
    <col min="2910" max="2913" width="8.77734375" style="109"/>
    <col min="2914" max="2914" width="8.5546875" style="109" customWidth="1"/>
    <col min="2915" max="2915" width="30.33203125" style="109" customWidth="1"/>
    <col min="2916" max="2916" width="9" style="109" bestFit="1" customWidth="1"/>
    <col min="2917" max="2917" width="8.77734375" style="109"/>
    <col min="2918" max="2918" width="5.88671875" style="109" customWidth="1"/>
    <col min="2919" max="2919" width="6.88671875" style="109" customWidth="1"/>
    <col min="2920" max="2920" width="23.88671875" style="109" customWidth="1"/>
    <col min="2921" max="2927" width="8.77734375" style="109"/>
    <col min="2928" max="2928" width="9" style="109" bestFit="1" customWidth="1"/>
    <col min="2929" max="2930" width="8.77734375" style="109"/>
    <col min="2931" max="2931" width="32.88671875" style="109" customWidth="1"/>
    <col min="2932" max="2932" width="16.6640625" style="109" customWidth="1"/>
    <col min="2933" max="2933" width="10.21875" style="109" customWidth="1"/>
    <col min="2934" max="2934" width="12.44140625" style="109" customWidth="1"/>
    <col min="2935" max="2935" width="10" style="109" bestFit="1" customWidth="1"/>
    <col min="2936" max="2936" width="8.77734375" style="109"/>
    <col min="2937" max="2937" width="9" style="109" bestFit="1" customWidth="1"/>
    <col min="2938" max="2939" width="8.77734375" style="109"/>
    <col min="2940" max="2940" width="11.6640625" style="109" customWidth="1"/>
    <col min="2941" max="2941" width="8.77734375" style="109"/>
    <col min="2942" max="2942" width="28.77734375" style="109" customWidth="1"/>
    <col min="2943" max="2943" width="12.33203125" style="109" customWidth="1"/>
    <col min="2944" max="2944" width="11.21875" style="109" customWidth="1"/>
    <col min="2945" max="3072" width="8.77734375" style="109"/>
    <col min="3073" max="3073" width="5.6640625" style="109" customWidth="1"/>
    <col min="3074" max="3074" width="26.5546875" style="109" customWidth="1"/>
    <col min="3075" max="3075" width="11.44140625" style="109" customWidth="1"/>
    <col min="3076" max="3076" width="7.44140625" style="109" customWidth="1"/>
    <col min="3077" max="3077" width="8.5546875" style="109" customWidth="1"/>
    <col min="3078" max="3078" width="12.33203125" style="109" customWidth="1"/>
    <col min="3079" max="3079" width="11.77734375" style="109" customWidth="1"/>
    <col min="3080" max="3080" width="8.21875" style="109" customWidth="1"/>
    <col min="3081" max="3081" width="12" style="109" customWidth="1"/>
    <col min="3082" max="3082" width="8.77734375" style="109" customWidth="1"/>
    <col min="3083" max="3083" width="11.109375" style="109" customWidth="1"/>
    <col min="3084" max="3084" width="12.88671875" style="109" customWidth="1"/>
    <col min="3085" max="3085" width="12.5546875" style="109" customWidth="1"/>
    <col min="3086" max="3086" width="9.6640625" style="109" customWidth="1"/>
    <col min="3087" max="3087" width="9.88671875" style="109" customWidth="1"/>
    <col min="3088" max="3088" width="11.33203125" style="109" customWidth="1"/>
    <col min="3089" max="3089" width="11.5546875" style="109" customWidth="1"/>
    <col min="3090" max="3090" width="11.6640625" style="109" customWidth="1"/>
    <col min="3091" max="3091" width="10.33203125" style="109" customWidth="1"/>
    <col min="3092" max="3092" width="11.77734375" style="109" customWidth="1"/>
    <col min="3093" max="3093" width="12.109375" style="109" customWidth="1"/>
    <col min="3094" max="3094" width="11" style="109" customWidth="1"/>
    <col min="3095" max="3095" width="12.109375" style="109" customWidth="1"/>
    <col min="3096" max="3096" width="10.5546875" style="109" customWidth="1"/>
    <col min="3097" max="3097" width="9.88671875" style="109" customWidth="1"/>
    <col min="3098" max="3098" width="10.77734375" style="109" customWidth="1"/>
    <col min="3099" max="3099" width="9.77734375" style="109" customWidth="1"/>
    <col min="3100" max="3100" width="11.21875" style="109" customWidth="1"/>
    <col min="3101" max="3101" width="10.33203125" style="109" customWidth="1"/>
    <col min="3102" max="3102" width="11.88671875" style="109" customWidth="1"/>
    <col min="3103" max="3103" width="8.77734375" style="109"/>
    <col min="3104" max="3104" width="13.88671875" style="109" customWidth="1"/>
    <col min="3105" max="3105" width="10.88671875" style="109" customWidth="1"/>
    <col min="3106" max="3106" width="11.44140625" style="109" customWidth="1"/>
    <col min="3107" max="3107" width="11.77734375" style="109" customWidth="1"/>
    <col min="3108" max="3108" width="11.109375" style="109" customWidth="1"/>
    <col min="3109" max="3109" width="10.88671875" style="109" customWidth="1"/>
    <col min="3110" max="3113" width="8.77734375" style="109"/>
    <col min="3114" max="3114" width="11.44140625" style="109" bestFit="1" customWidth="1"/>
    <col min="3115" max="3115" width="10.21875" style="109" customWidth="1"/>
    <col min="3116" max="3116" width="11.5546875" style="109" customWidth="1"/>
    <col min="3117" max="3117" width="12.109375" style="109" customWidth="1"/>
    <col min="3118" max="3118" width="13.21875" style="109" customWidth="1"/>
    <col min="3119" max="3119" width="14.109375" style="109" customWidth="1"/>
    <col min="3120" max="3120" width="11.77734375" style="109" customWidth="1"/>
    <col min="3121" max="3121" width="9.6640625" style="109" customWidth="1"/>
    <col min="3122" max="3125" width="8.77734375" style="109"/>
    <col min="3126" max="3126" width="28.77734375" style="109" customWidth="1"/>
    <col min="3127" max="3127" width="11.77734375" style="109" customWidth="1"/>
    <col min="3128" max="3128" width="10" style="109" customWidth="1"/>
    <col min="3129" max="3129" width="10.44140625" style="109" customWidth="1"/>
    <col min="3130" max="3131" width="8.77734375" style="109"/>
    <col min="3132" max="3132" width="9.33203125" style="109" customWidth="1"/>
    <col min="3133" max="3133" width="18.44140625" style="109" customWidth="1"/>
    <col min="3134" max="3134" width="11" style="109" customWidth="1"/>
    <col min="3135" max="3135" width="9.5546875" style="109" customWidth="1"/>
    <col min="3136" max="3136" width="10.6640625" style="109" customWidth="1"/>
    <col min="3137" max="3137" width="9.88671875" style="109" customWidth="1"/>
    <col min="3138" max="3138" width="11.44140625" style="109" customWidth="1"/>
    <col min="3139" max="3139" width="9.88671875" style="109" customWidth="1"/>
    <col min="3140" max="3140" width="10" style="109" customWidth="1"/>
    <col min="3141" max="3141" width="6.77734375" style="109" customWidth="1"/>
    <col min="3142" max="3142" width="12.5546875" style="109" customWidth="1"/>
    <col min="3143" max="3143" width="9.5546875" style="109" customWidth="1"/>
    <col min="3144" max="3144" width="10.33203125" style="109" customWidth="1"/>
    <col min="3145" max="3145" width="7.77734375" style="109" customWidth="1"/>
    <col min="3146" max="3146" width="7.21875" style="109" customWidth="1"/>
    <col min="3147" max="3147" width="17.6640625" style="109" customWidth="1"/>
    <col min="3148" max="3148" width="8.77734375" style="109" customWidth="1"/>
    <col min="3149" max="3149" width="13.109375" style="109" bestFit="1" customWidth="1"/>
    <col min="3150" max="3150" width="13.77734375" style="109" customWidth="1"/>
    <col min="3151" max="3152" width="8.77734375" style="109"/>
    <col min="3153" max="3153" width="9" style="109" bestFit="1" customWidth="1"/>
    <col min="3154" max="3162" width="8.77734375" style="109"/>
    <col min="3163" max="3163" width="13.109375" style="109" customWidth="1"/>
    <col min="3164" max="3164" width="8.77734375" style="109"/>
    <col min="3165" max="3165" width="9.88671875" style="109" customWidth="1"/>
    <col min="3166" max="3169" width="8.77734375" style="109"/>
    <col min="3170" max="3170" width="8.5546875" style="109" customWidth="1"/>
    <col min="3171" max="3171" width="30.33203125" style="109" customWidth="1"/>
    <col min="3172" max="3172" width="9" style="109" bestFit="1" customWidth="1"/>
    <col min="3173" max="3173" width="8.77734375" style="109"/>
    <col min="3174" max="3174" width="5.88671875" style="109" customWidth="1"/>
    <col min="3175" max="3175" width="6.88671875" style="109" customWidth="1"/>
    <col min="3176" max="3176" width="23.88671875" style="109" customWidth="1"/>
    <col min="3177" max="3183" width="8.77734375" style="109"/>
    <col min="3184" max="3184" width="9" style="109" bestFit="1" customWidth="1"/>
    <col min="3185" max="3186" width="8.77734375" style="109"/>
    <col min="3187" max="3187" width="32.88671875" style="109" customWidth="1"/>
    <col min="3188" max="3188" width="16.6640625" style="109" customWidth="1"/>
    <col min="3189" max="3189" width="10.21875" style="109" customWidth="1"/>
    <col min="3190" max="3190" width="12.44140625" style="109" customWidth="1"/>
    <col min="3191" max="3191" width="10" style="109" bestFit="1" customWidth="1"/>
    <col min="3192" max="3192" width="8.77734375" style="109"/>
    <col min="3193" max="3193" width="9" style="109" bestFit="1" customWidth="1"/>
    <col min="3194" max="3195" width="8.77734375" style="109"/>
    <col min="3196" max="3196" width="11.6640625" style="109" customWidth="1"/>
    <col min="3197" max="3197" width="8.77734375" style="109"/>
    <col min="3198" max="3198" width="28.77734375" style="109" customWidth="1"/>
    <col min="3199" max="3199" width="12.33203125" style="109" customWidth="1"/>
    <col min="3200" max="3200" width="11.21875" style="109" customWidth="1"/>
    <col min="3201" max="3328" width="8.77734375" style="109"/>
    <col min="3329" max="3329" width="5.6640625" style="109" customWidth="1"/>
    <col min="3330" max="3330" width="26.5546875" style="109" customWidth="1"/>
    <col min="3331" max="3331" width="11.44140625" style="109" customWidth="1"/>
    <col min="3332" max="3332" width="7.44140625" style="109" customWidth="1"/>
    <col min="3333" max="3333" width="8.5546875" style="109" customWidth="1"/>
    <col min="3334" max="3334" width="12.33203125" style="109" customWidth="1"/>
    <col min="3335" max="3335" width="11.77734375" style="109" customWidth="1"/>
    <col min="3336" max="3336" width="8.21875" style="109" customWidth="1"/>
    <col min="3337" max="3337" width="12" style="109" customWidth="1"/>
    <col min="3338" max="3338" width="8.77734375" style="109" customWidth="1"/>
    <col min="3339" max="3339" width="11.109375" style="109" customWidth="1"/>
    <col min="3340" max="3340" width="12.88671875" style="109" customWidth="1"/>
    <col min="3341" max="3341" width="12.5546875" style="109" customWidth="1"/>
    <col min="3342" max="3342" width="9.6640625" style="109" customWidth="1"/>
    <col min="3343" max="3343" width="9.88671875" style="109" customWidth="1"/>
    <col min="3344" max="3344" width="11.33203125" style="109" customWidth="1"/>
    <col min="3345" max="3345" width="11.5546875" style="109" customWidth="1"/>
    <col min="3346" max="3346" width="11.6640625" style="109" customWidth="1"/>
    <col min="3347" max="3347" width="10.33203125" style="109" customWidth="1"/>
    <col min="3348" max="3348" width="11.77734375" style="109" customWidth="1"/>
    <col min="3349" max="3349" width="12.109375" style="109" customWidth="1"/>
    <col min="3350" max="3350" width="11" style="109" customWidth="1"/>
    <col min="3351" max="3351" width="12.109375" style="109" customWidth="1"/>
    <col min="3352" max="3352" width="10.5546875" style="109" customWidth="1"/>
    <col min="3353" max="3353" width="9.88671875" style="109" customWidth="1"/>
    <col min="3354" max="3354" width="10.77734375" style="109" customWidth="1"/>
    <col min="3355" max="3355" width="9.77734375" style="109" customWidth="1"/>
    <col min="3356" max="3356" width="11.21875" style="109" customWidth="1"/>
    <col min="3357" max="3357" width="10.33203125" style="109" customWidth="1"/>
    <col min="3358" max="3358" width="11.88671875" style="109" customWidth="1"/>
    <col min="3359" max="3359" width="8.77734375" style="109"/>
    <col min="3360" max="3360" width="13.88671875" style="109" customWidth="1"/>
    <col min="3361" max="3361" width="10.88671875" style="109" customWidth="1"/>
    <col min="3362" max="3362" width="11.44140625" style="109" customWidth="1"/>
    <col min="3363" max="3363" width="11.77734375" style="109" customWidth="1"/>
    <col min="3364" max="3364" width="11.109375" style="109" customWidth="1"/>
    <col min="3365" max="3365" width="10.88671875" style="109" customWidth="1"/>
    <col min="3366" max="3369" width="8.77734375" style="109"/>
    <col min="3370" max="3370" width="11.44140625" style="109" bestFit="1" customWidth="1"/>
    <col min="3371" max="3371" width="10.21875" style="109" customWidth="1"/>
    <col min="3372" max="3372" width="11.5546875" style="109" customWidth="1"/>
    <col min="3373" max="3373" width="12.109375" style="109" customWidth="1"/>
    <col min="3374" max="3374" width="13.21875" style="109" customWidth="1"/>
    <col min="3375" max="3375" width="14.109375" style="109" customWidth="1"/>
    <col min="3376" max="3376" width="11.77734375" style="109" customWidth="1"/>
    <col min="3377" max="3377" width="9.6640625" style="109" customWidth="1"/>
    <col min="3378" max="3381" width="8.77734375" style="109"/>
    <col min="3382" max="3382" width="28.77734375" style="109" customWidth="1"/>
    <col min="3383" max="3383" width="11.77734375" style="109" customWidth="1"/>
    <col min="3384" max="3384" width="10" style="109" customWidth="1"/>
    <col min="3385" max="3385" width="10.44140625" style="109" customWidth="1"/>
    <col min="3386" max="3387" width="8.77734375" style="109"/>
    <col min="3388" max="3388" width="9.33203125" style="109" customWidth="1"/>
    <col min="3389" max="3389" width="18.44140625" style="109" customWidth="1"/>
    <col min="3390" max="3390" width="11" style="109" customWidth="1"/>
    <col min="3391" max="3391" width="9.5546875" style="109" customWidth="1"/>
    <col min="3392" max="3392" width="10.6640625" style="109" customWidth="1"/>
    <col min="3393" max="3393" width="9.88671875" style="109" customWidth="1"/>
    <col min="3394" max="3394" width="11.44140625" style="109" customWidth="1"/>
    <col min="3395" max="3395" width="9.88671875" style="109" customWidth="1"/>
    <col min="3396" max="3396" width="10" style="109" customWidth="1"/>
    <col min="3397" max="3397" width="6.77734375" style="109" customWidth="1"/>
    <col min="3398" max="3398" width="12.5546875" style="109" customWidth="1"/>
    <col min="3399" max="3399" width="9.5546875" style="109" customWidth="1"/>
    <col min="3400" max="3400" width="10.33203125" style="109" customWidth="1"/>
    <col min="3401" max="3401" width="7.77734375" style="109" customWidth="1"/>
    <col min="3402" max="3402" width="7.21875" style="109" customWidth="1"/>
    <col min="3403" max="3403" width="17.6640625" style="109" customWidth="1"/>
    <col min="3404" max="3404" width="8.77734375" style="109" customWidth="1"/>
    <col min="3405" max="3405" width="13.109375" style="109" bestFit="1" customWidth="1"/>
    <col min="3406" max="3406" width="13.77734375" style="109" customWidth="1"/>
    <col min="3407" max="3408" width="8.77734375" style="109"/>
    <col min="3409" max="3409" width="9" style="109" bestFit="1" customWidth="1"/>
    <col min="3410" max="3418" width="8.77734375" style="109"/>
    <col min="3419" max="3419" width="13.109375" style="109" customWidth="1"/>
    <col min="3420" max="3420" width="8.77734375" style="109"/>
    <col min="3421" max="3421" width="9.88671875" style="109" customWidth="1"/>
    <col min="3422" max="3425" width="8.77734375" style="109"/>
    <col min="3426" max="3426" width="8.5546875" style="109" customWidth="1"/>
    <col min="3427" max="3427" width="30.33203125" style="109" customWidth="1"/>
    <col min="3428" max="3428" width="9" style="109" bestFit="1" customWidth="1"/>
    <col min="3429" max="3429" width="8.77734375" style="109"/>
    <col min="3430" max="3430" width="5.88671875" style="109" customWidth="1"/>
    <col min="3431" max="3431" width="6.88671875" style="109" customWidth="1"/>
    <col min="3432" max="3432" width="23.88671875" style="109" customWidth="1"/>
    <col min="3433" max="3439" width="8.77734375" style="109"/>
    <col min="3440" max="3440" width="9" style="109" bestFit="1" customWidth="1"/>
    <col min="3441" max="3442" width="8.77734375" style="109"/>
    <col min="3443" max="3443" width="32.88671875" style="109" customWidth="1"/>
    <col min="3444" max="3444" width="16.6640625" style="109" customWidth="1"/>
    <col min="3445" max="3445" width="10.21875" style="109" customWidth="1"/>
    <col min="3446" max="3446" width="12.44140625" style="109" customWidth="1"/>
    <col min="3447" max="3447" width="10" style="109" bestFit="1" customWidth="1"/>
    <col min="3448" max="3448" width="8.77734375" style="109"/>
    <col min="3449" max="3449" width="9" style="109" bestFit="1" customWidth="1"/>
    <col min="3450" max="3451" width="8.77734375" style="109"/>
    <col min="3452" max="3452" width="11.6640625" style="109" customWidth="1"/>
    <col min="3453" max="3453" width="8.77734375" style="109"/>
    <col min="3454" max="3454" width="28.77734375" style="109" customWidth="1"/>
    <col min="3455" max="3455" width="12.33203125" style="109" customWidth="1"/>
    <col min="3456" max="3456" width="11.21875" style="109" customWidth="1"/>
    <col min="3457" max="3584" width="8.77734375" style="109"/>
    <col min="3585" max="3585" width="5.6640625" style="109" customWidth="1"/>
    <col min="3586" max="3586" width="26.5546875" style="109" customWidth="1"/>
    <col min="3587" max="3587" width="11.44140625" style="109" customWidth="1"/>
    <col min="3588" max="3588" width="7.44140625" style="109" customWidth="1"/>
    <col min="3589" max="3589" width="8.5546875" style="109" customWidth="1"/>
    <col min="3590" max="3590" width="12.33203125" style="109" customWidth="1"/>
    <col min="3591" max="3591" width="11.77734375" style="109" customWidth="1"/>
    <col min="3592" max="3592" width="8.21875" style="109" customWidth="1"/>
    <col min="3593" max="3593" width="12" style="109" customWidth="1"/>
    <col min="3594" max="3594" width="8.77734375" style="109" customWidth="1"/>
    <col min="3595" max="3595" width="11.109375" style="109" customWidth="1"/>
    <col min="3596" max="3596" width="12.88671875" style="109" customWidth="1"/>
    <col min="3597" max="3597" width="12.5546875" style="109" customWidth="1"/>
    <col min="3598" max="3598" width="9.6640625" style="109" customWidth="1"/>
    <col min="3599" max="3599" width="9.88671875" style="109" customWidth="1"/>
    <col min="3600" max="3600" width="11.33203125" style="109" customWidth="1"/>
    <col min="3601" max="3601" width="11.5546875" style="109" customWidth="1"/>
    <col min="3602" max="3602" width="11.6640625" style="109" customWidth="1"/>
    <col min="3603" max="3603" width="10.33203125" style="109" customWidth="1"/>
    <col min="3604" max="3604" width="11.77734375" style="109" customWidth="1"/>
    <col min="3605" max="3605" width="12.109375" style="109" customWidth="1"/>
    <col min="3606" max="3606" width="11" style="109" customWidth="1"/>
    <col min="3607" max="3607" width="12.109375" style="109" customWidth="1"/>
    <col min="3608" max="3608" width="10.5546875" style="109" customWidth="1"/>
    <col min="3609" max="3609" width="9.88671875" style="109" customWidth="1"/>
    <col min="3610" max="3610" width="10.77734375" style="109" customWidth="1"/>
    <col min="3611" max="3611" width="9.77734375" style="109" customWidth="1"/>
    <col min="3612" max="3612" width="11.21875" style="109" customWidth="1"/>
    <col min="3613" max="3613" width="10.33203125" style="109" customWidth="1"/>
    <col min="3614" max="3614" width="11.88671875" style="109" customWidth="1"/>
    <col min="3615" max="3615" width="8.77734375" style="109"/>
    <col min="3616" max="3616" width="13.88671875" style="109" customWidth="1"/>
    <col min="3617" max="3617" width="10.88671875" style="109" customWidth="1"/>
    <col min="3618" max="3618" width="11.44140625" style="109" customWidth="1"/>
    <col min="3619" max="3619" width="11.77734375" style="109" customWidth="1"/>
    <col min="3620" max="3620" width="11.109375" style="109" customWidth="1"/>
    <col min="3621" max="3621" width="10.88671875" style="109" customWidth="1"/>
    <col min="3622" max="3625" width="8.77734375" style="109"/>
    <col min="3626" max="3626" width="11.44140625" style="109" bestFit="1" customWidth="1"/>
    <col min="3627" max="3627" width="10.21875" style="109" customWidth="1"/>
    <col min="3628" max="3628" width="11.5546875" style="109" customWidth="1"/>
    <col min="3629" max="3629" width="12.109375" style="109" customWidth="1"/>
    <col min="3630" max="3630" width="13.21875" style="109" customWidth="1"/>
    <col min="3631" max="3631" width="14.109375" style="109" customWidth="1"/>
    <col min="3632" max="3632" width="11.77734375" style="109" customWidth="1"/>
    <col min="3633" max="3633" width="9.6640625" style="109" customWidth="1"/>
    <col min="3634" max="3637" width="8.77734375" style="109"/>
    <col min="3638" max="3638" width="28.77734375" style="109" customWidth="1"/>
    <col min="3639" max="3639" width="11.77734375" style="109" customWidth="1"/>
    <col min="3640" max="3640" width="10" style="109" customWidth="1"/>
    <col min="3641" max="3641" width="10.44140625" style="109" customWidth="1"/>
    <col min="3642" max="3643" width="8.77734375" style="109"/>
    <col min="3644" max="3644" width="9.33203125" style="109" customWidth="1"/>
    <col min="3645" max="3645" width="18.44140625" style="109" customWidth="1"/>
    <col min="3646" max="3646" width="11" style="109" customWidth="1"/>
    <col min="3647" max="3647" width="9.5546875" style="109" customWidth="1"/>
    <col min="3648" max="3648" width="10.6640625" style="109" customWidth="1"/>
    <col min="3649" max="3649" width="9.88671875" style="109" customWidth="1"/>
    <col min="3650" max="3650" width="11.44140625" style="109" customWidth="1"/>
    <col min="3651" max="3651" width="9.88671875" style="109" customWidth="1"/>
    <col min="3652" max="3652" width="10" style="109" customWidth="1"/>
    <col min="3653" max="3653" width="6.77734375" style="109" customWidth="1"/>
    <col min="3654" max="3654" width="12.5546875" style="109" customWidth="1"/>
    <col min="3655" max="3655" width="9.5546875" style="109" customWidth="1"/>
    <col min="3656" max="3656" width="10.33203125" style="109" customWidth="1"/>
    <col min="3657" max="3657" width="7.77734375" style="109" customWidth="1"/>
    <col min="3658" max="3658" width="7.21875" style="109" customWidth="1"/>
    <col min="3659" max="3659" width="17.6640625" style="109" customWidth="1"/>
    <col min="3660" max="3660" width="8.77734375" style="109" customWidth="1"/>
    <col min="3661" max="3661" width="13.109375" style="109" bestFit="1" customWidth="1"/>
    <col min="3662" max="3662" width="13.77734375" style="109" customWidth="1"/>
    <col min="3663" max="3664" width="8.77734375" style="109"/>
    <col min="3665" max="3665" width="9" style="109" bestFit="1" customWidth="1"/>
    <col min="3666" max="3674" width="8.77734375" style="109"/>
    <col min="3675" max="3675" width="13.109375" style="109" customWidth="1"/>
    <col min="3676" max="3676" width="8.77734375" style="109"/>
    <col min="3677" max="3677" width="9.88671875" style="109" customWidth="1"/>
    <col min="3678" max="3681" width="8.77734375" style="109"/>
    <col min="3682" max="3682" width="8.5546875" style="109" customWidth="1"/>
    <col min="3683" max="3683" width="30.33203125" style="109" customWidth="1"/>
    <col min="3684" max="3684" width="9" style="109" bestFit="1" customWidth="1"/>
    <col min="3685" max="3685" width="8.77734375" style="109"/>
    <col min="3686" max="3686" width="5.88671875" style="109" customWidth="1"/>
    <col min="3687" max="3687" width="6.88671875" style="109" customWidth="1"/>
    <col min="3688" max="3688" width="23.88671875" style="109" customWidth="1"/>
    <col min="3689" max="3695" width="8.77734375" style="109"/>
    <col min="3696" max="3696" width="9" style="109" bestFit="1" customWidth="1"/>
    <col min="3697" max="3698" width="8.77734375" style="109"/>
    <col min="3699" max="3699" width="32.88671875" style="109" customWidth="1"/>
    <col min="3700" max="3700" width="16.6640625" style="109" customWidth="1"/>
    <col min="3701" max="3701" width="10.21875" style="109" customWidth="1"/>
    <col min="3702" max="3702" width="12.44140625" style="109" customWidth="1"/>
    <col min="3703" max="3703" width="10" style="109" bestFit="1" customWidth="1"/>
    <col min="3704" max="3704" width="8.77734375" style="109"/>
    <col min="3705" max="3705" width="9" style="109" bestFit="1" customWidth="1"/>
    <col min="3706" max="3707" width="8.77734375" style="109"/>
    <col min="3708" max="3708" width="11.6640625" style="109" customWidth="1"/>
    <col min="3709" max="3709" width="8.77734375" style="109"/>
    <col min="3710" max="3710" width="28.77734375" style="109" customWidth="1"/>
    <col min="3711" max="3711" width="12.33203125" style="109" customWidth="1"/>
    <col min="3712" max="3712" width="11.21875" style="109" customWidth="1"/>
    <col min="3713" max="3840" width="8.77734375" style="109"/>
    <col min="3841" max="3841" width="5.6640625" style="109" customWidth="1"/>
    <col min="3842" max="3842" width="26.5546875" style="109" customWidth="1"/>
    <col min="3843" max="3843" width="11.44140625" style="109" customWidth="1"/>
    <col min="3844" max="3844" width="7.44140625" style="109" customWidth="1"/>
    <col min="3845" max="3845" width="8.5546875" style="109" customWidth="1"/>
    <col min="3846" max="3846" width="12.33203125" style="109" customWidth="1"/>
    <col min="3847" max="3847" width="11.77734375" style="109" customWidth="1"/>
    <col min="3848" max="3848" width="8.21875" style="109" customWidth="1"/>
    <col min="3849" max="3849" width="12" style="109" customWidth="1"/>
    <col min="3850" max="3850" width="8.77734375" style="109" customWidth="1"/>
    <col min="3851" max="3851" width="11.109375" style="109" customWidth="1"/>
    <col min="3852" max="3852" width="12.88671875" style="109" customWidth="1"/>
    <col min="3853" max="3853" width="12.5546875" style="109" customWidth="1"/>
    <col min="3854" max="3854" width="9.6640625" style="109" customWidth="1"/>
    <col min="3855" max="3855" width="9.88671875" style="109" customWidth="1"/>
    <col min="3856" max="3856" width="11.33203125" style="109" customWidth="1"/>
    <col min="3857" max="3857" width="11.5546875" style="109" customWidth="1"/>
    <col min="3858" max="3858" width="11.6640625" style="109" customWidth="1"/>
    <col min="3859" max="3859" width="10.33203125" style="109" customWidth="1"/>
    <col min="3860" max="3860" width="11.77734375" style="109" customWidth="1"/>
    <col min="3861" max="3861" width="12.109375" style="109" customWidth="1"/>
    <col min="3862" max="3862" width="11" style="109" customWidth="1"/>
    <col min="3863" max="3863" width="12.109375" style="109" customWidth="1"/>
    <col min="3864" max="3864" width="10.5546875" style="109" customWidth="1"/>
    <col min="3865" max="3865" width="9.88671875" style="109" customWidth="1"/>
    <col min="3866" max="3866" width="10.77734375" style="109" customWidth="1"/>
    <col min="3867" max="3867" width="9.77734375" style="109" customWidth="1"/>
    <col min="3868" max="3868" width="11.21875" style="109" customWidth="1"/>
    <col min="3869" max="3869" width="10.33203125" style="109" customWidth="1"/>
    <col min="3870" max="3870" width="11.88671875" style="109" customWidth="1"/>
    <col min="3871" max="3871" width="8.77734375" style="109"/>
    <col min="3872" max="3872" width="13.88671875" style="109" customWidth="1"/>
    <col min="3873" max="3873" width="10.88671875" style="109" customWidth="1"/>
    <col min="3874" max="3874" width="11.44140625" style="109" customWidth="1"/>
    <col min="3875" max="3875" width="11.77734375" style="109" customWidth="1"/>
    <col min="3876" max="3876" width="11.109375" style="109" customWidth="1"/>
    <col min="3877" max="3877" width="10.88671875" style="109" customWidth="1"/>
    <col min="3878" max="3881" width="8.77734375" style="109"/>
    <col min="3882" max="3882" width="11.44140625" style="109" bestFit="1" customWidth="1"/>
    <col min="3883" max="3883" width="10.21875" style="109" customWidth="1"/>
    <col min="3884" max="3884" width="11.5546875" style="109" customWidth="1"/>
    <col min="3885" max="3885" width="12.109375" style="109" customWidth="1"/>
    <col min="3886" max="3886" width="13.21875" style="109" customWidth="1"/>
    <col min="3887" max="3887" width="14.109375" style="109" customWidth="1"/>
    <col min="3888" max="3888" width="11.77734375" style="109" customWidth="1"/>
    <col min="3889" max="3889" width="9.6640625" style="109" customWidth="1"/>
    <col min="3890" max="3893" width="8.77734375" style="109"/>
    <col min="3894" max="3894" width="28.77734375" style="109" customWidth="1"/>
    <col min="3895" max="3895" width="11.77734375" style="109" customWidth="1"/>
    <col min="3896" max="3896" width="10" style="109" customWidth="1"/>
    <col min="3897" max="3897" width="10.44140625" style="109" customWidth="1"/>
    <col min="3898" max="3899" width="8.77734375" style="109"/>
    <col min="3900" max="3900" width="9.33203125" style="109" customWidth="1"/>
    <col min="3901" max="3901" width="18.44140625" style="109" customWidth="1"/>
    <col min="3902" max="3902" width="11" style="109" customWidth="1"/>
    <col min="3903" max="3903" width="9.5546875" style="109" customWidth="1"/>
    <col min="3904" max="3904" width="10.6640625" style="109" customWidth="1"/>
    <col min="3905" max="3905" width="9.88671875" style="109" customWidth="1"/>
    <col min="3906" max="3906" width="11.44140625" style="109" customWidth="1"/>
    <col min="3907" max="3907" width="9.88671875" style="109" customWidth="1"/>
    <col min="3908" max="3908" width="10" style="109" customWidth="1"/>
    <col min="3909" max="3909" width="6.77734375" style="109" customWidth="1"/>
    <col min="3910" max="3910" width="12.5546875" style="109" customWidth="1"/>
    <col min="3911" max="3911" width="9.5546875" style="109" customWidth="1"/>
    <col min="3912" max="3912" width="10.33203125" style="109" customWidth="1"/>
    <col min="3913" max="3913" width="7.77734375" style="109" customWidth="1"/>
    <col min="3914" max="3914" width="7.21875" style="109" customWidth="1"/>
    <col min="3915" max="3915" width="17.6640625" style="109" customWidth="1"/>
    <col min="3916" max="3916" width="8.77734375" style="109" customWidth="1"/>
    <col min="3917" max="3917" width="13.109375" style="109" bestFit="1" customWidth="1"/>
    <col min="3918" max="3918" width="13.77734375" style="109" customWidth="1"/>
    <col min="3919" max="3920" width="8.77734375" style="109"/>
    <col min="3921" max="3921" width="9" style="109" bestFit="1" customWidth="1"/>
    <col min="3922" max="3930" width="8.77734375" style="109"/>
    <col min="3931" max="3931" width="13.109375" style="109" customWidth="1"/>
    <col min="3932" max="3932" width="8.77734375" style="109"/>
    <col min="3933" max="3933" width="9.88671875" style="109" customWidth="1"/>
    <col min="3934" max="3937" width="8.77734375" style="109"/>
    <col min="3938" max="3938" width="8.5546875" style="109" customWidth="1"/>
    <col min="3939" max="3939" width="30.33203125" style="109" customWidth="1"/>
    <col min="3940" max="3940" width="9" style="109" bestFit="1" customWidth="1"/>
    <col min="3941" max="3941" width="8.77734375" style="109"/>
    <col min="3942" max="3942" width="5.88671875" style="109" customWidth="1"/>
    <col min="3943" max="3943" width="6.88671875" style="109" customWidth="1"/>
    <col min="3944" max="3944" width="23.88671875" style="109" customWidth="1"/>
    <col min="3945" max="3951" width="8.77734375" style="109"/>
    <col min="3952" max="3952" width="9" style="109" bestFit="1" customWidth="1"/>
    <col min="3953" max="3954" width="8.77734375" style="109"/>
    <col min="3955" max="3955" width="32.88671875" style="109" customWidth="1"/>
    <col min="3956" max="3956" width="16.6640625" style="109" customWidth="1"/>
    <col min="3957" max="3957" width="10.21875" style="109" customWidth="1"/>
    <col min="3958" max="3958" width="12.44140625" style="109" customWidth="1"/>
    <col min="3959" max="3959" width="10" style="109" bestFit="1" customWidth="1"/>
    <col min="3960" max="3960" width="8.77734375" style="109"/>
    <col min="3961" max="3961" width="9" style="109" bestFit="1" customWidth="1"/>
    <col min="3962" max="3963" width="8.77734375" style="109"/>
    <col min="3964" max="3964" width="11.6640625" style="109" customWidth="1"/>
    <col min="3965" max="3965" width="8.77734375" style="109"/>
    <col min="3966" max="3966" width="28.77734375" style="109" customWidth="1"/>
    <col min="3967" max="3967" width="12.33203125" style="109" customWidth="1"/>
    <col min="3968" max="3968" width="11.21875" style="109" customWidth="1"/>
    <col min="3969" max="4096" width="8.77734375" style="109"/>
    <col min="4097" max="4097" width="5.6640625" style="109" customWidth="1"/>
    <col min="4098" max="4098" width="26.5546875" style="109" customWidth="1"/>
    <col min="4099" max="4099" width="11.44140625" style="109" customWidth="1"/>
    <col min="4100" max="4100" width="7.44140625" style="109" customWidth="1"/>
    <col min="4101" max="4101" width="8.5546875" style="109" customWidth="1"/>
    <col min="4102" max="4102" width="12.33203125" style="109" customWidth="1"/>
    <col min="4103" max="4103" width="11.77734375" style="109" customWidth="1"/>
    <col min="4104" max="4104" width="8.21875" style="109" customWidth="1"/>
    <col min="4105" max="4105" width="12" style="109" customWidth="1"/>
    <col min="4106" max="4106" width="8.77734375" style="109" customWidth="1"/>
    <col min="4107" max="4107" width="11.109375" style="109" customWidth="1"/>
    <col min="4108" max="4108" width="12.88671875" style="109" customWidth="1"/>
    <col min="4109" max="4109" width="12.5546875" style="109" customWidth="1"/>
    <col min="4110" max="4110" width="9.6640625" style="109" customWidth="1"/>
    <col min="4111" max="4111" width="9.88671875" style="109" customWidth="1"/>
    <col min="4112" max="4112" width="11.33203125" style="109" customWidth="1"/>
    <col min="4113" max="4113" width="11.5546875" style="109" customWidth="1"/>
    <col min="4114" max="4114" width="11.6640625" style="109" customWidth="1"/>
    <col min="4115" max="4115" width="10.33203125" style="109" customWidth="1"/>
    <col min="4116" max="4116" width="11.77734375" style="109" customWidth="1"/>
    <col min="4117" max="4117" width="12.109375" style="109" customWidth="1"/>
    <col min="4118" max="4118" width="11" style="109" customWidth="1"/>
    <col min="4119" max="4119" width="12.109375" style="109" customWidth="1"/>
    <col min="4120" max="4120" width="10.5546875" style="109" customWidth="1"/>
    <col min="4121" max="4121" width="9.88671875" style="109" customWidth="1"/>
    <col min="4122" max="4122" width="10.77734375" style="109" customWidth="1"/>
    <col min="4123" max="4123" width="9.77734375" style="109" customWidth="1"/>
    <col min="4124" max="4124" width="11.21875" style="109" customWidth="1"/>
    <col min="4125" max="4125" width="10.33203125" style="109" customWidth="1"/>
    <col min="4126" max="4126" width="11.88671875" style="109" customWidth="1"/>
    <col min="4127" max="4127" width="8.77734375" style="109"/>
    <col min="4128" max="4128" width="13.88671875" style="109" customWidth="1"/>
    <col min="4129" max="4129" width="10.88671875" style="109" customWidth="1"/>
    <col min="4130" max="4130" width="11.44140625" style="109" customWidth="1"/>
    <col min="4131" max="4131" width="11.77734375" style="109" customWidth="1"/>
    <col min="4132" max="4132" width="11.109375" style="109" customWidth="1"/>
    <col min="4133" max="4133" width="10.88671875" style="109" customWidth="1"/>
    <col min="4134" max="4137" width="8.77734375" style="109"/>
    <col min="4138" max="4138" width="11.44140625" style="109" bestFit="1" customWidth="1"/>
    <col min="4139" max="4139" width="10.21875" style="109" customWidth="1"/>
    <col min="4140" max="4140" width="11.5546875" style="109" customWidth="1"/>
    <col min="4141" max="4141" width="12.109375" style="109" customWidth="1"/>
    <col min="4142" max="4142" width="13.21875" style="109" customWidth="1"/>
    <col min="4143" max="4143" width="14.109375" style="109" customWidth="1"/>
    <col min="4144" max="4144" width="11.77734375" style="109" customWidth="1"/>
    <col min="4145" max="4145" width="9.6640625" style="109" customWidth="1"/>
    <col min="4146" max="4149" width="8.77734375" style="109"/>
    <col min="4150" max="4150" width="28.77734375" style="109" customWidth="1"/>
    <col min="4151" max="4151" width="11.77734375" style="109" customWidth="1"/>
    <col min="4152" max="4152" width="10" style="109" customWidth="1"/>
    <col min="4153" max="4153" width="10.44140625" style="109" customWidth="1"/>
    <col min="4154" max="4155" width="8.77734375" style="109"/>
    <col min="4156" max="4156" width="9.33203125" style="109" customWidth="1"/>
    <col min="4157" max="4157" width="18.44140625" style="109" customWidth="1"/>
    <col min="4158" max="4158" width="11" style="109" customWidth="1"/>
    <col min="4159" max="4159" width="9.5546875" style="109" customWidth="1"/>
    <col min="4160" max="4160" width="10.6640625" style="109" customWidth="1"/>
    <col min="4161" max="4161" width="9.88671875" style="109" customWidth="1"/>
    <col min="4162" max="4162" width="11.44140625" style="109" customWidth="1"/>
    <col min="4163" max="4163" width="9.88671875" style="109" customWidth="1"/>
    <col min="4164" max="4164" width="10" style="109" customWidth="1"/>
    <col min="4165" max="4165" width="6.77734375" style="109" customWidth="1"/>
    <col min="4166" max="4166" width="12.5546875" style="109" customWidth="1"/>
    <col min="4167" max="4167" width="9.5546875" style="109" customWidth="1"/>
    <col min="4168" max="4168" width="10.33203125" style="109" customWidth="1"/>
    <col min="4169" max="4169" width="7.77734375" style="109" customWidth="1"/>
    <col min="4170" max="4170" width="7.21875" style="109" customWidth="1"/>
    <col min="4171" max="4171" width="17.6640625" style="109" customWidth="1"/>
    <col min="4172" max="4172" width="8.77734375" style="109" customWidth="1"/>
    <col min="4173" max="4173" width="13.109375" style="109" bestFit="1" customWidth="1"/>
    <col min="4174" max="4174" width="13.77734375" style="109" customWidth="1"/>
    <col min="4175" max="4176" width="8.77734375" style="109"/>
    <col min="4177" max="4177" width="9" style="109" bestFit="1" customWidth="1"/>
    <col min="4178" max="4186" width="8.77734375" style="109"/>
    <col min="4187" max="4187" width="13.109375" style="109" customWidth="1"/>
    <col min="4188" max="4188" width="8.77734375" style="109"/>
    <col min="4189" max="4189" width="9.88671875" style="109" customWidth="1"/>
    <col min="4190" max="4193" width="8.77734375" style="109"/>
    <col min="4194" max="4194" width="8.5546875" style="109" customWidth="1"/>
    <col min="4195" max="4195" width="30.33203125" style="109" customWidth="1"/>
    <col min="4196" max="4196" width="9" style="109" bestFit="1" customWidth="1"/>
    <col min="4197" max="4197" width="8.77734375" style="109"/>
    <col min="4198" max="4198" width="5.88671875" style="109" customWidth="1"/>
    <col min="4199" max="4199" width="6.88671875" style="109" customWidth="1"/>
    <col min="4200" max="4200" width="23.88671875" style="109" customWidth="1"/>
    <col min="4201" max="4207" width="8.77734375" style="109"/>
    <col min="4208" max="4208" width="9" style="109" bestFit="1" customWidth="1"/>
    <col min="4209" max="4210" width="8.77734375" style="109"/>
    <col min="4211" max="4211" width="32.88671875" style="109" customWidth="1"/>
    <col min="4212" max="4212" width="16.6640625" style="109" customWidth="1"/>
    <col min="4213" max="4213" width="10.21875" style="109" customWidth="1"/>
    <col min="4214" max="4214" width="12.44140625" style="109" customWidth="1"/>
    <col min="4215" max="4215" width="10" style="109" bestFit="1" customWidth="1"/>
    <col min="4216" max="4216" width="8.77734375" style="109"/>
    <col min="4217" max="4217" width="9" style="109" bestFit="1" customWidth="1"/>
    <col min="4218" max="4219" width="8.77734375" style="109"/>
    <col min="4220" max="4220" width="11.6640625" style="109" customWidth="1"/>
    <col min="4221" max="4221" width="8.77734375" style="109"/>
    <col min="4222" max="4222" width="28.77734375" style="109" customWidth="1"/>
    <col min="4223" max="4223" width="12.33203125" style="109" customWidth="1"/>
    <col min="4224" max="4224" width="11.21875" style="109" customWidth="1"/>
    <col min="4225" max="4352" width="8.77734375" style="109"/>
    <col min="4353" max="4353" width="5.6640625" style="109" customWidth="1"/>
    <col min="4354" max="4354" width="26.5546875" style="109" customWidth="1"/>
    <col min="4355" max="4355" width="11.44140625" style="109" customWidth="1"/>
    <col min="4356" max="4356" width="7.44140625" style="109" customWidth="1"/>
    <col min="4357" max="4357" width="8.5546875" style="109" customWidth="1"/>
    <col min="4358" max="4358" width="12.33203125" style="109" customWidth="1"/>
    <col min="4359" max="4359" width="11.77734375" style="109" customWidth="1"/>
    <col min="4360" max="4360" width="8.21875" style="109" customWidth="1"/>
    <col min="4361" max="4361" width="12" style="109" customWidth="1"/>
    <col min="4362" max="4362" width="8.77734375" style="109" customWidth="1"/>
    <col min="4363" max="4363" width="11.109375" style="109" customWidth="1"/>
    <col min="4364" max="4364" width="12.88671875" style="109" customWidth="1"/>
    <col min="4365" max="4365" width="12.5546875" style="109" customWidth="1"/>
    <col min="4366" max="4366" width="9.6640625" style="109" customWidth="1"/>
    <col min="4367" max="4367" width="9.88671875" style="109" customWidth="1"/>
    <col min="4368" max="4368" width="11.33203125" style="109" customWidth="1"/>
    <col min="4369" max="4369" width="11.5546875" style="109" customWidth="1"/>
    <col min="4370" max="4370" width="11.6640625" style="109" customWidth="1"/>
    <col min="4371" max="4371" width="10.33203125" style="109" customWidth="1"/>
    <col min="4372" max="4372" width="11.77734375" style="109" customWidth="1"/>
    <col min="4373" max="4373" width="12.109375" style="109" customWidth="1"/>
    <col min="4374" max="4374" width="11" style="109" customWidth="1"/>
    <col min="4375" max="4375" width="12.109375" style="109" customWidth="1"/>
    <col min="4376" max="4376" width="10.5546875" style="109" customWidth="1"/>
    <col min="4377" max="4377" width="9.88671875" style="109" customWidth="1"/>
    <col min="4378" max="4378" width="10.77734375" style="109" customWidth="1"/>
    <col min="4379" max="4379" width="9.77734375" style="109" customWidth="1"/>
    <col min="4380" max="4380" width="11.21875" style="109" customWidth="1"/>
    <col min="4381" max="4381" width="10.33203125" style="109" customWidth="1"/>
    <col min="4382" max="4382" width="11.88671875" style="109" customWidth="1"/>
    <col min="4383" max="4383" width="8.77734375" style="109"/>
    <col min="4384" max="4384" width="13.88671875" style="109" customWidth="1"/>
    <col min="4385" max="4385" width="10.88671875" style="109" customWidth="1"/>
    <col min="4386" max="4386" width="11.44140625" style="109" customWidth="1"/>
    <col min="4387" max="4387" width="11.77734375" style="109" customWidth="1"/>
    <col min="4388" max="4388" width="11.109375" style="109" customWidth="1"/>
    <col min="4389" max="4389" width="10.88671875" style="109" customWidth="1"/>
    <col min="4390" max="4393" width="8.77734375" style="109"/>
    <col min="4394" max="4394" width="11.44140625" style="109" bestFit="1" customWidth="1"/>
    <col min="4395" max="4395" width="10.21875" style="109" customWidth="1"/>
    <col min="4396" max="4396" width="11.5546875" style="109" customWidth="1"/>
    <col min="4397" max="4397" width="12.109375" style="109" customWidth="1"/>
    <col min="4398" max="4398" width="13.21875" style="109" customWidth="1"/>
    <col min="4399" max="4399" width="14.109375" style="109" customWidth="1"/>
    <col min="4400" max="4400" width="11.77734375" style="109" customWidth="1"/>
    <col min="4401" max="4401" width="9.6640625" style="109" customWidth="1"/>
    <col min="4402" max="4405" width="8.77734375" style="109"/>
    <col min="4406" max="4406" width="28.77734375" style="109" customWidth="1"/>
    <col min="4407" max="4407" width="11.77734375" style="109" customWidth="1"/>
    <col min="4408" max="4408" width="10" style="109" customWidth="1"/>
    <col min="4409" max="4409" width="10.44140625" style="109" customWidth="1"/>
    <col min="4410" max="4411" width="8.77734375" style="109"/>
    <col min="4412" max="4412" width="9.33203125" style="109" customWidth="1"/>
    <col min="4413" max="4413" width="18.44140625" style="109" customWidth="1"/>
    <col min="4414" max="4414" width="11" style="109" customWidth="1"/>
    <col min="4415" max="4415" width="9.5546875" style="109" customWidth="1"/>
    <col min="4416" max="4416" width="10.6640625" style="109" customWidth="1"/>
    <col min="4417" max="4417" width="9.88671875" style="109" customWidth="1"/>
    <col min="4418" max="4418" width="11.44140625" style="109" customWidth="1"/>
    <col min="4419" max="4419" width="9.88671875" style="109" customWidth="1"/>
    <col min="4420" max="4420" width="10" style="109" customWidth="1"/>
    <col min="4421" max="4421" width="6.77734375" style="109" customWidth="1"/>
    <col min="4422" max="4422" width="12.5546875" style="109" customWidth="1"/>
    <col min="4423" max="4423" width="9.5546875" style="109" customWidth="1"/>
    <col min="4424" max="4424" width="10.33203125" style="109" customWidth="1"/>
    <col min="4425" max="4425" width="7.77734375" style="109" customWidth="1"/>
    <col min="4426" max="4426" width="7.21875" style="109" customWidth="1"/>
    <col min="4427" max="4427" width="17.6640625" style="109" customWidth="1"/>
    <col min="4428" max="4428" width="8.77734375" style="109" customWidth="1"/>
    <col min="4429" max="4429" width="13.109375" style="109" bestFit="1" customWidth="1"/>
    <col min="4430" max="4430" width="13.77734375" style="109" customWidth="1"/>
    <col min="4431" max="4432" width="8.77734375" style="109"/>
    <col min="4433" max="4433" width="9" style="109" bestFit="1" customWidth="1"/>
    <col min="4434" max="4442" width="8.77734375" style="109"/>
    <col min="4443" max="4443" width="13.109375" style="109" customWidth="1"/>
    <col min="4444" max="4444" width="8.77734375" style="109"/>
    <col min="4445" max="4445" width="9.88671875" style="109" customWidth="1"/>
    <col min="4446" max="4449" width="8.77734375" style="109"/>
    <col min="4450" max="4450" width="8.5546875" style="109" customWidth="1"/>
    <col min="4451" max="4451" width="30.33203125" style="109" customWidth="1"/>
    <col min="4452" max="4452" width="9" style="109" bestFit="1" customWidth="1"/>
    <col min="4453" max="4453" width="8.77734375" style="109"/>
    <col min="4454" max="4454" width="5.88671875" style="109" customWidth="1"/>
    <col min="4455" max="4455" width="6.88671875" style="109" customWidth="1"/>
    <col min="4456" max="4456" width="23.88671875" style="109" customWidth="1"/>
    <col min="4457" max="4463" width="8.77734375" style="109"/>
    <col min="4464" max="4464" width="9" style="109" bestFit="1" customWidth="1"/>
    <col min="4465" max="4466" width="8.77734375" style="109"/>
    <col min="4467" max="4467" width="32.88671875" style="109" customWidth="1"/>
    <col min="4468" max="4468" width="16.6640625" style="109" customWidth="1"/>
    <col min="4469" max="4469" width="10.21875" style="109" customWidth="1"/>
    <col min="4470" max="4470" width="12.44140625" style="109" customWidth="1"/>
    <col min="4471" max="4471" width="10" style="109" bestFit="1" customWidth="1"/>
    <col min="4472" max="4472" width="8.77734375" style="109"/>
    <col min="4473" max="4473" width="9" style="109" bestFit="1" customWidth="1"/>
    <col min="4474" max="4475" width="8.77734375" style="109"/>
    <col min="4476" max="4476" width="11.6640625" style="109" customWidth="1"/>
    <col min="4477" max="4477" width="8.77734375" style="109"/>
    <col min="4478" max="4478" width="28.77734375" style="109" customWidth="1"/>
    <col min="4479" max="4479" width="12.33203125" style="109" customWidth="1"/>
    <col min="4480" max="4480" width="11.21875" style="109" customWidth="1"/>
    <col min="4481" max="4608" width="8.77734375" style="109"/>
    <col min="4609" max="4609" width="5.6640625" style="109" customWidth="1"/>
    <col min="4610" max="4610" width="26.5546875" style="109" customWidth="1"/>
    <col min="4611" max="4611" width="11.44140625" style="109" customWidth="1"/>
    <col min="4612" max="4612" width="7.44140625" style="109" customWidth="1"/>
    <col min="4613" max="4613" width="8.5546875" style="109" customWidth="1"/>
    <col min="4614" max="4614" width="12.33203125" style="109" customWidth="1"/>
    <col min="4615" max="4615" width="11.77734375" style="109" customWidth="1"/>
    <col min="4616" max="4616" width="8.21875" style="109" customWidth="1"/>
    <col min="4617" max="4617" width="12" style="109" customWidth="1"/>
    <col min="4618" max="4618" width="8.77734375" style="109" customWidth="1"/>
    <col min="4619" max="4619" width="11.109375" style="109" customWidth="1"/>
    <col min="4620" max="4620" width="12.88671875" style="109" customWidth="1"/>
    <col min="4621" max="4621" width="12.5546875" style="109" customWidth="1"/>
    <col min="4622" max="4622" width="9.6640625" style="109" customWidth="1"/>
    <col min="4623" max="4623" width="9.88671875" style="109" customWidth="1"/>
    <col min="4624" max="4624" width="11.33203125" style="109" customWidth="1"/>
    <col min="4625" max="4625" width="11.5546875" style="109" customWidth="1"/>
    <col min="4626" max="4626" width="11.6640625" style="109" customWidth="1"/>
    <col min="4627" max="4627" width="10.33203125" style="109" customWidth="1"/>
    <col min="4628" max="4628" width="11.77734375" style="109" customWidth="1"/>
    <col min="4629" max="4629" width="12.109375" style="109" customWidth="1"/>
    <col min="4630" max="4630" width="11" style="109" customWidth="1"/>
    <col min="4631" max="4631" width="12.109375" style="109" customWidth="1"/>
    <col min="4632" max="4632" width="10.5546875" style="109" customWidth="1"/>
    <col min="4633" max="4633" width="9.88671875" style="109" customWidth="1"/>
    <col min="4634" max="4634" width="10.77734375" style="109" customWidth="1"/>
    <col min="4635" max="4635" width="9.77734375" style="109" customWidth="1"/>
    <col min="4636" max="4636" width="11.21875" style="109" customWidth="1"/>
    <col min="4637" max="4637" width="10.33203125" style="109" customWidth="1"/>
    <col min="4638" max="4638" width="11.88671875" style="109" customWidth="1"/>
    <col min="4639" max="4639" width="8.77734375" style="109"/>
    <col min="4640" max="4640" width="13.88671875" style="109" customWidth="1"/>
    <col min="4641" max="4641" width="10.88671875" style="109" customWidth="1"/>
    <col min="4642" max="4642" width="11.44140625" style="109" customWidth="1"/>
    <col min="4643" max="4643" width="11.77734375" style="109" customWidth="1"/>
    <col min="4644" max="4644" width="11.109375" style="109" customWidth="1"/>
    <col min="4645" max="4645" width="10.88671875" style="109" customWidth="1"/>
    <col min="4646" max="4649" width="8.77734375" style="109"/>
    <col min="4650" max="4650" width="11.44140625" style="109" bestFit="1" customWidth="1"/>
    <col min="4651" max="4651" width="10.21875" style="109" customWidth="1"/>
    <col min="4652" max="4652" width="11.5546875" style="109" customWidth="1"/>
    <col min="4653" max="4653" width="12.109375" style="109" customWidth="1"/>
    <col min="4654" max="4654" width="13.21875" style="109" customWidth="1"/>
    <col min="4655" max="4655" width="14.109375" style="109" customWidth="1"/>
    <col min="4656" max="4656" width="11.77734375" style="109" customWidth="1"/>
    <col min="4657" max="4657" width="9.6640625" style="109" customWidth="1"/>
    <col min="4658" max="4661" width="8.77734375" style="109"/>
    <col min="4662" max="4662" width="28.77734375" style="109" customWidth="1"/>
    <col min="4663" max="4663" width="11.77734375" style="109" customWidth="1"/>
    <col min="4664" max="4664" width="10" style="109" customWidth="1"/>
    <col min="4665" max="4665" width="10.44140625" style="109" customWidth="1"/>
    <col min="4666" max="4667" width="8.77734375" style="109"/>
    <col min="4668" max="4668" width="9.33203125" style="109" customWidth="1"/>
    <col min="4669" max="4669" width="18.44140625" style="109" customWidth="1"/>
    <col min="4670" max="4670" width="11" style="109" customWidth="1"/>
    <col min="4671" max="4671" width="9.5546875" style="109" customWidth="1"/>
    <col min="4672" max="4672" width="10.6640625" style="109" customWidth="1"/>
    <col min="4673" max="4673" width="9.88671875" style="109" customWidth="1"/>
    <col min="4674" max="4674" width="11.44140625" style="109" customWidth="1"/>
    <col min="4675" max="4675" width="9.88671875" style="109" customWidth="1"/>
    <col min="4676" max="4676" width="10" style="109" customWidth="1"/>
    <col min="4677" max="4677" width="6.77734375" style="109" customWidth="1"/>
    <col min="4678" max="4678" width="12.5546875" style="109" customWidth="1"/>
    <col min="4679" max="4679" width="9.5546875" style="109" customWidth="1"/>
    <col min="4680" max="4680" width="10.33203125" style="109" customWidth="1"/>
    <col min="4681" max="4681" width="7.77734375" style="109" customWidth="1"/>
    <col min="4682" max="4682" width="7.21875" style="109" customWidth="1"/>
    <col min="4683" max="4683" width="17.6640625" style="109" customWidth="1"/>
    <col min="4684" max="4684" width="8.77734375" style="109" customWidth="1"/>
    <col min="4685" max="4685" width="13.109375" style="109" bestFit="1" customWidth="1"/>
    <col min="4686" max="4686" width="13.77734375" style="109" customWidth="1"/>
    <col min="4687" max="4688" width="8.77734375" style="109"/>
    <col min="4689" max="4689" width="9" style="109" bestFit="1" customWidth="1"/>
    <col min="4690" max="4698" width="8.77734375" style="109"/>
    <col min="4699" max="4699" width="13.109375" style="109" customWidth="1"/>
    <col min="4700" max="4700" width="8.77734375" style="109"/>
    <col min="4701" max="4701" width="9.88671875" style="109" customWidth="1"/>
    <col min="4702" max="4705" width="8.77734375" style="109"/>
    <col min="4706" max="4706" width="8.5546875" style="109" customWidth="1"/>
    <col min="4707" max="4707" width="30.33203125" style="109" customWidth="1"/>
    <col min="4708" max="4708" width="9" style="109" bestFit="1" customWidth="1"/>
    <col min="4709" max="4709" width="8.77734375" style="109"/>
    <col min="4710" max="4710" width="5.88671875" style="109" customWidth="1"/>
    <col min="4711" max="4711" width="6.88671875" style="109" customWidth="1"/>
    <col min="4712" max="4712" width="23.88671875" style="109" customWidth="1"/>
    <col min="4713" max="4719" width="8.77734375" style="109"/>
    <col min="4720" max="4720" width="9" style="109" bestFit="1" customWidth="1"/>
    <col min="4721" max="4722" width="8.77734375" style="109"/>
    <col min="4723" max="4723" width="32.88671875" style="109" customWidth="1"/>
    <col min="4724" max="4724" width="16.6640625" style="109" customWidth="1"/>
    <col min="4725" max="4725" width="10.21875" style="109" customWidth="1"/>
    <col min="4726" max="4726" width="12.44140625" style="109" customWidth="1"/>
    <col min="4727" max="4727" width="10" style="109" bestFit="1" customWidth="1"/>
    <col min="4728" max="4728" width="8.77734375" style="109"/>
    <col min="4729" max="4729" width="9" style="109" bestFit="1" customWidth="1"/>
    <col min="4730" max="4731" width="8.77734375" style="109"/>
    <col min="4732" max="4732" width="11.6640625" style="109" customWidth="1"/>
    <col min="4733" max="4733" width="8.77734375" style="109"/>
    <col min="4734" max="4734" width="28.77734375" style="109" customWidth="1"/>
    <col min="4735" max="4735" width="12.33203125" style="109" customWidth="1"/>
    <col min="4736" max="4736" width="11.21875" style="109" customWidth="1"/>
    <col min="4737" max="4864" width="8.77734375" style="109"/>
    <col min="4865" max="4865" width="5.6640625" style="109" customWidth="1"/>
    <col min="4866" max="4866" width="26.5546875" style="109" customWidth="1"/>
    <col min="4867" max="4867" width="11.44140625" style="109" customWidth="1"/>
    <col min="4868" max="4868" width="7.44140625" style="109" customWidth="1"/>
    <col min="4869" max="4869" width="8.5546875" style="109" customWidth="1"/>
    <col min="4870" max="4870" width="12.33203125" style="109" customWidth="1"/>
    <col min="4871" max="4871" width="11.77734375" style="109" customWidth="1"/>
    <col min="4872" max="4872" width="8.21875" style="109" customWidth="1"/>
    <col min="4873" max="4873" width="12" style="109" customWidth="1"/>
    <col min="4874" max="4874" width="8.77734375" style="109" customWidth="1"/>
    <col min="4875" max="4875" width="11.109375" style="109" customWidth="1"/>
    <col min="4876" max="4876" width="12.88671875" style="109" customWidth="1"/>
    <col min="4877" max="4877" width="12.5546875" style="109" customWidth="1"/>
    <col min="4878" max="4878" width="9.6640625" style="109" customWidth="1"/>
    <col min="4879" max="4879" width="9.88671875" style="109" customWidth="1"/>
    <col min="4880" max="4880" width="11.33203125" style="109" customWidth="1"/>
    <col min="4881" max="4881" width="11.5546875" style="109" customWidth="1"/>
    <col min="4882" max="4882" width="11.6640625" style="109" customWidth="1"/>
    <col min="4883" max="4883" width="10.33203125" style="109" customWidth="1"/>
    <col min="4884" max="4884" width="11.77734375" style="109" customWidth="1"/>
    <col min="4885" max="4885" width="12.109375" style="109" customWidth="1"/>
    <col min="4886" max="4886" width="11" style="109" customWidth="1"/>
    <col min="4887" max="4887" width="12.109375" style="109" customWidth="1"/>
    <col min="4888" max="4888" width="10.5546875" style="109" customWidth="1"/>
    <col min="4889" max="4889" width="9.88671875" style="109" customWidth="1"/>
    <col min="4890" max="4890" width="10.77734375" style="109" customWidth="1"/>
    <col min="4891" max="4891" width="9.77734375" style="109" customWidth="1"/>
    <col min="4892" max="4892" width="11.21875" style="109" customWidth="1"/>
    <col min="4893" max="4893" width="10.33203125" style="109" customWidth="1"/>
    <col min="4894" max="4894" width="11.88671875" style="109" customWidth="1"/>
    <col min="4895" max="4895" width="8.77734375" style="109"/>
    <col min="4896" max="4896" width="13.88671875" style="109" customWidth="1"/>
    <col min="4897" max="4897" width="10.88671875" style="109" customWidth="1"/>
    <col min="4898" max="4898" width="11.44140625" style="109" customWidth="1"/>
    <col min="4899" max="4899" width="11.77734375" style="109" customWidth="1"/>
    <col min="4900" max="4900" width="11.109375" style="109" customWidth="1"/>
    <col min="4901" max="4901" width="10.88671875" style="109" customWidth="1"/>
    <col min="4902" max="4905" width="8.77734375" style="109"/>
    <col min="4906" max="4906" width="11.44140625" style="109" bestFit="1" customWidth="1"/>
    <col min="4907" max="4907" width="10.21875" style="109" customWidth="1"/>
    <col min="4908" max="4908" width="11.5546875" style="109" customWidth="1"/>
    <col min="4909" max="4909" width="12.109375" style="109" customWidth="1"/>
    <col min="4910" max="4910" width="13.21875" style="109" customWidth="1"/>
    <col min="4911" max="4911" width="14.109375" style="109" customWidth="1"/>
    <col min="4912" max="4912" width="11.77734375" style="109" customWidth="1"/>
    <col min="4913" max="4913" width="9.6640625" style="109" customWidth="1"/>
    <col min="4914" max="4917" width="8.77734375" style="109"/>
    <col min="4918" max="4918" width="28.77734375" style="109" customWidth="1"/>
    <col min="4919" max="4919" width="11.77734375" style="109" customWidth="1"/>
    <col min="4920" max="4920" width="10" style="109" customWidth="1"/>
    <col min="4921" max="4921" width="10.44140625" style="109" customWidth="1"/>
    <col min="4922" max="4923" width="8.77734375" style="109"/>
    <col min="4924" max="4924" width="9.33203125" style="109" customWidth="1"/>
    <col min="4925" max="4925" width="18.44140625" style="109" customWidth="1"/>
    <col min="4926" max="4926" width="11" style="109" customWidth="1"/>
    <col min="4927" max="4927" width="9.5546875" style="109" customWidth="1"/>
    <col min="4928" max="4928" width="10.6640625" style="109" customWidth="1"/>
    <col min="4929" max="4929" width="9.88671875" style="109" customWidth="1"/>
    <col min="4930" max="4930" width="11.44140625" style="109" customWidth="1"/>
    <col min="4931" max="4931" width="9.88671875" style="109" customWidth="1"/>
    <col min="4932" max="4932" width="10" style="109" customWidth="1"/>
    <col min="4933" max="4933" width="6.77734375" style="109" customWidth="1"/>
    <col min="4934" max="4934" width="12.5546875" style="109" customWidth="1"/>
    <col min="4935" max="4935" width="9.5546875" style="109" customWidth="1"/>
    <col min="4936" max="4936" width="10.33203125" style="109" customWidth="1"/>
    <col min="4937" max="4937" width="7.77734375" style="109" customWidth="1"/>
    <col min="4938" max="4938" width="7.21875" style="109" customWidth="1"/>
    <col min="4939" max="4939" width="17.6640625" style="109" customWidth="1"/>
    <col min="4940" max="4940" width="8.77734375" style="109" customWidth="1"/>
    <col min="4941" max="4941" width="13.109375" style="109" bestFit="1" customWidth="1"/>
    <col min="4942" max="4942" width="13.77734375" style="109" customWidth="1"/>
    <col min="4943" max="4944" width="8.77734375" style="109"/>
    <col min="4945" max="4945" width="9" style="109" bestFit="1" customWidth="1"/>
    <col min="4946" max="4954" width="8.77734375" style="109"/>
    <col min="4955" max="4955" width="13.109375" style="109" customWidth="1"/>
    <col min="4956" max="4956" width="8.77734375" style="109"/>
    <col min="4957" max="4957" width="9.88671875" style="109" customWidth="1"/>
    <col min="4958" max="4961" width="8.77734375" style="109"/>
    <col min="4962" max="4962" width="8.5546875" style="109" customWidth="1"/>
    <col min="4963" max="4963" width="30.33203125" style="109" customWidth="1"/>
    <col min="4964" max="4964" width="9" style="109" bestFit="1" customWidth="1"/>
    <col min="4965" max="4965" width="8.77734375" style="109"/>
    <col min="4966" max="4966" width="5.88671875" style="109" customWidth="1"/>
    <col min="4967" max="4967" width="6.88671875" style="109" customWidth="1"/>
    <col min="4968" max="4968" width="23.88671875" style="109" customWidth="1"/>
    <col min="4969" max="4975" width="8.77734375" style="109"/>
    <col min="4976" max="4976" width="9" style="109" bestFit="1" customWidth="1"/>
    <col min="4977" max="4978" width="8.77734375" style="109"/>
    <col min="4979" max="4979" width="32.88671875" style="109" customWidth="1"/>
    <col min="4980" max="4980" width="16.6640625" style="109" customWidth="1"/>
    <col min="4981" max="4981" width="10.21875" style="109" customWidth="1"/>
    <col min="4982" max="4982" width="12.44140625" style="109" customWidth="1"/>
    <col min="4983" max="4983" width="10" style="109" bestFit="1" customWidth="1"/>
    <col min="4984" max="4984" width="8.77734375" style="109"/>
    <col min="4985" max="4985" width="9" style="109" bestFit="1" customWidth="1"/>
    <col min="4986" max="4987" width="8.77734375" style="109"/>
    <col min="4988" max="4988" width="11.6640625" style="109" customWidth="1"/>
    <col min="4989" max="4989" width="8.77734375" style="109"/>
    <col min="4990" max="4990" width="28.77734375" style="109" customWidth="1"/>
    <col min="4991" max="4991" width="12.33203125" style="109" customWidth="1"/>
    <col min="4992" max="4992" width="11.21875" style="109" customWidth="1"/>
    <col min="4993" max="5120" width="8.77734375" style="109"/>
    <col min="5121" max="5121" width="5.6640625" style="109" customWidth="1"/>
    <col min="5122" max="5122" width="26.5546875" style="109" customWidth="1"/>
    <col min="5123" max="5123" width="11.44140625" style="109" customWidth="1"/>
    <col min="5124" max="5124" width="7.44140625" style="109" customWidth="1"/>
    <col min="5125" max="5125" width="8.5546875" style="109" customWidth="1"/>
    <col min="5126" max="5126" width="12.33203125" style="109" customWidth="1"/>
    <col min="5127" max="5127" width="11.77734375" style="109" customWidth="1"/>
    <col min="5128" max="5128" width="8.21875" style="109" customWidth="1"/>
    <col min="5129" max="5129" width="12" style="109" customWidth="1"/>
    <col min="5130" max="5130" width="8.77734375" style="109" customWidth="1"/>
    <col min="5131" max="5131" width="11.109375" style="109" customWidth="1"/>
    <col min="5132" max="5132" width="12.88671875" style="109" customWidth="1"/>
    <col min="5133" max="5133" width="12.5546875" style="109" customWidth="1"/>
    <col min="5134" max="5134" width="9.6640625" style="109" customWidth="1"/>
    <col min="5135" max="5135" width="9.88671875" style="109" customWidth="1"/>
    <col min="5136" max="5136" width="11.33203125" style="109" customWidth="1"/>
    <col min="5137" max="5137" width="11.5546875" style="109" customWidth="1"/>
    <col min="5138" max="5138" width="11.6640625" style="109" customWidth="1"/>
    <col min="5139" max="5139" width="10.33203125" style="109" customWidth="1"/>
    <col min="5140" max="5140" width="11.77734375" style="109" customWidth="1"/>
    <col min="5141" max="5141" width="12.109375" style="109" customWidth="1"/>
    <col min="5142" max="5142" width="11" style="109" customWidth="1"/>
    <col min="5143" max="5143" width="12.109375" style="109" customWidth="1"/>
    <col min="5144" max="5144" width="10.5546875" style="109" customWidth="1"/>
    <col min="5145" max="5145" width="9.88671875" style="109" customWidth="1"/>
    <col min="5146" max="5146" width="10.77734375" style="109" customWidth="1"/>
    <col min="5147" max="5147" width="9.77734375" style="109" customWidth="1"/>
    <col min="5148" max="5148" width="11.21875" style="109" customWidth="1"/>
    <col min="5149" max="5149" width="10.33203125" style="109" customWidth="1"/>
    <col min="5150" max="5150" width="11.88671875" style="109" customWidth="1"/>
    <col min="5151" max="5151" width="8.77734375" style="109"/>
    <col min="5152" max="5152" width="13.88671875" style="109" customWidth="1"/>
    <col min="5153" max="5153" width="10.88671875" style="109" customWidth="1"/>
    <col min="5154" max="5154" width="11.44140625" style="109" customWidth="1"/>
    <col min="5155" max="5155" width="11.77734375" style="109" customWidth="1"/>
    <col min="5156" max="5156" width="11.109375" style="109" customWidth="1"/>
    <col min="5157" max="5157" width="10.88671875" style="109" customWidth="1"/>
    <col min="5158" max="5161" width="8.77734375" style="109"/>
    <col min="5162" max="5162" width="11.44140625" style="109" bestFit="1" customWidth="1"/>
    <col min="5163" max="5163" width="10.21875" style="109" customWidth="1"/>
    <col min="5164" max="5164" width="11.5546875" style="109" customWidth="1"/>
    <col min="5165" max="5165" width="12.109375" style="109" customWidth="1"/>
    <col min="5166" max="5166" width="13.21875" style="109" customWidth="1"/>
    <col min="5167" max="5167" width="14.109375" style="109" customWidth="1"/>
    <col min="5168" max="5168" width="11.77734375" style="109" customWidth="1"/>
    <col min="5169" max="5169" width="9.6640625" style="109" customWidth="1"/>
    <col min="5170" max="5173" width="8.77734375" style="109"/>
    <col min="5174" max="5174" width="28.77734375" style="109" customWidth="1"/>
    <col min="5175" max="5175" width="11.77734375" style="109" customWidth="1"/>
    <col min="5176" max="5176" width="10" style="109" customWidth="1"/>
    <col min="5177" max="5177" width="10.44140625" style="109" customWidth="1"/>
    <col min="5178" max="5179" width="8.77734375" style="109"/>
    <col min="5180" max="5180" width="9.33203125" style="109" customWidth="1"/>
    <col min="5181" max="5181" width="18.44140625" style="109" customWidth="1"/>
    <col min="5182" max="5182" width="11" style="109" customWidth="1"/>
    <col min="5183" max="5183" width="9.5546875" style="109" customWidth="1"/>
    <col min="5184" max="5184" width="10.6640625" style="109" customWidth="1"/>
    <col min="5185" max="5185" width="9.88671875" style="109" customWidth="1"/>
    <col min="5186" max="5186" width="11.44140625" style="109" customWidth="1"/>
    <col min="5187" max="5187" width="9.88671875" style="109" customWidth="1"/>
    <col min="5188" max="5188" width="10" style="109" customWidth="1"/>
    <col min="5189" max="5189" width="6.77734375" style="109" customWidth="1"/>
    <col min="5190" max="5190" width="12.5546875" style="109" customWidth="1"/>
    <col min="5191" max="5191" width="9.5546875" style="109" customWidth="1"/>
    <col min="5192" max="5192" width="10.33203125" style="109" customWidth="1"/>
    <col min="5193" max="5193" width="7.77734375" style="109" customWidth="1"/>
    <col min="5194" max="5194" width="7.21875" style="109" customWidth="1"/>
    <col min="5195" max="5195" width="17.6640625" style="109" customWidth="1"/>
    <col min="5196" max="5196" width="8.77734375" style="109" customWidth="1"/>
    <col min="5197" max="5197" width="13.109375" style="109" bestFit="1" customWidth="1"/>
    <col min="5198" max="5198" width="13.77734375" style="109" customWidth="1"/>
    <col min="5199" max="5200" width="8.77734375" style="109"/>
    <col min="5201" max="5201" width="9" style="109" bestFit="1" customWidth="1"/>
    <col min="5202" max="5210" width="8.77734375" style="109"/>
    <col min="5211" max="5211" width="13.109375" style="109" customWidth="1"/>
    <col min="5212" max="5212" width="8.77734375" style="109"/>
    <col min="5213" max="5213" width="9.88671875" style="109" customWidth="1"/>
    <col min="5214" max="5217" width="8.77734375" style="109"/>
    <col min="5218" max="5218" width="8.5546875" style="109" customWidth="1"/>
    <col min="5219" max="5219" width="30.33203125" style="109" customWidth="1"/>
    <col min="5220" max="5220" width="9" style="109" bestFit="1" customWidth="1"/>
    <col min="5221" max="5221" width="8.77734375" style="109"/>
    <col min="5222" max="5222" width="5.88671875" style="109" customWidth="1"/>
    <col min="5223" max="5223" width="6.88671875" style="109" customWidth="1"/>
    <col min="5224" max="5224" width="23.88671875" style="109" customWidth="1"/>
    <col min="5225" max="5231" width="8.77734375" style="109"/>
    <col min="5232" max="5232" width="9" style="109" bestFit="1" customWidth="1"/>
    <col min="5233" max="5234" width="8.77734375" style="109"/>
    <col min="5235" max="5235" width="32.88671875" style="109" customWidth="1"/>
    <col min="5236" max="5236" width="16.6640625" style="109" customWidth="1"/>
    <col min="5237" max="5237" width="10.21875" style="109" customWidth="1"/>
    <col min="5238" max="5238" width="12.44140625" style="109" customWidth="1"/>
    <col min="5239" max="5239" width="10" style="109" bestFit="1" customWidth="1"/>
    <col min="5240" max="5240" width="8.77734375" style="109"/>
    <col min="5241" max="5241" width="9" style="109" bestFit="1" customWidth="1"/>
    <col min="5242" max="5243" width="8.77734375" style="109"/>
    <col min="5244" max="5244" width="11.6640625" style="109" customWidth="1"/>
    <col min="5245" max="5245" width="8.77734375" style="109"/>
    <col min="5246" max="5246" width="28.77734375" style="109" customWidth="1"/>
    <col min="5247" max="5247" width="12.33203125" style="109" customWidth="1"/>
    <col min="5248" max="5248" width="11.21875" style="109" customWidth="1"/>
    <col min="5249" max="5376" width="8.77734375" style="109"/>
    <col min="5377" max="5377" width="5.6640625" style="109" customWidth="1"/>
    <col min="5378" max="5378" width="26.5546875" style="109" customWidth="1"/>
    <col min="5379" max="5379" width="11.44140625" style="109" customWidth="1"/>
    <col min="5380" max="5380" width="7.44140625" style="109" customWidth="1"/>
    <col min="5381" max="5381" width="8.5546875" style="109" customWidth="1"/>
    <col min="5382" max="5382" width="12.33203125" style="109" customWidth="1"/>
    <col min="5383" max="5383" width="11.77734375" style="109" customWidth="1"/>
    <col min="5384" max="5384" width="8.21875" style="109" customWidth="1"/>
    <col min="5385" max="5385" width="12" style="109" customWidth="1"/>
    <col min="5386" max="5386" width="8.77734375" style="109" customWidth="1"/>
    <col min="5387" max="5387" width="11.109375" style="109" customWidth="1"/>
    <col min="5388" max="5388" width="12.88671875" style="109" customWidth="1"/>
    <col min="5389" max="5389" width="12.5546875" style="109" customWidth="1"/>
    <col min="5390" max="5390" width="9.6640625" style="109" customWidth="1"/>
    <col min="5391" max="5391" width="9.88671875" style="109" customWidth="1"/>
    <col min="5392" max="5392" width="11.33203125" style="109" customWidth="1"/>
    <col min="5393" max="5393" width="11.5546875" style="109" customWidth="1"/>
    <col min="5394" max="5394" width="11.6640625" style="109" customWidth="1"/>
    <col min="5395" max="5395" width="10.33203125" style="109" customWidth="1"/>
    <col min="5396" max="5396" width="11.77734375" style="109" customWidth="1"/>
    <col min="5397" max="5397" width="12.109375" style="109" customWidth="1"/>
    <col min="5398" max="5398" width="11" style="109" customWidth="1"/>
    <col min="5399" max="5399" width="12.109375" style="109" customWidth="1"/>
    <col min="5400" max="5400" width="10.5546875" style="109" customWidth="1"/>
    <col min="5401" max="5401" width="9.88671875" style="109" customWidth="1"/>
    <col min="5402" max="5402" width="10.77734375" style="109" customWidth="1"/>
    <col min="5403" max="5403" width="9.77734375" style="109" customWidth="1"/>
    <col min="5404" max="5404" width="11.21875" style="109" customWidth="1"/>
    <col min="5405" max="5405" width="10.33203125" style="109" customWidth="1"/>
    <col min="5406" max="5406" width="11.88671875" style="109" customWidth="1"/>
    <col min="5407" max="5407" width="8.77734375" style="109"/>
    <col min="5408" max="5408" width="13.88671875" style="109" customWidth="1"/>
    <col min="5409" max="5409" width="10.88671875" style="109" customWidth="1"/>
    <col min="5410" max="5410" width="11.44140625" style="109" customWidth="1"/>
    <col min="5411" max="5411" width="11.77734375" style="109" customWidth="1"/>
    <col min="5412" max="5412" width="11.109375" style="109" customWidth="1"/>
    <col min="5413" max="5413" width="10.88671875" style="109" customWidth="1"/>
    <col min="5414" max="5417" width="8.77734375" style="109"/>
    <col min="5418" max="5418" width="11.44140625" style="109" bestFit="1" customWidth="1"/>
    <col min="5419" max="5419" width="10.21875" style="109" customWidth="1"/>
    <col min="5420" max="5420" width="11.5546875" style="109" customWidth="1"/>
    <col min="5421" max="5421" width="12.109375" style="109" customWidth="1"/>
    <col min="5422" max="5422" width="13.21875" style="109" customWidth="1"/>
    <col min="5423" max="5423" width="14.109375" style="109" customWidth="1"/>
    <col min="5424" max="5424" width="11.77734375" style="109" customWidth="1"/>
    <col min="5425" max="5425" width="9.6640625" style="109" customWidth="1"/>
    <col min="5426" max="5429" width="8.77734375" style="109"/>
    <col min="5430" max="5430" width="28.77734375" style="109" customWidth="1"/>
    <col min="5431" max="5431" width="11.77734375" style="109" customWidth="1"/>
    <col min="5432" max="5432" width="10" style="109" customWidth="1"/>
    <col min="5433" max="5433" width="10.44140625" style="109" customWidth="1"/>
    <col min="5434" max="5435" width="8.77734375" style="109"/>
    <col min="5436" max="5436" width="9.33203125" style="109" customWidth="1"/>
    <col min="5437" max="5437" width="18.44140625" style="109" customWidth="1"/>
    <col min="5438" max="5438" width="11" style="109" customWidth="1"/>
    <col min="5439" max="5439" width="9.5546875" style="109" customWidth="1"/>
    <col min="5440" max="5440" width="10.6640625" style="109" customWidth="1"/>
    <col min="5441" max="5441" width="9.88671875" style="109" customWidth="1"/>
    <col min="5442" max="5442" width="11.44140625" style="109" customWidth="1"/>
    <col min="5443" max="5443" width="9.88671875" style="109" customWidth="1"/>
    <col min="5444" max="5444" width="10" style="109" customWidth="1"/>
    <col min="5445" max="5445" width="6.77734375" style="109" customWidth="1"/>
    <col min="5446" max="5446" width="12.5546875" style="109" customWidth="1"/>
    <col min="5447" max="5447" width="9.5546875" style="109" customWidth="1"/>
    <col min="5448" max="5448" width="10.33203125" style="109" customWidth="1"/>
    <col min="5449" max="5449" width="7.77734375" style="109" customWidth="1"/>
    <col min="5450" max="5450" width="7.21875" style="109" customWidth="1"/>
    <col min="5451" max="5451" width="17.6640625" style="109" customWidth="1"/>
    <col min="5452" max="5452" width="8.77734375" style="109" customWidth="1"/>
    <col min="5453" max="5453" width="13.109375" style="109" bestFit="1" customWidth="1"/>
    <col min="5454" max="5454" width="13.77734375" style="109" customWidth="1"/>
    <col min="5455" max="5456" width="8.77734375" style="109"/>
    <col min="5457" max="5457" width="9" style="109" bestFit="1" customWidth="1"/>
    <col min="5458" max="5466" width="8.77734375" style="109"/>
    <col min="5467" max="5467" width="13.109375" style="109" customWidth="1"/>
    <col min="5468" max="5468" width="8.77734375" style="109"/>
    <col min="5469" max="5469" width="9.88671875" style="109" customWidth="1"/>
    <col min="5470" max="5473" width="8.77734375" style="109"/>
    <col min="5474" max="5474" width="8.5546875" style="109" customWidth="1"/>
    <col min="5475" max="5475" width="30.33203125" style="109" customWidth="1"/>
    <col min="5476" max="5476" width="9" style="109" bestFit="1" customWidth="1"/>
    <col min="5477" max="5477" width="8.77734375" style="109"/>
    <col min="5478" max="5478" width="5.88671875" style="109" customWidth="1"/>
    <col min="5479" max="5479" width="6.88671875" style="109" customWidth="1"/>
    <col min="5480" max="5480" width="23.88671875" style="109" customWidth="1"/>
    <col min="5481" max="5487" width="8.77734375" style="109"/>
    <col min="5488" max="5488" width="9" style="109" bestFit="1" customWidth="1"/>
    <col min="5489" max="5490" width="8.77734375" style="109"/>
    <col min="5491" max="5491" width="32.88671875" style="109" customWidth="1"/>
    <col min="5492" max="5492" width="16.6640625" style="109" customWidth="1"/>
    <col min="5493" max="5493" width="10.21875" style="109" customWidth="1"/>
    <col min="5494" max="5494" width="12.44140625" style="109" customWidth="1"/>
    <col min="5495" max="5495" width="10" style="109" bestFit="1" customWidth="1"/>
    <col min="5496" max="5496" width="8.77734375" style="109"/>
    <col min="5497" max="5497" width="9" style="109" bestFit="1" customWidth="1"/>
    <col min="5498" max="5499" width="8.77734375" style="109"/>
    <col min="5500" max="5500" width="11.6640625" style="109" customWidth="1"/>
    <col min="5501" max="5501" width="8.77734375" style="109"/>
    <col min="5502" max="5502" width="28.77734375" style="109" customWidth="1"/>
    <col min="5503" max="5503" width="12.33203125" style="109" customWidth="1"/>
    <col min="5504" max="5504" width="11.21875" style="109" customWidth="1"/>
    <col min="5505" max="5632" width="8.77734375" style="109"/>
    <col min="5633" max="5633" width="5.6640625" style="109" customWidth="1"/>
    <col min="5634" max="5634" width="26.5546875" style="109" customWidth="1"/>
    <col min="5635" max="5635" width="11.44140625" style="109" customWidth="1"/>
    <col min="5636" max="5636" width="7.44140625" style="109" customWidth="1"/>
    <col min="5637" max="5637" width="8.5546875" style="109" customWidth="1"/>
    <col min="5638" max="5638" width="12.33203125" style="109" customWidth="1"/>
    <col min="5639" max="5639" width="11.77734375" style="109" customWidth="1"/>
    <col min="5640" max="5640" width="8.21875" style="109" customWidth="1"/>
    <col min="5641" max="5641" width="12" style="109" customWidth="1"/>
    <col min="5642" max="5642" width="8.77734375" style="109" customWidth="1"/>
    <col min="5643" max="5643" width="11.109375" style="109" customWidth="1"/>
    <col min="5644" max="5644" width="12.88671875" style="109" customWidth="1"/>
    <col min="5645" max="5645" width="12.5546875" style="109" customWidth="1"/>
    <col min="5646" max="5646" width="9.6640625" style="109" customWidth="1"/>
    <col min="5647" max="5647" width="9.88671875" style="109" customWidth="1"/>
    <col min="5648" max="5648" width="11.33203125" style="109" customWidth="1"/>
    <col min="5649" max="5649" width="11.5546875" style="109" customWidth="1"/>
    <col min="5650" max="5650" width="11.6640625" style="109" customWidth="1"/>
    <col min="5651" max="5651" width="10.33203125" style="109" customWidth="1"/>
    <col min="5652" max="5652" width="11.77734375" style="109" customWidth="1"/>
    <col min="5653" max="5653" width="12.109375" style="109" customWidth="1"/>
    <col min="5654" max="5654" width="11" style="109" customWidth="1"/>
    <col min="5655" max="5655" width="12.109375" style="109" customWidth="1"/>
    <col min="5656" max="5656" width="10.5546875" style="109" customWidth="1"/>
    <col min="5657" max="5657" width="9.88671875" style="109" customWidth="1"/>
    <col min="5658" max="5658" width="10.77734375" style="109" customWidth="1"/>
    <col min="5659" max="5659" width="9.77734375" style="109" customWidth="1"/>
    <col min="5660" max="5660" width="11.21875" style="109" customWidth="1"/>
    <col min="5661" max="5661" width="10.33203125" style="109" customWidth="1"/>
    <col min="5662" max="5662" width="11.88671875" style="109" customWidth="1"/>
    <col min="5663" max="5663" width="8.77734375" style="109"/>
    <col min="5664" max="5664" width="13.88671875" style="109" customWidth="1"/>
    <col min="5665" max="5665" width="10.88671875" style="109" customWidth="1"/>
    <col min="5666" max="5666" width="11.44140625" style="109" customWidth="1"/>
    <col min="5667" max="5667" width="11.77734375" style="109" customWidth="1"/>
    <col min="5668" max="5668" width="11.109375" style="109" customWidth="1"/>
    <col min="5669" max="5669" width="10.88671875" style="109" customWidth="1"/>
    <col min="5670" max="5673" width="8.77734375" style="109"/>
    <col min="5674" max="5674" width="11.44140625" style="109" bestFit="1" customWidth="1"/>
    <col min="5675" max="5675" width="10.21875" style="109" customWidth="1"/>
    <col min="5676" max="5676" width="11.5546875" style="109" customWidth="1"/>
    <col min="5677" max="5677" width="12.109375" style="109" customWidth="1"/>
    <col min="5678" max="5678" width="13.21875" style="109" customWidth="1"/>
    <col min="5679" max="5679" width="14.109375" style="109" customWidth="1"/>
    <col min="5680" max="5680" width="11.77734375" style="109" customWidth="1"/>
    <col min="5681" max="5681" width="9.6640625" style="109" customWidth="1"/>
    <col min="5682" max="5685" width="8.77734375" style="109"/>
    <col min="5686" max="5686" width="28.77734375" style="109" customWidth="1"/>
    <col min="5687" max="5687" width="11.77734375" style="109" customWidth="1"/>
    <col min="5688" max="5688" width="10" style="109" customWidth="1"/>
    <col min="5689" max="5689" width="10.44140625" style="109" customWidth="1"/>
    <col min="5690" max="5691" width="8.77734375" style="109"/>
    <col min="5692" max="5692" width="9.33203125" style="109" customWidth="1"/>
    <col min="5693" max="5693" width="18.44140625" style="109" customWidth="1"/>
    <col min="5694" max="5694" width="11" style="109" customWidth="1"/>
    <col min="5695" max="5695" width="9.5546875" style="109" customWidth="1"/>
    <col min="5696" max="5696" width="10.6640625" style="109" customWidth="1"/>
    <col min="5697" max="5697" width="9.88671875" style="109" customWidth="1"/>
    <col min="5698" max="5698" width="11.44140625" style="109" customWidth="1"/>
    <col min="5699" max="5699" width="9.88671875" style="109" customWidth="1"/>
    <col min="5700" max="5700" width="10" style="109" customWidth="1"/>
    <col min="5701" max="5701" width="6.77734375" style="109" customWidth="1"/>
    <col min="5702" max="5702" width="12.5546875" style="109" customWidth="1"/>
    <col min="5703" max="5703" width="9.5546875" style="109" customWidth="1"/>
    <col min="5704" max="5704" width="10.33203125" style="109" customWidth="1"/>
    <col min="5705" max="5705" width="7.77734375" style="109" customWidth="1"/>
    <col min="5706" max="5706" width="7.21875" style="109" customWidth="1"/>
    <col min="5707" max="5707" width="17.6640625" style="109" customWidth="1"/>
    <col min="5708" max="5708" width="8.77734375" style="109" customWidth="1"/>
    <col min="5709" max="5709" width="13.109375" style="109" bestFit="1" customWidth="1"/>
    <col min="5710" max="5710" width="13.77734375" style="109" customWidth="1"/>
    <col min="5711" max="5712" width="8.77734375" style="109"/>
    <col min="5713" max="5713" width="9" style="109" bestFit="1" customWidth="1"/>
    <col min="5714" max="5722" width="8.77734375" style="109"/>
    <col min="5723" max="5723" width="13.109375" style="109" customWidth="1"/>
    <col min="5724" max="5724" width="8.77734375" style="109"/>
    <col min="5725" max="5725" width="9.88671875" style="109" customWidth="1"/>
    <col min="5726" max="5729" width="8.77734375" style="109"/>
    <col min="5730" max="5730" width="8.5546875" style="109" customWidth="1"/>
    <col min="5731" max="5731" width="30.33203125" style="109" customWidth="1"/>
    <col min="5732" max="5732" width="9" style="109" bestFit="1" customWidth="1"/>
    <col min="5733" max="5733" width="8.77734375" style="109"/>
    <col min="5734" max="5734" width="5.88671875" style="109" customWidth="1"/>
    <col min="5735" max="5735" width="6.88671875" style="109" customWidth="1"/>
    <col min="5736" max="5736" width="23.88671875" style="109" customWidth="1"/>
    <col min="5737" max="5743" width="8.77734375" style="109"/>
    <col min="5744" max="5744" width="9" style="109" bestFit="1" customWidth="1"/>
    <col min="5745" max="5746" width="8.77734375" style="109"/>
    <col min="5747" max="5747" width="32.88671875" style="109" customWidth="1"/>
    <col min="5748" max="5748" width="16.6640625" style="109" customWidth="1"/>
    <col min="5749" max="5749" width="10.21875" style="109" customWidth="1"/>
    <col min="5750" max="5750" width="12.44140625" style="109" customWidth="1"/>
    <col min="5751" max="5751" width="10" style="109" bestFit="1" customWidth="1"/>
    <col min="5752" max="5752" width="8.77734375" style="109"/>
    <col min="5753" max="5753" width="9" style="109" bestFit="1" customWidth="1"/>
    <col min="5754" max="5755" width="8.77734375" style="109"/>
    <col min="5756" max="5756" width="11.6640625" style="109" customWidth="1"/>
    <col min="5757" max="5757" width="8.77734375" style="109"/>
    <col min="5758" max="5758" width="28.77734375" style="109" customWidth="1"/>
    <col min="5759" max="5759" width="12.33203125" style="109" customWidth="1"/>
    <col min="5760" max="5760" width="11.21875" style="109" customWidth="1"/>
    <col min="5761" max="5888" width="8.77734375" style="109"/>
    <col min="5889" max="5889" width="5.6640625" style="109" customWidth="1"/>
    <col min="5890" max="5890" width="26.5546875" style="109" customWidth="1"/>
    <col min="5891" max="5891" width="11.44140625" style="109" customWidth="1"/>
    <col min="5892" max="5892" width="7.44140625" style="109" customWidth="1"/>
    <col min="5893" max="5893" width="8.5546875" style="109" customWidth="1"/>
    <col min="5894" max="5894" width="12.33203125" style="109" customWidth="1"/>
    <col min="5895" max="5895" width="11.77734375" style="109" customWidth="1"/>
    <col min="5896" max="5896" width="8.21875" style="109" customWidth="1"/>
    <col min="5897" max="5897" width="12" style="109" customWidth="1"/>
    <col min="5898" max="5898" width="8.77734375" style="109" customWidth="1"/>
    <col min="5899" max="5899" width="11.109375" style="109" customWidth="1"/>
    <col min="5900" max="5900" width="12.88671875" style="109" customWidth="1"/>
    <col min="5901" max="5901" width="12.5546875" style="109" customWidth="1"/>
    <col min="5902" max="5902" width="9.6640625" style="109" customWidth="1"/>
    <col min="5903" max="5903" width="9.88671875" style="109" customWidth="1"/>
    <col min="5904" max="5904" width="11.33203125" style="109" customWidth="1"/>
    <col min="5905" max="5905" width="11.5546875" style="109" customWidth="1"/>
    <col min="5906" max="5906" width="11.6640625" style="109" customWidth="1"/>
    <col min="5907" max="5907" width="10.33203125" style="109" customWidth="1"/>
    <col min="5908" max="5908" width="11.77734375" style="109" customWidth="1"/>
    <col min="5909" max="5909" width="12.109375" style="109" customWidth="1"/>
    <col min="5910" max="5910" width="11" style="109" customWidth="1"/>
    <col min="5911" max="5911" width="12.109375" style="109" customWidth="1"/>
    <col min="5912" max="5912" width="10.5546875" style="109" customWidth="1"/>
    <col min="5913" max="5913" width="9.88671875" style="109" customWidth="1"/>
    <col min="5914" max="5914" width="10.77734375" style="109" customWidth="1"/>
    <col min="5915" max="5915" width="9.77734375" style="109" customWidth="1"/>
    <col min="5916" max="5916" width="11.21875" style="109" customWidth="1"/>
    <col min="5917" max="5917" width="10.33203125" style="109" customWidth="1"/>
    <col min="5918" max="5918" width="11.88671875" style="109" customWidth="1"/>
    <col min="5919" max="5919" width="8.77734375" style="109"/>
    <col min="5920" max="5920" width="13.88671875" style="109" customWidth="1"/>
    <col min="5921" max="5921" width="10.88671875" style="109" customWidth="1"/>
    <col min="5922" max="5922" width="11.44140625" style="109" customWidth="1"/>
    <col min="5923" max="5923" width="11.77734375" style="109" customWidth="1"/>
    <col min="5924" max="5924" width="11.109375" style="109" customWidth="1"/>
    <col min="5925" max="5925" width="10.88671875" style="109" customWidth="1"/>
    <col min="5926" max="5929" width="8.77734375" style="109"/>
    <col min="5930" max="5930" width="11.44140625" style="109" bestFit="1" customWidth="1"/>
    <col min="5931" max="5931" width="10.21875" style="109" customWidth="1"/>
    <col min="5932" max="5932" width="11.5546875" style="109" customWidth="1"/>
    <col min="5933" max="5933" width="12.109375" style="109" customWidth="1"/>
    <col min="5934" max="5934" width="13.21875" style="109" customWidth="1"/>
    <col min="5935" max="5935" width="14.109375" style="109" customWidth="1"/>
    <col min="5936" max="5936" width="11.77734375" style="109" customWidth="1"/>
    <col min="5937" max="5937" width="9.6640625" style="109" customWidth="1"/>
    <col min="5938" max="5941" width="8.77734375" style="109"/>
    <col min="5942" max="5942" width="28.77734375" style="109" customWidth="1"/>
    <col min="5943" max="5943" width="11.77734375" style="109" customWidth="1"/>
    <col min="5944" max="5944" width="10" style="109" customWidth="1"/>
    <col min="5945" max="5945" width="10.44140625" style="109" customWidth="1"/>
    <col min="5946" max="5947" width="8.77734375" style="109"/>
    <col min="5948" max="5948" width="9.33203125" style="109" customWidth="1"/>
    <col min="5949" max="5949" width="18.44140625" style="109" customWidth="1"/>
    <col min="5950" max="5950" width="11" style="109" customWidth="1"/>
    <col min="5951" max="5951" width="9.5546875" style="109" customWidth="1"/>
    <col min="5952" max="5952" width="10.6640625" style="109" customWidth="1"/>
    <col min="5953" max="5953" width="9.88671875" style="109" customWidth="1"/>
    <col min="5954" max="5954" width="11.44140625" style="109" customWidth="1"/>
    <col min="5955" max="5955" width="9.88671875" style="109" customWidth="1"/>
    <col min="5956" max="5956" width="10" style="109" customWidth="1"/>
    <col min="5957" max="5957" width="6.77734375" style="109" customWidth="1"/>
    <col min="5958" max="5958" width="12.5546875" style="109" customWidth="1"/>
    <col min="5959" max="5959" width="9.5546875" style="109" customWidth="1"/>
    <col min="5960" max="5960" width="10.33203125" style="109" customWidth="1"/>
    <col min="5961" max="5961" width="7.77734375" style="109" customWidth="1"/>
    <col min="5962" max="5962" width="7.21875" style="109" customWidth="1"/>
    <col min="5963" max="5963" width="17.6640625" style="109" customWidth="1"/>
    <col min="5964" max="5964" width="8.77734375" style="109" customWidth="1"/>
    <col min="5965" max="5965" width="13.109375" style="109" bestFit="1" customWidth="1"/>
    <col min="5966" max="5966" width="13.77734375" style="109" customWidth="1"/>
    <col min="5967" max="5968" width="8.77734375" style="109"/>
    <col min="5969" max="5969" width="9" style="109" bestFit="1" customWidth="1"/>
    <col min="5970" max="5978" width="8.77734375" style="109"/>
    <col min="5979" max="5979" width="13.109375" style="109" customWidth="1"/>
    <col min="5980" max="5980" width="8.77734375" style="109"/>
    <col min="5981" max="5981" width="9.88671875" style="109" customWidth="1"/>
    <col min="5982" max="5985" width="8.77734375" style="109"/>
    <col min="5986" max="5986" width="8.5546875" style="109" customWidth="1"/>
    <col min="5987" max="5987" width="30.33203125" style="109" customWidth="1"/>
    <col min="5988" max="5988" width="9" style="109" bestFit="1" customWidth="1"/>
    <col min="5989" max="5989" width="8.77734375" style="109"/>
    <col min="5990" max="5990" width="5.88671875" style="109" customWidth="1"/>
    <col min="5991" max="5991" width="6.88671875" style="109" customWidth="1"/>
    <col min="5992" max="5992" width="23.88671875" style="109" customWidth="1"/>
    <col min="5993" max="5999" width="8.77734375" style="109"/>
    <col min="6000" max="6000" width="9" style="109" bestFit="1" customWidth="1"/>
    <col min="6001" max="6002" width="8.77734375" style="109"/>
    <col min="6003" max="6003" width="32.88671875" style="109" customWidth="1"/>
    <col min="6004" max="6004" width="16.6640625" style="109" customWidth="1"/>
    <col min="6005" max="6005" width="10.21875" style="109" customWidth="1"/>
    <col min="6006" max="6006" width="12.44140625" style="109" customWidth="1"/>
    <col min="6007" max="6007" width="10" style="109" bestFit="1" customWidth="1"/>
    <col min="6008" max="6008" width="8.77734375" style="109"/>
    <col min="6009" max="6009" width="9" style="109" bestFit="1" customWidth="1"/>
    <col min="6010" max="6011" width="8.77734375" style="109"/>
    <col min="6012" max="6012" width="11.6640625" style="109" customWidth="1"/>
    <col min="6013" max="6013" width="8.77734375" style="109"/>
    <col min="6014" max="6014" width="28.77734375" style="109" customWidth="1"/>
    <col min="6015" max="6015" width="12.33203125" style="109" customWidth="1"/>
    <col min="6016" max="6016" width="11.21875" style="109" customWidth="1"/>
    <col min="6017" max="6144" width="8.77734375" style="109"/>
    <col min="6145" max="6145" width="5.6640625" style="109" customWidth="1"/>
    <col min="6146" max="6146" width="26.5546875" style="109" customWidth="1"/>
    <col min="6147" max="6147" width="11.44140625" style="109" customWidth="1"/>
    <col min="6148" max="6148" width="7.44140625" style="109" customWidth="1"/>
    <col min="6149" max="6149" width="8.5546875" style="109" customWidth="1"/>
    <col min="6150" max="6150" width="12.33203125" style="109" customWidth="1"/>
    <col min="6151" max="6151" width="11.77734375" style="109" customWidth="1"/>
    <col min="6152" max="6152" width="8.21875" style="109" customWidth="1"/>
    <col min="6153" max="6153" width="12" style="109" customWidth="1"/>
    <col min="6154" max="6154" width="8.77734375" style="109" customWidth="1"/>
    <col min="6155" max="6155" width="11.109375" style="109" customWidth="1"/>
    <col min="6156" max="6156" width="12.88671875" style="109" customWidth="1"/>
    <col min="6157" max="6157" width="12.5546875" style="109" customWidth="1"/>
    <col min="6158" max="6158" width="9.6640625" style="109" customWidth="1"/>
    <col min="6159" max="6159" width="9.88671875" style="109" customWidth="1"/>
    <col min="6160" max="6160" width="11.33203125" style="109" customWidth="1"/>
    <col min="6161" max="6161" width="11.5546875" style="109" customWidth="1"/>
    <col min="6162" max="6162" width="11.6640625" style="109" customWidth="1"/>
    <col min="6163" max="6163" width="10.33203125" style="109" customWidth="1"/>
    <col min="6164" max="6164" width="11.77734375" style="109" customWidth="1"/>
    <col min="6165" max="6165" width="12.109375" style="109" customWidth="1"/>
    <col min="6166" max="6166" width="11" style="109" customWidth="1"/>
    <col min="6167" max="6167" width="12.109375" style="109" customWidth="1"/>
    <col min="6168" max="6168" width="10.5546875" style="109" customWidth="1"/>
    <col min="6169" max="6169" width="9.88671875" style="109" customWidth="1"/>
    <col min="6170" max="6170" width="10.77734375" style="109" customWidth="1"/>
    <col min="6171" max="6171" width="9.77734375" style="109" customWidth="1"/>
    <col min="6172" max="6172" width="11.21875" style="109" customWidth="1"/>
    <col min="6173" max="6173" width="10.33203125" style="109" customWidth="1"/>
    <col min="6174" max="6174" width="11.88671875" style="109" customWidth="1"/>
    <col min="6175" max="6175" width="8.77734375" style="109"/>
    <col min="6176" max="6176" width="13.88671875" style="109" customWidth="1"/>
    <col min="6177" max="6177" width="10.88671875" style="109" customWidth="1"/>
    <col min="6178" max="6178" width="11.44140625" style="109" customWidth="1"/>
    <col min="6179" max="6179" width="11.77734375" style="109" customWidth="1"/>
    <col min="6180" max="6180" width="11.109375" style="109" customWidth="1"/>
    <col min="6181" max="6181" width="10.88671875" style="109" customWidth="1"/>
    <col min="6182" max="6185" width="8.77734375" style="109"/>
    <col min="6186" max="6186" width="11.44140625" style="109" bestFit="1" customWidth="1"/>
    <col min="6187" max="6187" width="10.21875" style="109" customWidth="1"/>
    <col min="6188" max="6188" width="11.5546875" style="109" customWidth="1"/>
    <col min="6189" max="6189" width="12.109375" style="109" customWidth="1"/>
    <col min="6190" max="6190" width="13.21875" style="109" customWidth="1"/>
    <col min="6191" max="6191" width="14.109375" style="109" customWidth="1"/>
    <col min="6192" max="6192" width="11.77734375" style="109" customWidth="1"/>
    <col min="6193" max="6193" width="9.6640625" style="109" customWidth="1"/>
    <col min="6194" max="6197" width="8.77734375" style="109"/>
    <col min="6198" max="6198" width="28.77734375" style="109" customWidth="1"/>
    <col min="6199" max="6199" width="11.77734375" style="109" customWidth="1"/>
    <col min="6200" max="6200" width="10" style="109" customWidth="1"/>
    <col min="6201" max="6201" width="10.44140625" style="109" customWidth="1"/>
    <col min="6202" max="6203" width="8.77734375" style="109"/>
    <col min="6204" max="6204" width="9.33203125" style="109" customWidth="1"/>
    <col min="6205" max="6205" width="18.44140625" style="109" customWidth="1"/>
    <col min="6206" max="6206" width="11" style="109" customWidth="1"/>
    <col min="6207" max="6207" width="9.5546875" style="109" customWidth="1"/>
    <col min="6208" max="6208" width="10.6640625" style="109" customWidth="1"/>
    <col min="6209" max="6209" width="9.88671875" style="109" customWidth="1"/>
    <col min="6210" max="6210" width="11.44140625" style="109" customWidth="1"/>
    <col min="6211" max="6211" width="9.88671875" style="109" customWidth="1"/>
    <col min="6212" max="6212" width="10" style="109" customWidth="1"/>
    <col min="6213" max="6213" width="6.77734375" style="109" customWidth="1"/>
    <col min="6214" max="6214" width="12.5546875" style="109" customWidth="1"/>
    <col min="6215" max="6215" width="9.5546875" style="109" customWidth="1"/>
    <col min="6216" max="6216" width="10.33203125" style="109" customWidth="1"/>
    <col min="6217" max="6217" width="7.77734375" style="109" customWidth="1"/>
    <col min="6218" max="6218" width="7.21875" style="109" customWidth="1"/>
    <col min="6219" max="6219" width="17.6640625" style="109" customWidth="1"/>
    <col min="6220" max="6220" width="8.77734375" style="109" customWidth="1"/>
    <col min="6221" max="6221" width="13.109375" style="109" bestFit="1" customWidth="1"/>
    <col min="6222" max="6222" width="13.77734375" style="109" customWidth="1"/>
    <col min="6223" max="6224" width="8.77734375" style="109"/>
    <col min="6225" max="6225" width="9" style="109" bestFit="1" customWidth="1"/>
    <col min="6226" max="6234" width="8.77734375" style="109"/>
    <col min="6235" max="6235" width="13.109375" style="109" customWidth="1"/>
    <col min="6236" max="6236" width="8.77734375" style="109"/>
    <col min="6237" max="6237" width="9.88671875" style="109" customWidth="1"/>
    <col min="6238" max="6241" width="8.77734375" style="109"/>
    <col min="6242" max="6242" width="8.5546875" style="109" customWidth="1"/>
    <col min="6243" max="6243" width="30.33203125" style="109" customWidth="1"/>
    <col min="6244" max="6244" width="9" style="109" bestFit="1" customWidth="1"/>
    <col min="6245" max="6245" width="8.77734375" style="109"/>
    <col min="6246" max="6246" width="5.88671875" style="109" customWidth="1"/>
    <col min="6247" max="6247" width="6.88671875" style="109" customWidth="1"/>
    <col min="6248" max="6248" width="23.88671875" style="109" customWidth="1"/>
    <col min="6249" max="6255" width="8.77734375" style="109"/>
    <col min="6256" max="6256" width="9" style="109" bestFit="1" customWidth="1"/>
    <col min="6257" max="6258" width="8.77734375" style="109"/>
    <col min="6259" max="6259" width="32.88671875" style="109" customWidth="1"/>
    <col min="6260" max="6260" width="16.6640625" style="109" customWidth="1"/>
    <col min="6261" max="6261" width="10.21875" style="109" customWidth="1"/>
    <col min="6262" max="6262" width="12.44140625" style="109" customWidth="1"/>
    <col min="6263" max="6263" width="10" style="109" bestFit="1" customWidth="1"/>
    <col min="6264" max="6264" width="8.77734375" style="109"/>
    <col min="6265" max="6265" width="9" style="109" bestFit="1" customWidth="1"/>
    <col min="6266" max="6267" width="8.77734375" style="109"/>
    <col min="6268" max="6268" width="11.6640625" style="109" customWidth="1"/>
    <col min="6269" max="6269" width="8.77734375" style="109"/>
    <col min="6270" max="6270" width="28.77734375" style="109" customWidth="1"/>
    <col min="6271" max="6271" width="12.33203125" style="109" customWidth="1"/>
    <col min="6272" max="6272" width="11.21875" style="109" customWidth="1"/>
    <col min="6273" max="6400" width="8.77734375" style="109"/>
    <col min="6401" max="6401" width="5.6640625" style="109" customWidth="1"/>
    <col min="6402" max="6402" width="26.5546875" style="109" customWidth="1"/>
    <col min="6403" max="6403" width="11.44140625" style="109" customWidth="1"/>
    <col min="6404" max="6404" width="7.44140625" style="109" customWidth="1"/>
    <col min="6405" max="6405" width="8.5546875" style="109" customWidth="1"/>
    <col min="6406" max="6406" width="12.33203125" style="109" customWidth="1"/>
    <col min="6407" max="6407" width="11.77734375" style="109" customWidth="1"/>
    <col min="6408" max="6408" width="8.21875" style="109" customWidth="1"/>
    <col min="6409" max="6409" width="12" style="109" customWidth="1"/>
    <col min="6410" max="6410" width="8.77734375" style="109" customWidth="1"/>
    <col min="6411" max="6411" width="11.109375" style="109" customWidth="1"/>
    <col min="6412" max="6412" width="12.88671875" style="109" customWidth="1"/>
    <col min="6413" max="6413" width="12.5546875" style="109" customWidth="1"/>
    <col min="6414" max="6414" width="9.6640625" style="109" customWidth="1"/>
    <col min="6415" max="6415" width="9.88671875" style="109" customWidth="1"/>
    <col min="6416" max="6416" width="11.33203125" style="109" customWidth="1"/>
    <col min="6417" max="6417" width="11.5546875" style="109" customWidth="1"/>
    <col min="6418" max="6418" width="11.6640625" style="109" customWidth="1"/>
    <col min="6419" max="6419" width="10.33203125" style="109" customWidth="1"/>
    <col min="6420" max="6420" width="11.77734375" style="109" customWidth="1"/>
    <col min="6421" max="6421" width="12.109375" style="109" customWidth="1"/>
    <col min="6422" max="6422" width="11" style="109" customWidth="1"/>
    <col min="6423" max="6423" width="12.109375" style="109" customWidth="1"/>
    <col min="6424" max="6424" width="10.5546875" style="109" customWidth="1"/>
    <col min="6425" max="6425" width="9.88671875" style="109" customWidth="1"/>
    <col min="6426" max="6426" width="10.77734375" style="109" customWidth="1"/>
    <col min="6427" max="6427" width="9.77734375" style="109" customWidth="1"/>
    <col min="6428" max="6428" width="11.21875" style="109" customWidth="1"/>
    <col min="6429" max="6429" width="10.33203125" style="109" customWidth="1"/>
    <col min="6430" max="6430" width="11.88671875" style="109" customWidth="1"/>
    <col min="6431" max="6431" width="8.77734375" style="109"/>
    <col min="6432" max="6432" width="13.88671875" style="109" customWidth="1"/>
    <col min="6433" max="6433" width="10.88671875" style="109" customWidth="1"/>
    <col min="6434" max="6434" width="11.44140625" style="109" customWidth="1"/>
    <col min="6435" max="6435" width="11.77734375" style="109" customWidth="1"/>
    <col min="6436" max="6436" width="11.109375" style="109" customWidth="1"/>
    <col min="6437" max="6437" width="10.88671875" style="109" customWidth="1"/>
    <col min="6438" max="6441" width="8.77734375" style="109"/>
    <col min="6442" max="6442" width="11.44140625" style="109" bestFit="1" customWidth="1"/>
    <col min="6443" max="6443" width="10.21875" style="109" customWidth="1"/>
    <col min="6444" max="6444" width="11.5546875" style="109" customWidth="1"/>
    <col min="6445" max="6445" width="12.109375" style="109" customWidth="1"/>
    <col min="6446" max="6446" width="13.21875" style="109" customWidth="1"/>
    <col min="6447" max="6447" width="14.109375" style="109" customWidth="1"/>
    <col min="6448" max="6448" width="11.77734375" style="109" customWidth="1"/>
    <col min="6449" max="6449" width="9.6640625" style="109" customWidth="1"/>
    <col min="6450" max="6453" width="8.77734375" style="109"/>
    <col min="6454" max="6454" width="28.77734375" style="109" customWidth="1"/>
    <col min="6455" max="6455" width="11.77734375" style="109" customWidth="1"/>
    <col min="6456" max="6456" width="10" style="109" customWidth="1"/>
    <col min="6457" max="6457" width="10.44140625" style="109" customWidth="1"/>
    <col min="6458" max="6459" width="8.77734375" style="109"/>
    <col min="6460" max="6460" width="9.33203125" style="109" customWidth="1"/>
    <col min="6461" max="6461" width="18.44140625" style="109" customWidth="1"/>
    <col min="6462" max="6462" width="11" style="109" customWidth="1"/>
    <col min="6463" max="6463" width="9.5546875" style="109" customWidth="1"/>
    <col min="6464" max="6464" width="10.6640625" style="109" customWidth="1"/>
    <col min="6465" max="6465" width="9.88671875" style="109" customWidth="1"/>
    <col min="6466" max="6466" width="11.44140625" style="109" customWidth="1"/>
    <col min="6467" max="6467" width="9.88671875" style="109" customWidth="1"/>
    <col min="6468" max="6468" width="10" style="109" customWidth="1"/>
    <col min="6469" max="6469" width="6.77734375" style="109" customWidth="1"/>
    <col min="6470" max="6470" width="12.5546875" style="109" customWidth="1"/>
    <col min="6471" max="6471" width="9.5546875" style="109" customWidth="1"/>
    <col min="6472" max="6472" width="10.33203125" style="109" customWidth="1"/>
    <col min="6473" max="6473" width="7.77734375" style="109" customWidth="1"/>
    <col min="6474" max="6474" width="7.21875" style="109" customWidth="1"/>
    <col min="6475" max="6475" width="17.6640625" style="109" customWidth="1"/>
    <col min="6476" max="6476" width="8.77734375" style="109" customWidth="1"/>
    <col min="6477" max="6477" width="13.109375" style="109" bestFit="1" customWidth="1"/>
    <col min="6478" max="6478" width="13.77734375" style="109" customWidth="1"/>
    <col min="6479" max="6480" width="8.77734375" style="109"/>
    <col min="6481" max="6481" width="9" style="109" bestFit="1" customWidth="1"/>
    <col min="6482" max="6490" width="8.77734375" style="109"/>
    <col min="6491" max="6491" width="13.109375" style="109" customWidth="1"/>
    <col min="6492" max="6492" width="8.77734375" style="109"/>
    <col min="6493" max="6493" width="9.88671875" style="109" customWidth="1"/>
    <col min="6494" max="6497" width="8.77734375" style="109"/>
    <col min="6498" max="6498" width="8.5546875" style="109" customWidth="1"/>
    <col min="6499" max="6499" width="30.33203125" style="109" customWidth="1"/>
    <col min="6500" max="6500" width="9" style="109" bestFit="1" customWidth="1"/>
    <col min="6501" max="6501" width="8.77734375" style="109"/>
    <col min="6502" max="6502" width="5.88671875" style="109" customWidth="1"/>
    <col min="6503" max="6503" width="6.88671875" style="109" customWidth="1"/>
    <col min="6504" max="6504" width="23.88671875" style="109" customWidth="1"/>
    <col min="6505" max="6511" width="8.77734375" style="109"/>
    <col min="6512" max="6512" width="9" style="109" bestFit="1" customWidth="1"/>
    <col min="6513" max="6514" width="8.77734375" style="109"/>
    <col min="6515" max="6515" width="32.88671875" style="109" customWidth="1"/>
    <col min="6516" max="6516" width="16.6640625" style="109" customWidth="1"/>
    <col min="6517" max="6517" width="10.21875" style="109" customWidth="1"/>
    <col min="6518" max="6518" width="12.44140625" style="109" customWidth="1"/>
    <col min="6519" max="6519" width="10" style="109" bestFit="1" customWidth="1"/>
    <col min="6520" max="6520" width="8.77734375" style="109"/>
    <col min="6521" max="6521" width="9" style="109" bestFit="1" customWidth="1"/>
    <col min="6522" max="6523" width="8.77734375" style="109"/>
    <col min="6524" max="6524" width="11.6640625" style="109" customWidth="1"/>
    <col min="6525" max="6525" width="8.77734375" style="109"/>
    <col min="6526" max="6526" width="28.77734375" style="109" customWidth="1"/>
    <col min="6527" max="6527" width="12.33203125" style="109" customWidth="1"/>
    <col min="6528" max="6528" width="11.21875" style="109" customWidth="1"/>
    <col min="6529" max="6656" width="8.77734375" style="109"/>
    <col min="6657" max="6657" width="5.6640625" style="109" customWidth="1"/>
    <col min="6658" max="6658" width="26.5546875" style="109" customWidth="1"/>
    <col min="6659" max="6659" width="11.44140625" style="109" customWidth="1"/>
    <col min="6660" max="6660" width="7.44140625" style="109" customWidth="1"/>
    <col min="6661" max="6661" width="8.5546875" style="109" customWidth="1"/>
    <col min="6662" max="6662" width="12.33203125" style="109" customWidth="1"/>
    <col min="6663" max="6663" width="11.77734375" style="109" customWidth="1"/>
    <col min="6664" max="6664" width="8.21875" style="109" customWidth="1"/>
    <col min="6665" max="6665" width="12" style="109" customWidth="1"/>
    <col min="6666" max="6666" width="8.77734375" style="109" customWidth="1"/>
    <col min="6667" max="6667" width="11.109375" style="109" customWidth="1"/>
    <col min="6668" max="6668" width="12.88671875" style="109" customWidth="1"/>
    <col min="6669" max="6669" width="12.5546875" style="109" customWidth="1"/>
    <col min="6670" max="6670" width="9.6640625" style="109" customWidth="1"/>
    <col min="6671" max="6671" width="9.88671875" style="109" customWidth="1"/>
    <col min="6672" max="6672" width="11.33203125" style="109" customWidth="1"/>
    <col min="6673" max="6673" width="11.5546875" style="109" customWidth="1"/>
    <col min="6674" max="6674" width="11.6640625" style="109" customWidth="1"/>
    <col min="6675" max="6675" width="10.33203125" style="109" customWidth="1"/>
    <col min="6676" max="6676" width="11.77734375" style="109" customWidth="1"/>
    <col min="6677" max="6677" width="12.109375" style="109" customWidth="1"/>
    <col min="6678" max="6678" width="11" style="109" customWidth="1"/>
    <col min="6679" max="6679" width="12.109375" style="109" customWidth="1"/>
    <col min="6680" max="6680" width="10.5546875" style="109" customWidth="1"/>
    <col min="6681" max="6681" width="9.88671875" style="109" customWidth="1"/>
    <col min="6682" max="6682" width="10.77734375" style="109" customWidth="1"/>
    <col min="6683" max="6683" width="9.77734375" style="109" customWidth="1"/>
    <col min="6684" max="6684" width="11.21875" style="109" customWidth="1"/>
    <col min="6685" max="6685" width="10.33203125" style="109" customWidth="1"/>
    <col min="6686" max="6686" width="11.88671875" style="109" customWidth="1"/>
    <col min="6687" max="6687" width="8.77734375" style="109"/>
    <col min="6688" max="6688" width="13.88671875" style="109" customWidth="1"/>
    <col min="6689" max="6689" width="10.88671875" style="109" customWidth="1"/>
    <col min="6690" max="6690" width="11.44140625" style="109" customWidth="1"/>
    <col min="6691" max="6691" width="11.77734375" style="109" customWidth="1"/>
    <col min="6692" max="6692" width="11.109375" style="109" customWidth="1"/>
    <col min="6693" max="6693" width="10.88671875" style="109" customWidth="1"/>
    <col min="6694" max="6697" width="8.77734375" style="109"/>
    <col min="6698" max="6698" width="11.44140625" style="109" bestFit="1" customWidth="1"/>
    <col min="6699" max="6699" width="10.21875" style="109" customWidth="1"/>
    <col min="6700" max="6700" width="11.5546875" style="109" customWidth="1"/>
    <col min="6701" max="6701" width="12.109375" style="109" customWidth="1"/>
    <col min="6702" max="6702" width="13.21875" style="109" customWidth="1"/>
    <col min="6703" max="6703" width="14.109375" style="109" customWidth="1"/>
    <col min="6704" max="6704" width="11.77734375" style="109" customWidth="1"/>
    <col min="6705" max="6705" width="9.6640625" style="109" customWidth="1"/>
    <col min="6706" max="6709" width="8.77734375" style="109"/>
    <col min="6710" max="6710" width="28.77734375" style="109" customWidth="1"/>
    <col min="6711" max="6711" width="11.77734375" style="109" customWidth="1"/>
    <col min="6712" max="6712" width="10" style="109" customWidth="1"/>
    <col min="6713" max="6713" width="10.44140625" style="109" customWidth="1"/>
    <col min="6714" max="6715" width="8.77734375" style="109"/>
    <col min="6716" max="6716" width="9.33203125" style="109" customWidth="1"/>
    <col min="6717" max="6717" width="18.44140625" style="109" customWidth="1"/>
    <col min="6718" max="6718" width="11" style="109" customWidth="1"/>
    <col min="6719" max="6719" width="9.5546875" style="109" customWidth="1"/>
    <col min="6720" max="6720" width="10.6640625" style="109" customWidth="1"/>
    <col min="6721" max="6721" width="9.88671875" style="109" customWidth="1"/>
    <col min="6722" max="6722" width="11.44140625" style="109" customWidth="1"/>
    <col min="6723" max="6723" width="9.88671875" style="109" customWidth="1"/>
    <col min="6724" max="6724" width="10" style="109" customWidth="1"/>
    <col min="6725" max="6725" width="6.77734375" style="109" customWidth="1"/>
    <col min="6726" max="6726" width="12.5546875" style="109" customWidth="1"/>
    <col min="6727" max="6727" width="9.5546875" style="109" customWidth="1"/>
    <col min="6728" max="6728" width="10.33203125" style="109" customWidth="1"/>
    <col min="6729" max="6729" width="7.77734375" style="109" customWidth="1"/>
    <col min="6730" max="6730" width="7.21875" style="109" customWidth="1"/>
    <col min="6731" max="6731" width="17.6640625" style="109" customWidth="1"/>
    <col min="6732" max="6732" width="8.77734375" style="109" customWidth="1"/>
    <col min="6733" max="6733" width="13.109375" style="109" bestFit="1" customWidth="1"/>
    <col min="6734" max="6734" width="13.77734375" style="109" customWidth="1"/>
    <col min="6735" max="6736" width="8.77734375" style="109"/>
    <col min="6737" max="6737" width="9" style="109" bestFit="1" customWidth="1"/>
    <col min="6738" max="6746" width="8.77734375" style="109"/>
    <col min="6747" max="6747" width="13.109375" style="109" customWidth="1"/>
    <col min="6748" max="6748" width="8.77734375" style="109"/>
    <col min="6749" max="6749" width="9.88671875" style="109" customWidth="1"/>
    <col min="6750" max="6753" width="8.77734375" style="109"/>
    <col min="6754" max="6754" width="8.5546875" style="109" customWidth="1"/>
    <col min="6755" max="6755" width="30.33203125" style="109" customWidth="1"/>
    <col min="6756" max="6756" width="9" style="109" bestFit="1" customWidth="1"/>
    <col min="6757" max="6757" width="8.77734375" style="109"/>
    <col min="6758" max="6758" width="5.88671875" style="109" customWidth="1"/>
    <col min="6759" max="6759" width="6.88671875" style="109" customWidth="1"/>
    <col min="6760" max="6760" width="23.88671875" style="109" customWidth="1"/>
    <col min="6761" max="6767" width="8.77734375" style="109"/>
    <col min="6768" max="6768" width="9" style="109" bestFit="1" customWidth="1"/>
    <col min="6769" max="6770" width="8.77734375" style="109"/>
    <col min="6771" max="6771" width="32.88671875" style="109" customWidth="1"/>
    <col min="6772" max="6772" width="16.6640625" style="109" customWidth="1"/>
    <col min="6773" max="6773" width="10.21875" style="109" customWidth="1"/>
    <col min="6774" max="6774" width="12.44140625" style="109" customWidth="1"/>
    <col min="6775" max="6775" width="10" style="109" bestFit="1" customWidth="1"/>
    <col min="6776" max="6776" width="8.77734375" style="109"/>
    <col min="6777" max="6777" width="9" style="109" bestFit="1" customWidth="1"/>
    <col min="6778" max="6779" width="8.77734375" style="109"/>
    <col min="6780" max="6780" width="11.6640625" style="109" customWidth="1"/>
    <col min="6781" max="6781" width="8.77734375" style="109"/>
    <col min="6782" max="6782" width="28.77734375" style="109" customWidth="1"/>
    <col min="6783" max="6783" width="12.33203125" style="109" customWidth="1"/>
    <col min="6784" max="6784" width="11.21875" style="109" customWidth="1"/>
    <col min="6785" max="6912" width="8.77734375" style="109"/>
    <col min="6913" max="6913" width="5.6640625" style="109" customWidth="1"/>
    <col min="6914" max="6914" width="26.5546875" style="109" customWidth="1"/>
    <col min="6915" max="6915" width="11.44140625" style="109" customWidth="1"/>
    <col min="6916" max="6916" width="7.44140625" style="109" customWidth="1"/>
    <col min="6917" max="6917" width="8.5546875" style="109" customWidth="1"/>
    <col min="6918" max="6918" width="12.33203125" style="109" customWidth="1"/>
    <col min="6919" max="6919" width="11.77734375" style="109" customWidth="1"/>
    <col min="6920" max="6920" width="8.21875" style="109" customWidth="1"/>
    <col min="6921" max="6921" width="12" style="109" customWidth="1"/>
    <col min="6922" max="6922" width="8.77734375" style="109" customWidth="1"/>
    <col min="6923" max="6923" width="11.109375" style="109" customWidth="1"/>
    <col min="6924" max="6924" width="12.88671875" style="109" customWidth="1"/>
    <col min="6925" max="6925" width="12.5546875" style="109" customWidth="1"/>
    <col min="6926" max="6926" width="9.6640625" style="109" customWidth="1"/>
    <col min="6927" max="6927" width="9.88671875" style="109" customWidth="1"/>
    <col min="6928" max="6928" width="11.33203125" style="109" customWidth="1"/>
    <col min="6929" max="6929" width="11.5546875" style="109" customWidth="1"/>
    <col min="6930" max="6930" width="11.6640625" style="109" customWidth="1"/>
    <col min="6931" max="6931" width="10.33203125" style="109" customWidth="1"/>
    <col min="6932" max="6932" width="11.77734375" style="109" customWidth="1"/>
    <col min="6933" max="6933" width="12.109375" style="109" customWidth="1"/>
    <col min="6934" max="6934" width="11" style="109" customWidth="1"/>
    <col min="6935" max="6935" width="12.109375" style="109" customWidth="1"/>
    <col min="6936" max="6936" width="10.5546875" style="109" customWidth="1"/>
    <col min="6937" max="6937" width="9.88671875" style="109" customWidth="1"/>
    <col min="6938" max="6938" width="10.77734375" style="109" customWidth="1"/>
    <col min="6939" max="6939" width="9.77734375" style="109" customWidth="1"/>
    <col min="6940" max="6940" width="11.21875" style="109" customWidth="1"/>
    <col min="6941" max="6941" width="10.33203125" style="109" customWidth="1"/>
    <col min="6942" max="6942" width="11.88671875" style="109" customWidth="1"/>
    <col min="6943" max="6943" width="8.77734375" style="109"/>
    <col min="6944" max="6944" width="13.88671875" style="109" customWidth="1"/>
    <col min="6945" max="6945" width="10.88671875" style="109" customWidth="1"/>
    <col min="6946" max="6946" width="11.44140625" style="109" customWidth="1"/>
    <col min="6947" max="6947" width="11.77734375" style="109" customWidth="1"/>
    <col min="6948" max="6948" width="11.109375" style="109" customWidth="1"/>
    <col min="6949" max="6949" width="10.88671875" style="109" customWidth="1"/>
    <col min="6950" max="6953" width="8.77734375" style="109"/>
    <col min="6954" max="6954" width="11.44140625" style="109" bestFit="1" customWidth="1"/>
    <col min="6955" max="6955" width="10.21875" style="109" customWidth="1"/>
    <col min="6956" max="6956" width="11.5546875" style="109" customWidth="1"/>
    <col min="6957" max="6957" width="12.109375" style="109" customWidth="1"/>
    <col min="6958" max="6958" width="13.21875" style="109" customWidth="1"/>
    <col min="6959" max="6959" width="14.109375" style="109" customWidth="1"/>
    <col min="6960" max="6960" width="11.77734375" style="109" customWidth="1"/>
    <col min="6961" max="6961" width="9.6640625" style="109" customWidth="1"/>
    <col min="6962" max="6965" width="8.77734375" style="109"/>
    <col min="6966" max="6966" width="28.77734375" style="109" customWidth="1"/>
    <col min="6967" max="6967" width="11.77734375" style="109" customWidth="1"/>
    <col min="6968" max="6968" width="10" style="109" customWidth="1"/>
    <col min="6969" max="6969" width="10.44140625" style="109" customWidth="1"/>
    <col min="6970" max="6971" width="8.77734375" style="109"/>
    <col min="6972" max="6972" width="9.33203125" style="109" customWidth="1"/>
    <col min="6973" max="6973" width="18.44140625" style="109" customWidth="1"/>
    <col min="6974" max="6974" width="11" style="109" customWidth="1"/>
    <col min="6975" max="6975" width="9.5546875" style="109" customWidth="1"/>
    <col min="6976" max="6976" width="10.6640625" style="109" customWidth="1"/>
    <col min="6977" max="6977" width="9.88671875" style="109" customWidth="1"/>
    <col min="6978" max="6978" width="11.44140625" style="109" customWidth="1"/>
    <col min="6979" max="6979" width="9.88671875" style="109" customWidth="1"/>
    <col min="6980" max="6980" width="10" style="109" customWidth="1"/>
    <col min="6981" max="6981" width="6.77734375" style="109" customWidth="1"/>
    <col min="6982" max="6982" width="12.5546875" style="109" customWidth="1"/>
    <col min="6983" max="6983" width="9.5546875" style="109" customWidth="1"/>
    <col min="6984" max="6984" width="10.33203125" style="109" customWidth="1"/>
    <col min="6985" max="6985" width="7.77734375" style="109" customWidth="1"/>
    <col min="6986" max="6986" width="7.21875" style="109" customWidth="1"/>
    <col min="6987" max="6987" width="17.6640625" style="109" customWidth="1"/>
    <col min="6988" max="6988" width="8.77734375" style="109" customWidth="1"/>
    <col min="6989" max="6989" width="13.109375" style="109" bestFit="1" customWidth="1"/>
    <col min="6990" max="6990" width="13.77734375" style="109" customWidth="1"/>
    <col min="6991" max="6992" width="8.77734375" style="109"/>
    <col min="6993" max="6993" width="9" style="109" bestFit="1" customWidth="1"/>
    <col min="6994" max="7002" width="8.77734375" style="109"/>
    <col min="7003" max="7003" width="13.109375" style="109" customWidth="1"/>
    <col min="7004" max="7004" width="8.77734375" style="109"/>
    <col min="7005" max="7005" width="9.88671875" style="109" customWidth="1"/>
    <col min="7006" max="7009" width="8.77734375" style="109"/>
    <col min="7010" max="7010" width="8.5546875" style="109" customWidth="1"/>
    <col min="7011" max="7011" width="30.33203125" style="109" customWidth="1"/>
    <col min="7012" max="7012" width="9" style="109" bestFit="1" customWidth="1"/>
    <col min="7013" max="7013" width="8.77734375" style="109"/>
    <col min="7014" max="7014" width="5.88671875" style="109" customWidth="1"/>
    <col min="7015" max="7015" width="6.88671875" style="109" customWidth="1"/>
    <col min="7016" max="7016" width="23.88671875" style="109" customWidth="1"/>
    <col min="7017" max="7023" width="8.77734375" style="109"/>
    <col min="7024" max="7024" width="9" style="109" bestFit="1" customWidth="1"/>
    <col min="7025" max="7026" width="8.77734375" style="109"/>
    <col min="7027" max="7027" width="32.88671875" style="109" customWidth="1"/>
    <col min="7028" max="7028" width="16.6640625" style="109" customWidth="1"/>
    <col min="7029" max="7029" width="10.21875" style="109" customWidth="1"/>
    <col min="7030" max="7030" width="12.44140625" style="109" customWidth="1"/>
    <col min="7031" max="7031" width="10" style="109" bestFit="1" customWidth="1"/>
    <col min="7032" max="7032" width="8.77734375" style="109"/>
    <col min="7033" max="7033" width="9" style="109" bestFit="1" customWidth="1"/>
    <col min="7034" max="7035" width="8.77734375" style="109"/>
    <col min="7036" max="7036" width="11.6640625" style="109" customWidth="1"/>
    <col min="7037" max="7037" width="8.77734375" style="109"/>
    <col min="7038" max="7038" width="28.77734375" style="109" customWidth="1"/>
    <col min="7039" max="7039" width="12.33203125" style="109" customWidth="1"/>
    <col min="7040" max="7040" width="11.21875" style="109" customWidth="1"/>
    <col min="7041" max="7168" width="8.77734375" style="109"/>
    <col min="7169" max="7169" width="5.6640625" style="109" customWidth="1"/>
    <col min="7170" max="7170" width="26.5546875" style="109" customWidth="1"/>
    <col min="7171" max="7171" width="11.44140625" style="109" customWidth="1"/>
    <col min="7172" max="7172" width="7.44140625" style="109" customWidth="1"/>
    <col min="7173" max="7173" width="8.5546875" style="109" customWidth="1"/>
    <col min="7174" max="7174" width="12.33203125" style="109" customWidth="1"/>
    <col min="7175" max="7175" width="11.77734375" style="109" customWidth="1"/>
    <col min="7176" max="7176" width="8.21875" style="109" customWidth="1"/>
    <col min="7177" max="7177" width="12" style="109" customWidth="1"/>
    <col min="7178" max="7178" width="8.77734375" style="109" customWidth="1"/>
    <col min="7179" max="7179" width="11.109375" style="109" customWidth="1"/>
    <col min="7180" max="7180" width="12.88671875" style="109" customWidth="1"/>
    <col min="7181" max="7181" width="12.5546875" style="109" customWidth="1"/>
    <col min="7182" max="7182" width="9.6640625" style="109" customWidth="1"/>
    <col min="7183" max="7183" width="9.88671875" style="109" customWidth="1"/>
    <col min="7184" max="7184" width="11.33203125" style="109" customWidth="1"/>
    <col min="7185" max="7185" width="11.5546875" style="109" customWidth="1"/>
    <col min="7186" max="7186" width="11.6640625" style="109" customWidth="1"/>
    <col min="7187" max="7187" width="10.33203125" style="109" customWidth="1"/>
    <col min="7188" max="7188" width="11.77734375" style="109" customWidth="1"/>
    <col min="7189" max="7189" width="12.109375" style="109" customWidth="1"/>
    <col min="7190" max="7190" width="11" style="109" customWidth="1"/>
    <col min="7191" max="7191" width="12.109375" style="109" customWidth="1"/>
    <col min="7192" max="7192" width="10.5546875" style="109" customWidth="1"/>
    <col min="7193" max="7193" width="9.88671875" style="109" customWidth="1"/>
    <col min="7194" max="7194" width="10.77734375" style="109" customWidth="1"/>
    <col min="7195" max="7195" width="9.77734375" style="109" customWidth="1"/>
    <col min="7196" max="7196" width="11.21875" style="109" customWidth="1"/>
    <col min="7197" max="7197" width="10.33203125" style="109" customWidth="1"/>
    <col min="7198" max="7198" width="11.88671875" style="109" customWidth="1"/>
    <col min="7199" max="7199" width="8.77734375" style="109"/>
    <col min="7200" max="7200" width="13.88671875" style="109" customWidth="1"/>
    <col min="7201" max="7201" width="10.88671875" style="109" customWidth="1"/>
    <col min="7202" max="7202" width="11.44140625" style="109" customWidth="1"/>
    <col min="7203" max="7203" width="11.77734375" style="109" customWidth="1"/>
    <col min="7204" max="7204" width="11.109375" style="109" customWidth="1"/>
    <col min="7205" max="7205" width="10.88671875" style="109" customWidth="1"/>
    <col min="7206" max="7209" width="8.77734375" style="109"/>
    <col min="7210" max="7210" width="11.44140625" style="109" bestFit="1" customWidth="1"/>
    <col min="7211" max="7211" width="10.21875" style="109" customWidth="1"/>
    <col min="7212" max="7212" width="11.5546875" style="109" customWidth="1"/>
    <col min="7213" max="7213" width="12.109375" style="109" customWidth="1"/>
    <col min="7214" max="7214" width="13.21875" style="109" customWidth="1"/>
    <col min="7215" max="7215" width="14.109375" style="109" customWidth="1"/>
    <col min="7216" max="7216" width="11.77734375" style="109" customWidth="1"/>
    <col min="7217" max="7217" width="9.6640625" style="109" customWidth="1"/>
    <col min="7218" max="7221" width="8.77734375" style="109"/>
    <col min="7222" max="7222" width="28.77734375" style="109" customWidth="1"/>
    <col min="7223" max="7223" width="11.77734375" style="109" customWidth="1"/>
    <col min="7224" max="7224" width="10" style="109" customWidth="1"/>
    <col min="7225" max="7225" width="10.44140625" style="109" customWidth="1"/>
    <col min="7226" max="7227" width="8.77734375" style="109"/>
    <col min="7228" max="7228" width="9.33203125" style="109" customWidth="1"/>
    <col min="7229" max="7229" width="18.44140625" style="109" customWidth="1"/>
    <col min="7230" max="7230" width="11" style="109" customWidth="1"/>
    <col min="7231" max="7231" width="9.5546875" style="109" customWidth="1"/>
    <col min="7232" max="7232" width="10.6640625" style="109" customWidth="1"/>
    <col min="7233" max="7233" width="9.88671875" style="109" customWidth="1"/>
    <col min="7234" max="7234" width="11.44140625" style="109" customWidth="1"/>
    <col min="7235" max="7235" width="9.88671875" style="109" customWidth="1"/>
    <col min="7236" max="7236" width="10" style="109" customWidth="1"/>
    <col min="7237" max="7237" width="6.77734375" style="109" customWidth="1"/>
    <col min="7238" max="7238" width="12.5546875" style="109" customWidth="1"/>
    <col min="7239" max="7239" width="9.5546875" style="109" customWidth="1"/>
    <col min="7240" max="7240" width="10.33203125" style="109" customWidth="1"/>
    <col min="7241" max="7241" width="7.77734375" style="109" customWidth="1"/>
    <col min="7242" max="7242" width="7.21875" style="109" customWidth="1"/>
    <col min="7243" max="7243" width="17.6640625" style="109" customWidth="1"/>
    <col min="7244" max="7244" width="8.77734375" style="109" customWidth="1"/>
    <col min="7245" max="7245" width="13.109375" style="109" bestFit="1" customWidth="1"/>
    <col min="7246" max="7246" width="13.77734375" style="109" customWidth="1"/>
    <col min="7247" max="7248" width="8.77734375" style="109"/>
    <col min="7249" max="7249" width="9" style="109" bestFit="1" customWidth="1"/>
    <col min="7250" max="7258" width="8.77734375" style="109"/>
    <col min="7259" max="7259" width="13.109375" style="109" customWidth="1"/>
    <col min="7260" max="7260" width="8.77734375" style="109"/>
    <col min="7261" max="7261" width="9.88671875" style="109" customWidth="1"/>
    <col min="7262" max="7265" width="8.77734375" style="109"/>
    <col min="7266" max="7266" width="8.5546875" style="109" customWidth="1"/>
    <col min="7267" max="7267" width="30.33203125" style="109" customWidth="1"/>
    <col min="7268" max="7268" width="9" style="109" bestFit="1" customWidth="1"/>
    <col min="7269" max="7269" width="8.77734375" style="109"/>
    <col min="7270" max="7270" width="5.88671875" style="109" customWidth="1"/>
    <col min="7271" max="7271" width="6.88671875" style="109" customWidth="1"/>
    <col min="7272" max="7272" width="23.88671875" style="109" customWidth="1"/>
    <col min="7273" max="7279" width="8.77734375" style="109"/>
    <col min="7280" max="7280" width="9" style="109" bestFit="1" customWidth="1"/>
    <col min="7281" max="7282" width="8.77734375" style="109"/>
    <col min="7283" max="7283" width="32.88671875" style="109" customWidth="1"/>
    <col min="7284" max="7284" width="16.6640625" style="109" customWidth="1"/>
    <col min="7285" max="7285" width="10.21875" style="109" customWidth="1"/>
    <col min="7286" max="7286" width="12.44140625" style="109" customWidth="1"/>
    <col min="7287" max="7287" width="10" style="109" bestFit="1" customWidth="1"/>
    <col min="7288" max="7288" width="8.77734375" style="109"/>
    <col min="7289" max="7289" width="9" style="109" bestFit="1" customWidth="1"/>
    <col min="7290" max="7291" width="8.77734375" style="109"/>
    <col min="7292" max="7292" width="11.6640625" style="109" customWidth="1"/>
    <col min="7293" max="7293" width="8.77734375" style="109"/>
    <col min="7294" max="7294" width="28.77734375" style="109" customWidth="1"/>
    <col min="7295" max="7295" width="12.33203125" style="109" customWidth="1"/>
    <col min="7296" max="7296" width="11.21875" style="109" customWidth="1"/>
    <col min="7297" max="7424" width="8.77734375" style="109"/>
    <col min="7425" max="7425" width="5.6640625" style="109" customWidth="1"/>
    <col min="7426" max="7426" width="26.5546875" style="109" customWidth="1"/>
    <col min="7427" max="7427" width="11.44140625" style="109" customWidth="1"/>
    <col min="7428" max="7428" width="7.44140625" style="109" customWidth="1"/>
    <col min="7429" max="7429" width="8.5546875" style="109" customWidth="1"/>
    <col min="7430" max="7430" width="12.33203125" style="109" customWidth="1"/>
    <col min="7431" max="7431" width="11.77734375" style="109" customWidth="1"/>
    <col min="7432" max="7432" width="8.21875" style="109" customWidth="1"/>
    <col min="7433" max="7433" width="12" style="109" customWidth="1"/>
    <col min="7434" max="7434" width="8.77734375" style="109" customWidth="1"/>
    <col min="7435" max="7435" width="11.109375" style="109" customWidth="1"/>
    <col min="7436" max="7436" width="12.88671875" style="109" customWidth="1"/>
    <col min="7437" max="7437" width="12.5546875" style="109" customWidth="1"/>
    <col min="7438" max="7438" width="9.6640625" style="109" customWidth="1"/>
    <col min="7439" max="7439" width="9.88671875" style="109" customWidth="1"/>
    <col min="7440" max="7440" width="11.33203125" style="109" customWidth="1"/>
    <col min="7441" max="7441" width="11.5546875" style="109" customWidth="1"/>
    <col min="7442" max="7442" width="11.6640625" style="109" customWidth="1"/>
    <col min="7443" max="7443" width="10.33203125" style="109" customWidth="1"/>
    <col min="7444" max="7444" width="11.77734375" style="109" customWidth="1"/>
    <col min="7445" max="7445" width="12.109375" style="109" customWidth="1"/>
    <col min="7446" max="7446" width="11" style="109" customWidth="1"/>
    <col min="7447" max="7447" width="12.109375" style="109" customWidth="1"/>
    <col min="7448" max="7448" width="10.5546875" style="109" customWidth="1"/>
    <col min="7449" max="7449" width="9.88671875" style="109" customWidth="1"/>
    <col min="7450" max="7450" width="10.77734375" style="109" customWidth="1"/>
    <col min="7451" max="7451" width="9.77734375" style="109" customWidth="1"/>
    <col min="7452" max="7452" width="11.21875" style="109" customWidth="1"/>
    <col min="7453" max="7453" width="10.33203125" style="109" customWidth="1"/>
    <col min="7454" max="7454" width="11.88671875" style="109" customWidth="1"/>
    <col min="7455" max="7455" width="8.77734375" style="109"/>
    <col min="7456" max="7456" width="13.88671875" style="109" customWidth="1"/>
    <col min="7457" max="7457" width="10.88671875" style="109" customWidth="1"/>
    <col min="7458" max="7458" width="11.44140625" style="109" customWidth="1"/>
    <col min="7459" max="7459" width="11.77734375" style="109" customWidth="1"/>
    <col min="7460" max="7460" width="11.109375" style="109" customWidth="1"/>
    <col min="7461" max="7461" width="10.88671875" style="109" customWidth="1"/>
    <col min="7462" max="7465" width="8.77734375" style="109"/>
    <col min="7466" max="7466" width="11.44140625" style="109" bestFit="1" customWidth="1"/>
    <col min="7467" max="7467" width="10.21875" style="109" customWidth="1"/>
    <col min="7468" max="7468" width="11.5546875" style="109" customWidth="1"/>
    <col min="7469" max="7469" width="12.109375" style="109" customWidth="1"/>
    <col min="7470" max="7470" width="13.21875" style="109" customWidth="1"/>
    <col min="7471" max="7471" width="14.109375" style="109" customWidth="1"/>
    <col min="7472" max="7472" width="11.77734375" style="109" customWidth="1"/>
    <col min="7473" max="7473" width="9.6640625" style="109" customWidth="1"/>
    <col min="7474" max="7477" width="8.77734375" style="109"/>
    <col min="7478" max="7478" width="28.77734375" style="109" customWidth="1"/>
    <col min="7479" max="7479" width="11.77734375" style="109" customWidth="1"/>
    <col min="7480" max="7480" width="10" style="109" customWidth="1"/>
    <col min="7481" max="7481" width="10.44140625" style="109" customWidth="1"/>
    <col min="7482" max="7483" width="8.77734375" style="109"/>
    <col min="7484" max="7484" width="9.33203125" style="109" customWidth="1"/>
    <col min="7485" max="7485" width="18.44140625" style="109" customWidth="1"/>
    <col min="7486" max="7486" width="11" style="109" customWidth="1"/>
    <col min="7487" max="7487" width="9.5546875" style="109" customWidth="1"/>
    <col min="7488" max="7488" width="10.6640625" style="109" customWidth="1"/>
    <col min="7489" max="7489" width="9.88671875" style="109" customWidth="1"/>
    <col min="7490" max="7490" width="11.44140625" style="109" customWidth="1"/>
    <col min="7491" max="7491" width="9.88671875" style="109" customWidth="1"/>
    <col min="7492" max="7492" width="10" style="109" customWidth="1"/>
    <col min="7493" max="7493" width="6.77734375" style="109" customWidth="1"/>
    <col min="7494" max="7494" width="12.5546875" style="109" customWidth="1"/>
    <col min="7495" max="7495" width="9.5546875" style="109" customWidth="1"/>
    <col min="7496" max="7496" width="10.33203125" style="109" customWidth="1"/>
    <col min="7497" max="7497" width="7.77734375" style="109" customWidth="1"/>
    <col min="7498" max="7498" width="7.21875" style="109" customWidth="1"/>
    <col min="7499" max="7499" width="17.6640625" style="109" customWidth="1"/>
    <col min="7500" max="7500" width="8.77734375" style="109" customWidth="1"/>
    <col min="7501" max="7501" width="13.109375" style="109" bestFit="1" customWidth="1"/>
    <col min="7502" max="7502" width="13.77734375" style="109" customWidth="1"/>
    <col min="7503" max="7504" width="8.77734375" style="109"/>
    <col min="7505" max="7505" width="9" style="109" bestFit="1" customWidth="1"/>
    <col min="7506" max="7514" width="8.77734375" style="109"/>
    <col min="7515" max="7515" width="13.109375" style="109" customWidth="1"/>
    <col min="7516" max="7516" width="8.77734375" style="109"/>
    <col min="7517" max="7517" width="9.88671875" style="109" customWidth="1"/>
    <col min="7518" max="7521" width="8.77734375" style="109"/>
    <col min="7522" max="7522" width="8.5546875" style="109" customWidth="1"/>
    <col min="7523" max="7523" width="30.33203125" style="109" customWidth="1"/>
    <col min="7524" max="7524" width="9" style="109" bestFit="1" customWidth="1"/>
    <col min="7525" max="7525" width="8.77734375" style="109"/>
    <col min="7526" max="7526" width="5.88671875" style="109" customWidth="1"/>
    <col min="7527" max="7527" width="6.88671875" style="109" customWidth="1"/>
    <col min="7528" max="7528" width="23.88671875" style="109" customWidth="1"/>
    <col min="7529" max="7535" width="8.77734375" style="109"/>
    <col min="7536" max="7536" width="9" style="109" bestFit="1" customWidth="1"/>
    <col min="7537" max="7538" width="8.77734375" style="109"/>
    <col min="7539" max="7539" width="32.88671875" style="109" customWidth="1"/>
    <col min="7540" max="7540" width="16.6640625" style="109" customWidth="1"/>
    <col min="7541" max="7541" width="10.21875" style="109" customWidth="1"/>
    <col min="7542" max="7542" width="12.44140625" style="109" customWidth="1"/>
    <col min="7543" max="7543" width="10" style="109" bestFit="1" customWidth="1"/>
    <col min="7544" max="7544" width="8.77734375" style="109"/>
    <col min="7545" max="7545" width="9" style="109" bestFit="1" customWidth="1"/>
    <col min="7546" max="7547" width="8.77734375" style="109"/>
    <col min="7548" max="7548" width="11.6640625" style="109" customWidth="1"/>
    <col min="7549" max="7549" width="8.77734375" style="109"/>
    <col min="7550" max="7550" width="28.77734375" style="109" customWidth="1"/>
    <col min="7551" max="7551" width="12.33203125" style="109" customWidth="1"/>
    <col min="7552" max="7552" width="11.21875" style="109" customWidth="1"/>
    <col min="7553" max="7680" width="8.77734375" style="109"/>
    <col min="7681" max="7681" width="5.6640625" style="109" customWidth="1"/>
    <col min="7682" max="7682" width="26.5546875" style="109" customWidth="1"/>
    <col min="7683" max="7683" width="11.44140625" style="109" customWidth="1"/>
    <col min="7684" max="7684" width="7.44140625" style="109" customWidth="1"/>
    <col min="7685" max="7685" width="8.5546875" style="109" customWidth="1"/>
    <col min="7686" max="7686" width="12.33203125" style="109" customWidth="1"/>
    <col min="7687" max="7687" width="11.77734375" style="109" customWidth="1"/>
    <col min="7688" max="7688" width="8.21875" style="109" customWidth="1"/>
    <col min="7689" max="7689" width="12" style="109" customWidth="1"/>
    <col min="7690" max="7690" width="8.77734375" style="109" customWidth="1"/>
    <col min="7691" max="7691" width="11.109375" style="109" customWidth="1"/>
    <col min="7692" max="7692" width="12.88671875" style="109" customWidth="1"/>
    <col min="7693" max="7693" width="12.5546875" style="109" customWidth="1"/>
    <col min="7694" max="7694" width="9.6640625" style="109" customWidth="1"/>
    <col min="7695" max="7695" width="9.88671875" style="109" customWidth="1"/>
    <col min="7696" max="7696" width="11.33203125" style="109" customWidth="1"/>
    <col min="7697" max="7697" width="11.5546875" style="109" customWidth="1"/>
    <col min="7698" max="7698" width="11.6640625" style="109" customWidth="1"/>
    <col min="7699" max="7699" width="10.33203125" style="109" customWidth="1"/>
    <col min="7700" max="7700" width="11.77734375" style="109" customWidth="1"/>
    <col min="7701" max="7701" width="12.109375" style="109" customWidth="1"/>
    <col min="7702" max="7702" width="11" style="109" customWidth="1"/>
    <col min="7703" max="7703" width="12.109375" style="109" customWidth="1"/>
    <col min="7704" max="7704" width="10.5546875" style="109" customWidth="1"/>
    <col min="7705" max="7705" width="9.88671875" style="109" customWidth="1"/>
    <col min="7706" max="7706" width="10.77734375" style="109" customWidth="1"/>
    <col min="7707" max="7707" width="9.77734375" style="109" customWidth="1"/>
    <col min="7708" max="7708" width="11.21875" style="109" customWidth="1"/>
    <col min="7709" max="7709" width="10.33203125" style="109" customWidth="1"/>
    <col min="7710" max="7710" width="11.88671875" style="109" customWidth="1"/>
    <col min="7711" max="7711" width="8.77734375" style="109"/>
    <col min="7712" max="7712" width="13.88671875" style="109" customWidth="1"/>
    <col min="7713" max="7713" width="10.88671875" style="109" customWidth="1"/>
    <col min="7714" max="7714" width="11.44140625" style="109" customWidth="1"/>
    <col min="7715" max="7715" width="11.77734375" style="109" customWidth="1"/>
    <col min="7716" max="7716" width="11.109375" style="109" customWidth="1"/>
    <col min="7717" max="7717" width="10.88671875" style="109" customWidth="1"/>
    <col min="7718" max="7721" width="8.77734375" style="109"/>
    <col min="7722" max="7722" width="11.44140625" style="109" bestFit="1" customWidth="1"/>
    <col min="7723" max="7723" width="10.21875" style="109" customWidth="1"/>
    <col min="7724" max="7724" width="11.5546875" style="109" customWidth="1"/>
    <col min="7725" max="7725" width="12.109375" style="109" customWidth="1"/>
    <col min="7726" max="7726" width="13.21875" style="109" customWidth="1"/>
    <col min="7727" max="7727" width="14.109375" style="109" customWidth="1"/>
    <col min="7728" max="7728" width="11.77734375" style="109" customWidth="1"/>
    <col min="7729" max="7729" width="9.6640625" style="109" customWidth="1"/>
    <col min="7730" max="7733" width="8.77734375" style="109"/>
    <col min="7734" max="7734" width="28.77734375" style="109" customWidth="1"/>
    <col min="7735" max="7735" width="11.77734375" style="109" customWidth="1"/>
    <col min="7736" max="7736" width="10" style="109" customWidth="1"/>
    <col min="7737" max="7737" width="10.44140625" style="109" customWidth="1"/>
    <col min="7738" max="7739" width="8.77734375" style="109"/>
    <col min="7740" max="7740" width="9.33203125" style="109" customWidth="1"/>
    <col min="7741" max="7741" width="18.44140625" style="109" customWidth="1"/>
    <col min="7742" max="7742" width="11" style="109" customWidth="1"/>
    <col min="7743" max="7743" width="9.5546875" style="109" customWidth="1"/>
    <col min="7744" max="7744" width="10.6640625" style="109" customWidth="1"/>
    <col min="7745" max="7745" width="9.88671875" style="109" customWidth="1"/>
    <col min="7746" max="7746" width="11.44140625" style="109" customWidth="1"/>
    <col min="7747" max="7747" width="9.88671875" style="109" customWidth="1"/>
    <col min="7748" max="7748" width="10" style="109" customWidth="1"/>
    <col min="7749" max="7749" width="6.77734375" style="109" customWidth="1"/>
    <col min="7750" max="7750" width="12.5546875" style="109" customWidth="1"/>
    <col min="7751" max="7751" width="9.5546875" style="109" customWidth="1"/>
    <col min="7752" max="7752" width="10.33203125" style="109" customWidth="1"/>
    <col min="7753" max="7753" width="7.77734375" style="109" customWidth="1"/>
    <col min="7754" max="7754" width="7.21875" style="109" customWidth="1"/>
    <col min="7755" max="7755" width="17.6640625" style="109" customWidth="1"/>
    <col min="7756" max="7756" width="8.77734375" style="109" customWidth="1"/>
    <col min="7757" max="7757" width="13.109375" style="109" bestFit="1" customWidth="1"/>
    <col min="7758" max="7758" width="13.77734375" style="109" customWidth="1"/>
    <col min="7759" max="7760" width="8.77734375" style="109"/>
    <col min="7761" max="7761" width="9" style="109" bestFit="1" customWidth="1"/>
    <col min="7762" max="7770" width="8.77734375" style="109"/>
    <col min="7771" max="7771" width="13.109375" style="109" customWidth="1"/>
    <col min="7772" max="7772" width="8.77734375" style="109"/>
    <col min="7773" max="7773" width="9.88671875" style="109" customWidth="1"/>
    <col min="7774" max="7777" width="8.77734375" style="109"/>
    <col min="7778" max="7778" width="8.5546875" style="109" customWidth="1"/>
    <col min="7779" max="7779" width="30.33203125" style="109" customWidth="1"/>
    <col min="7780" max="7780" width="9" style="109" bestFit="1" customWidth="1"/>
    <col min="7781" max="7781" width="8.77734375" style="109"/>
    <col min="7782" max="7782" width="5.88671875" style="109" customWidth="1"/>
    <col min="7783" max="7783" width="6.88671875" style="109" customWidth="1"/>
    <col min="7784" max="7784" width="23.88671875" style="109" customWidth="1"/>
    <col min="7785" max="7791" width="8.77734375" style="109"/>
    <col min="7792" max="7792" width="9" style="109" bestFit="1" customWidth="1"/>
    <col min="7793" max="7794" width="8.77734375" style="109"/>
    <col min="7795" max="7795" width="32.88671875" style="109" customWidth="1"/>
    <col min="7796" max="7796" width="16.6640625" style="109" customWidth="1"/>
    <col min="7797" max="7797" width="10.21875" style="109" customWidth="1"/>
    <col min="7798" max="7798" width="12.44140625" style="109" customWidth="1"/>
    <col min="7799" max="7799" width="10" style="109" bestFit="1" customWidth="1"/>
    <col min="7800" max="7800" width="8.77734375" style="109"/>
    <col min="7801" max="7801" width="9" style="109" bestFit="1" customWidth="1"/>
    <col min="7802" max="7803" width="8.77734375" style="109"/>
    <col min="7804" max="7804" width="11.6640625" style="109" customWidth="1"/>
    <col min="7805" max="7805" width="8.77734375" style="109"/>
    <col min="7806" max="7806" width="28.77734375" style="109" customWidth="1"/>
    <col min="7807" max="7807" width="12.33203125" style="109" customWidth="1"/>
    <col min="7808" max="7808" width="11.21875" style="109" customWidth="1"/>
    <col min="7809" max="7936" width="8.77734375" style="109"/>
    <col min="7937" max="7937" width="5.6640625" style="109" customWidth="1"/>
    <col min="7938" max="7938" width="26.5546875" style="109" customWidth="1"/>
    <col min="7939" max="7939" width="11.44140625" style="109" customWidth="1"/>
    <col min="7940" max="7940" width="7.44140625" style="109" customWidth="1"/>
    <col min="7941" max="7941" width="8.5546875" style="109" customWidth="1"/>
    <col min="7942" max="7942" width="12.33203125" style="109" customWidth="1"/>
    <col min="7943" max="7943" width="11.77734375" style="109" customWidth="1"/>
    <col min="7944" max="7944" width="8.21875" style="109" customWidth="1"/>
    <col min="7945" max="7945" width="12" style="109" customWidth="1"/>
    <col min="7946" max="7946" width="8.77734375" style="109" customWidth="1"/>
    <col min="7947" max="7947" width="11.109375" style="109" customWidth="1"/>
    <col min="7948" max="7948" width="12.88671875" style="109" customWidth="1"/>
    <col min="7949" max="7949" width="12.5546875" style="109" customWidth="1"/>
    <col min="7950" max="7950" width="9.6640625" style="109" customWidth="1"/>
    <col min="7951" max="7951" width="9.88671875" style="109" customWidth="1"/>
    <col min="7952" max="7952" width="11.33203125" style="109" customWidth="1"/>
    <col min="7953" max="7953" width="11.5546875" style="109" customWidth="1"/>
    <col min="7954" max="7954" width="11.6640625" style="109" customWidth="1"/>
    <col min="7955" max="7955" width="10.33203125" style="109" customWidth="1"/>
    <col min="7956" max="7956" width="11.77734375" style="109" customWidth="1"/>
    <col min="7957" max="7957" width="12.109375" style="109" customWidth="1"/>
    <col min="7958" max="7958" width="11" style="109" customWidth="1"/>
    <col min="7959" max="7959" width="12.109375" style="109" customWidth="1"/>
    <col min="7960" max="7960" width="10.5546875" style="109" customWidth="1"/>
    <col min="7961" max="7961" width="9.88671875" style="109" customWidth="1"/>
    <col min="7962" max="7962" width="10.77734375" style="109" customWidth="1"/>
    <col min="7963" max="7963" width="9.77734375" style="109" customWidth="1"/>
    <col min="7964" max="7964" width="11.21875" style="109" customWidth="1"/>
    <col min="7965" max="7965" width="10.33203125" style="109" customWidth="1"/>
    <col min="7966" max="7966" width="11.88671875" style="109" customWidth="1"/>
    <col min="7967" max="7967" width="8.77734375" style="109"/>
    <col min="7968" max="7968" width="13.88671875" style="109" customWidth="1"/>
    <col min="7969" max="7969" width="10.88671875" style="109" customWidth="1"/>
    <col min="7970" max="7970" width="11.44140625" style="109" customWidth="1"/>
    <col min="7971" max="7971" width="11.77734375" style="109" customWidth="1"/>
    <col min="7972" max="7972" width="11.109375" style="109" customWidth="1"/>
    <col min="7973" max="7973" width="10.88671875" style="109" customWidth="1"/>
    <col min="7974" max="7977" width="8.77734375" style="109"/>
    <col min="7978" max="7978" width="11.44140625" style="109" bestFit="1" customWidth="1"/>
    <col min="7979" max="7979" width="10.21875" style="109" customWidth="1"/>
    <col min="7980" max="7980" width="11.5546875" style="109" customWidth="1"/>
    <col min="7981" max="7981" width="12.109375" style="109" customWidth="1"/>
    <col min="7982" max="7982" width="13.21875" style="109" customWidth="1"/>
    <col min="7983" max="7983" width="14.109375" style="109" customWidth="1"/>
    <col min="7984" max="7984" width="11.77734375" style="109" customWidth="1"/>
    <col min="7985" max="7985" width="9.6640625" style="109" customWidth="1"/>
    <col min="7986" max="7989" width="8.77734375" style="109"/>
    <col min="7990" max="7990" width="28.77734375" style="109" customWidth="1"/>
    <col min="7991" max="7991" width="11.77734375" style="109" customWidth="1"/>
    <col min="7992" max="7992" width="10" style="109" customWidth="1"/>
    <col min="7993" max="7993" width="10.44140625" style="109" customWidth="1"/>
    <col min="7994" max="7995" width="8.77734375" style="109"/>
    <col min="7996" max="7996" width="9.33203125" style="109" customWidth="1"/>
    <col min="7997" max="7997" width="18.44140625" style="109" customWidth="1"/>
    <col min="7998" max="7998" width="11" style="109" customWidth="1"/>
    <col min="7999" max="7999" width="9.5546875" style="109" customWidth="1"/>
    <col min="8000" max="8000" width="10.6640625" style="109" customWidth="1"/>
    <col min="8001" max="8001" width="9.88671875" style="109" customWidth="1"/>
    <col min="8002" max="8002" width="11.44140625" style="109" customWidth="1"/>
    <col min="8003" max="8003" width="9.88671875" style="109" customWidth="1"/>
    <col min="8004" max="8004" width="10" style="109" customWidth="1"/>
    <col min="8005" max="8005" width="6.77734375" style="109" customWidth="1"/>
    <col min="8006" max="8006" width="12.5546875" style="109" customWidth="1"/>
    <col min="8007" max="8007" width="9.5546875" style="109" customWidth="1"/>
    <col min="8008" max="8008" width="10.33203125" style="109" customWidth="1"/>
    <col min="8009" max="8009" width="7.77734375" style="109" customWidth="1"/>
    <col min="8010" max="8010" width="7.21875" style="109" customWidth="1"/>
    <col min="8011" max="8011" width="17.6640625" style="109" customWidth="1"/>
    <col min="8012" max="8012" width="8.77734375" style="109" customWidth="1"/>
    <col min="8013" max="8013" width="13.109375" style="109" bestFit="1" customWidth="1"/>
    <col min="8014" max="8014" width="13.77734375" style="109" customWidth="1"/>
    <col min="8015" max="8016" width="8.77734375" style="109"/>
    <col min="8017" max="8017" width="9" style="109" bestFit="1" customWidth="1"/>
    <col min="8018" max="8026" width="8.77734375" style="109"/>
    <col min="8027" max="8027" width="13.109375" style="109" customWidth="1"/>
    <col min="8028" max="8028" width="8.77734375" style="109"/>
    <col min="8029" max="8029" width="9.88671875" style="109" customWidth="1"/>
    <col min="8030" max="8033" width="8.77734375" style="109"/>
    <col min="8034" max="8034" width="8.5546875" style="109" customWidth="1"/>
    <col min="8035" max="8035" width="30.33203125" style="109" customWidth="1"/>
    <col min="8036" max="8036" width="9" style="109" bestFit="1" customWidth="1"/>
    <col min="8037" max="8037" width="8.77734375" style="109"/>
    <col min="8038" max="8038" width="5.88671875" style="109" customWidth="1"/>
    <col min="8039" max="8039" width="6.88671875" style="109" customWidth="1"/>
    <col min="8040" max="8040" width="23.88671875" style="109" customWidth="1"/>
    <col min="8041" max="8047" width="8.77734375" style="109"/>
    <col min="8048" max="8048" width="9" style="109" bestFit="1" customWidth="1"/>
    <col min="8049" max="8050" width="8.77734375" style="109"/>
    <col min="8051" max="8051" width="32.88671875" style="109" customWidth="1"/>
    <col min="8052" max="8052" width="16.6640625" style="109" customWidth="1"/>
    <col min="8053" max="8053" width="10.21875" style="109" customWidth="1"/>
    <col min="8054" max="8054" width="12.44140625" style="109" customWidth="1"/>
    <col min="8055" max="8055" width="10" style="109" bestFit="1" customWidth="1"/>
    <col min="8056" max="8056" width="8.77734375" style="109"/>
    <col min="8057" max="8057" width="9" style="109" bestFit="1" customWidth="1"/>
    <col min="8058" max="8059" width="8.77734375" style="109"/>
    <col min="8060" max="8060" width="11.6640625" style="109" customWidth="1"/>
    <col min="8061" max="8061" width="8.77734375" style="109"/>
    <col min="8062" max="8062" width="28.77734375" style="109" customWidth="1"/>
    <col min="8063" max="8063" width="12.33203125" style="109" customWidth="1"/>
    <col min="8064" max="8064" width="11.21875" style="109" customWidth="1"/>
    <col min="8065" max="8192" width="8.77734375" style="109"/>
    <col min="8193" max="8193" width="5.6640625" style="109" customWidth="1"/>
    <col min="8194" max="8194" width="26.5546875" style="109" customWidth="1"/>
    <col min="8195" max="8195" width="11.44140625" style="109" customWidth="1"/>
    <col min="8196" max="8196" width="7.44140625" style="109" customWidth="1"/>
    <col min="8197" max="8197" width="8.5546875" style="109" customWidth="1"/>
    <col min="8198" max="8198" width="12.33203125" style="109" customWidth="1"/>
    <col min="8199" max="8199" width="11.77734375" style="109" customWidth="1"/>
    <col min="8200" max="8200" width="8.21875" style="109" customWidth="1"/>
    <col min="8201" max="8201" width="12" style="109" customWidth="1"/>
    <col min="8202" max="8202" width="8.77734375" style="109" customWidth="1"/>
    <col min="8203" max="8203" width="11.109375" style="109" customWidth="1"/>
    <col min="8204" max="8204" width="12.88671875" style="109" customWidth="1"/>
    <col min="8205" max="8205" width="12.5546875" style="109" customWidth="1"/>
    <col min="8206" max="8206" width="9.6640625" style="109" customWidth="1"/>
    <col min="8207" max="8207" width="9.88671875" style="109" customWidth="1"/>
    <col min="8208" max="8208" width="11.33203125" style="109" customWidth="1"/>
    <col min="8209" max="8209" width="11.5546875" style="109" customWidth="1"/>
    <col min="8210" max="8210" width="11.6640625" style="109" customWidth="1"/>
    <col min="8211" max="8211" width="10.33203125" style="109" customWidth="1"/>
    <col min="8212" max="8212" width="11.77734375" style="109" customWidth="1"/>
    <col min="8213" max="8213" width="12.109375" style="109" customWidth="1"/>
    <col min="8214" max="8214" width="11" style="109" customWidth="1"/>
    <col min="8215" max="8215" width="12.109375" style="109" customWidth="1"/>
    <col min="8216" max="8216" width="10.5546875" style="109" customWidth="1"/>
    <col min="8217" max="8217" width="9.88671875" style="109" customWidth="1"/>
    <col min="8218" max="8218" width="10.77734375" style="109" customWidth="1"/>
    <col min="8219" max="8219" width="9.77734375" style="109" customWidth="1"/>
    <col min="8220" max="8220" width="11.21875" style="109" customWidth="1"/>
    <col min="8221" max="8221" width="10.33203125" style="109" customWidth="1"/>
    <col min="8222" max="8222" width="11.88671875" style="109" customWidth="1"/>
    <col min="8223" max="8223" width="8.77734375" style="109"/>
    <col min="8224" max="8224" width="13.88671875" style="109" customWidth="1"/>
    <col min="8225" max="8225" width="10.88671875" style="109" customWidth="1"/>
    <col min="8226" max="8226" width="11.44140625" style="109" customWidth="1"/>
    <col min="8227" max="8227" width="11.77734375" style="109" customWidth="1"/>
    <col min="8228" max="8228" width="11.109375" style="109" customWidth="1"/>
    <col min="8229" max="8229" width="10.88671875" style="109" customWidth="1"/>
    <col min="8230" max="8233" width="8.77734375" style="109"/>
    <col min="8234" max="8234" width="11.44140625" style="109" bestFit="1" customWidth="1"/>
    <col min="8235" max="8235" width="10.21875" style="109" customWidth="1"/>
    <col min="8236" max="8236" width="11.5546875" style="109" customWidth="1"/>
    <col min="8237" max="8237" width="12.109375" style="109" customWidth="1"/>
    <col min="8238" max="8238" width="13.21875" style="109" customWidth="1"/>
    <col min="8239" max="8239" width="14.109375" style="109" customWidth="1"/>
    <col min="8240" max="8240" width="11.77734375" style="109" customWidth="1"/>
    <col min="8241" max="8241" width="9.6640625" style="109" customWidth="1"/>
    <col min="8242" max="8245" width="8.77734375" style="109"/>
    <col min="8246" max="8246" width="28.77734375" style="109" customWidth="1"/>
    <col min="8247" max="8247" width="11.77734375" style="109" customWidth="1"/>
    <col min="8248" max="8248" width="10" style="109" customWidth="1"/>
    <col min="8249" max="8249" width="10.44140625" style="109" customWidth="1"/>
    <col min="8250" max="8251" width="8.77734375" style="109"/>
    <col min="8252" max="8252" width="9.33203125" style="109" customWidth="1"/>
    <col min="8253" max="8253" width="18.44140625" style="109" customWidth="1"/>
    <col min="8254" max="8254" width="11" style="109" customWidth="1"/>
    <col min="8255" max="8255" width="9.5546875" style="109" customWidth="1"/>
    <col min="8256" max="8256" width="10.6640625" style="109" customWidth="1"/>
    <col min="8257" max="8257" width="9.88671875" style="109" customWidth="1"/>
    <col min="8258" max="8258" width="11.44140625" style="109" customWidth="1"/>
    <col min="8259" max="8259" width="9.88671875" style="109" customWidth="1"/>
    <col min="8260" max="8260" width="10" style="109" customWidth="1"/>
    <col min="8261" max="8261" width="6.77734375" style="109" customWidth="1"/>
    <col min="8262" max="8262" width="12.5546875" style="109" customWidth="1"/>
    <col min="8263" max="8263" width="9.5546875" style="109" customWidth="1"/>
    <col min="8264" max="8264" width="10.33203125" style="109" customWidth="1"/>
    <col min="8265" max="8265" width="7.77734375" style="109" customWidth="1"/>
    <col min="8266" max="8266" width="7.21875" style="109" customWidth="1"/>
    <col min="8267" max="8267" width="17.6640625" style="109" customWidth="1"/>
    <col min="8268" max="8268" width="8.77734375" style="109" customWidth="1"/>
    <col min="8269" max="8269" width="13.109375" style="109" bestFit="1" customWidth="1"/>
    <col min="8270" max="8270" width="13.77734375" style="109" customWidth="1"/>
    <col min="8271" max="8272" width="8.77734375" style="109"/>
    <col min="8273" max="8273" width="9" style="109" bestFit="1" customWidth="1"/>
    <col min="8274" max="8282" width="8.77734375" style="109"/>
    <col min="8283" max="8283" width="13.109375" style="109" customWidth="1"/>
    <col min="8284" max="8284" width="8.77734375" style="109"/>
    <col min="8285" max="8285" width="9.88671875" style="109" customWidth="1"/>
    <col min="8286" max="8289" width="8.77734375" style="109"/>
    <col min="8290" max="8290" width="8.5546875" style="109" customWidth="1"/>
    <col min="8291" max="8291" width="30.33203125" style="109" customWidth="1"/>
    <col min="8292" max="8292" width="9" style="109" bestFit="1" customWidth="1"/>
    <col min="8293" max="8293" width="8.77734375" style="109"/>
    <col min="8294" max="8294" width="5.88671875" style="109" customWidth="1"/>
    <col min="8295" max="8295" width="6.88671875" style="109" customWidth="1"/>
    <col min="8296" max="8296" width="23.88671875" style="109" customWidth="1"/>
    <col min="8297" max="8303" width="8.77734375" style="109"/>
    <col min="8304" max="8304" width="9" style="109" bestFit="1" customWidth="1"/>
    <col min="8305" max="8306" width="8.77734375" style="109"/>
    <col min="8307" max="8307" width="32.88671875" style="109" customWidth="1"/>
    <col min="8308" max="8308" width="16.6640625" style="109" customWidth="1"/>
    <col min="8309" max="8309" width="10.21875" style="109" customWidth="1"/>
    <col min="8310" max="8310" width="12.44140625" style="109" customWidth="1"/>
    <col min="8311" max="8311" width="10" style="109" bestFit="1" customWidth="1"/>
    <col min="8312" max="8312" width="8.77734375" style="109"/>
    <col min="8313" max="8313" width="9" style="109" bestFit="1" customWidth="1"/>
    <col min="8314" max="8315" width="8.77734375" style="109"/>
    <col min="8316" max="8316" width="11.6640625" style="109" customWidth="1"/>
    <col min="8317" max="8317" width="8.77734375" style="109"/>
    <col min="8318" max="8318" width="28.77734375" style="109" customWidth="1"/>
    <col min="8319" max="8319" width="12.33203125" style="109" customWidth="1"/>
    <col min="8320" max="8320" width="11.21875" style="109" customWidth="1"/>
    <col min="8321" max="8448" width="8.77734375" style="109"/>
    <col min="8449" max="8449" width="5.6640625" style="109" customWidth="1"/>
    <col min="8450" max="8450" width="26.5546875" style="109" customWidth="1"/>
    <col min="8451" max="8451" width="11.44140625" style="109" customWidth="1"/>
    <col min="8452" max="8452" width="7.44140625" style="109" customWidth="1"/>
    <col min="8453" max="8453" width="8.5546875" style="109" customWidth="1"/>
    <col min="8454" max="8454" width="12.33203125" style="109" customWidth="1"/>
    <col min="8455" max="8455" width="11.77734375" style="109" customWidth="1"/>
    <col min="8456" max="8456" width="8.21875" style="109" customWidth="1"/>
    <col min="8457" max="8457" width="12" style="109" customWidth="1"/>
    <col min="8458" max="8458" width="8.77734375" style="109" customWidth="1"/>
    <col min="8459" max="8459" width="11.109375" style="109" customWidth="1"/>
    <col min="8460" max="8460" width="12.88671875" style="109" customWidth="1"/>
    <col min="8461" max="8461" width="12.5546875" style="109" customWidth="1"/>
    <col min="8462" max="8462" width="9.6640625" style="109" customWidth="1"/>
    <col min="8463" max="8463" width="9.88671875" style="109" customWidth="1"/>
    <col min="8464" max="8464" width="11.33203125" style="109" customWidth="1"/>
    <col min="8465" max="8465" width="11.5546875" style="109" customWidth="1"/>
    <col min="8466" max="8466" width="11.6640625" style="109" customWidth="1"/>
    <col min="8467" max="8467" width="10.33203125" style="109" customWidth="1"/>
    <col min="8468" max="8468" width="11.77734375" style="109" customWidth="1"/>
    <col min="8469" max="8469" width="12.109375" style="109" customWidth="1"/>
    <col min="8470" max="8470" width="11" style="109" customWidth="1"/>
    <col min="8471" max="8471" width="12.109375" style="109" customWidth="1"/>
    <col min="8472" max="8472" width="10.5546875" style="109" customWidth="1"/>
    <col min="8473" max="8473" width="9.88671875" style="109" customWidth="1"/>
    <col min="8474" max="8474" width="10.77734375" style="109" customWidth="1"/>
    <col min="8475" max="8475" width="9.77734375" style="109" customWidth="1"/>
    <col min="8476" max="8476" width="11.21875" style="109" customWidth="1"/>
    <col min="8477" max="8477" width="10.33203125" style="109" customWidth="1"/>
    <col min="8478" max="8478" width="11.88671875" style="109" customWidth="1"/>
    <col min="8479" max="8479" width="8.77734375" style="109"/>
    <col min="8480" max="8480" width="13.88671875" style="109" customWidth="1"/>
    <col min="8481" max="8481" width="10.88671875" style="109" customWidth="1"/>
    <col min="8482" max="8482" width="11.44140625" style="109" customWidth="1"/>
    <col min="8483" max="8483" width="11.77734375" style="109" customWidth="1"/>
    <col min="8484" max="8484" width="11.109375" style="109" customWidth="1"/>
    <col min="8485" max="8485" width="10.88671875" style="109" customWidth="1"/>
    <col min="8486" max="8489" width="8.77734375" style="109"/>
    <col min="8490" max="8490" width="11.44140625" style="109" bestFit="1" customWidth="1"/>
    <col min="8491" max="8491" width="10.21875" style="109" customWidth="1"/>
    <col min="8492" max="8492" width="11.5546875" style="109" customWidth="1"/>
    <col min="8493" max="8493" width="12.109375" style="109" customWidth="1"/>
    <col min="8494" max="8494" width="13.21875" style="109" customWidth="1"/>
    <col min="8495" max="8495" width="14.109375" style="109" customWidth="1"/>
    <col min="8496" max="8496" width="11.77734375" style="109" customWidth="1"/>
    <col min="8497" max="8497" width="9.6640625" style="109" customWidth="1"/>
    <col min="8498" max="8501" width="8.77734375" style="109"/>
    <col min="8502" max="8502" width="28.77734375" style="109" customWidth="1"/>
    <col min="8503" max="8503" width="11.77734375" style="109" customWidth="1"/>
    <col min="8504" max="8504" width="10" style="109" customWidth="1"/>
    <col min="8505" max="8505" width="10.44140625" style="109" customWidth="1"/>
    <col min="8506" max="8507" width="8.77734375" style="109"/>
    <col min="8508" max="8508" width="9.33203125" style="109" customWidth="1"/>
    <col min="8509" max="8509" width="18.44140625" style="109" customWidth="1"/>
    <col min="8510" max="8510" width="11" style="109" customWidth="1"/>
    <col min="8511" max="8511" width="9.5546875" style="109" customWidth="1"/>
    <col min="8512" max="8512" width="10.6640625" style="109" customWidth="1"/>
    <col min="8513" max="8513" width="9.88671875" style="109" customWidth="1"/>
    <col min="8514" max="8514" width="11.44140625" style="109" customWidth="1"/>
    <col min="8515" max="8515" width="9.88671875" style="109" customWidth="1"/>
    <col min="8516" max="8516" width="10" style="109" customWidth="1"/>
    <col min="8517" max="8517" width="6.77734375" style="109" customWidth="1"/>
    <col min="8518" max="8518" width="12.5546875" style="109" customWidth="1"/>
    <col min="8519" max="8519" width="9.5546875" style="109" customWidth="1"/>
    <col min="8520" max="8520" width="10.33203125" style="109" customWidth="1"/>
    <col min="8521" max="8521" width="7.77734375" style="109" customWidth="1"/>
    <col min="8522" max="8522" width="7.21875" style="109" customWidth="1"/>
    <col min="8523" max="8523" width="17.6640625" style="109" customWidth="1"/>
    <col min="8524" max="8524" width="8.77734375" style="109" customWidth="1"/>
    <col min="8525" max="8525" width="13.109375" style="109" bestFit="1" customWidth="1"/>
    <col min="8526" max="8526" width="13.77734375" style="109" customWidth="1"/>
    <col min="8527" max="8528" width="8.77734375" style="109"/>
    <col min="8529" max="8529" width="9" style="109" bestFit="1" customWidth="1"/>
    <col min="8530" max="8538" width="8.77734375" style="109"/>
    <col min="8539" max="8539" width="13.109375" style="109" customWidth="1"/>
    <col min="8540" max="8540" width="8.77734375" style="109"/>
    <col min="8541" max="8541" width="9.88671875" style="109" customWidth="1"/>
    <col min="8542" max="8545" width="8.77734375" style="109"/>
    <col min="8546" max="8546" width="8.5546875" style="109" customWidth="1"/>
    <col min="8547" max="8547" width="30.33203125" style="109" customWidth="1"/>
    <col min="8548" max="8548" width="9" style="109" bestFit="1" customWidth="1"/>
    <col min="8549" max="8549" width="8.77734375" style="109"/>
    <col min="8550" max="8550" width="5.88671875" style="109" customWidth="1"/>
    <col min="8551" max="8551" width="6.88671875" style="109" customWidth="1"/>
    <col min="8552" max="8552" width="23.88671875" style="109" customWidth="1"/>
    <col min="8553" max="8559" width="8.77734375" style="109"/>
    <col min="8560" max="8560" width="9" style="109" bestFit="1" customWidth="1"/>
    <col min="8561" max="8562" width="8.77734375" style="109"/>
    <col min="8563" max="8563" width="32.88671875" style="109" customWidth="1"/>
    <col min="8564" max="8564" width="16.6640625" style="109" customWidth="1"/>
    <col min="8565" max="8565" width="10.21875" style="109" customWidth="1"/>
    <col min="8566" max="8566" width="12.44140625" style="109" customWidth="1"/>
    <col min="8567" max="8567" width="10" style="109" bestFit="1" customWidth="1"/>
    <col min="8568" max="8568" width="8.77734375" style="109"/>
    <col min="8569" max="8569" width="9" style="109" bestFit="1" customWidth="1"/>
    <col min="8570" max="8571" width="8.77734375" style="109"/>
    <col min="8572" max="8572" width="11.6640625" style="109" customWidth="1"/>
    <col min="8573" max="8573" width="8.77734375" style="109"/>
    <col min="8574" max="8574" width="28.77734375" style="109" customWidth="1"/>
    <col min="8575" max="8575" width="12.33203125" style="109" customWidth="1"/>
    <col min="8576" max="8576" width="11.21875" style="109" customWidth="1"/>
    <col min="8577" max="8704" width="8.77734375" style="109"/>
    <col min="8705" max="8705" width="5.6640625" style="109" customWidth="1"/>
    <col min="8706" max="8706" width="26.5546875" style="109" customWidth="1"/>
    <col min="8707" max="8707" width="11.44140625" style="109" customWidth="1"/>
    <col min="8708" max="8708" width="7.44140625" style="109" customWidth="1"/>
    <col min="8709" max="8709" width="8.5546875" style="109" customWidth="1"/>
    <col min="8710" max="8710" width="12.33203125" style="109" customWidth="1"/>
    <col min="8711" max="8711" width="11.77734375" style="109" customWidth="1"/>
    <col min="8712" max="8712" width="8.21875" style="109" customWidth="1"/>
    <col min="8713" max="8713" width="12" style="109" customWidth="1"/>
    <col min="8714" max="8714" width="8.77734375" style="109" customWidth="1"/>
    <col min="8715" max="8715" width="11.109375" style="109" customWidth="1"/>
    <col min="8716" max="8716" width="12.88671875" style="109" customWidth="1"/>
    <col min="8717" max="8717" width="12.5546875" style="109" customWidth="1"/>
    <col min="8718" max="8718" width="9.6640625" style="109" customWidth="1"/>
    <col min="8719" max="8719" width="9.88671875" style="109" customWidth="1"/>
    <col min="8720" max="8720" width="11.33203125" style="109" customWidth="1"/>
    <col min="8721" max="8721" width="11.5546875" style="109" customWidth="1"/>
    <col min="8722" max="8722" width="11.6640625" style="109" customWidth="1"/>
    <col min="8723" max="8723" width="10.33203125" style="109" customWidth="1"/>
    <col min="8724" max="8724" width="11.77734375" style="109" customWidth="1"/>
    <col min="8725" max="8725" width="12.109375" style="109" customWidth="1"/>
    <col min="8726" max="8726" width="11" style="109" customWidth="1"/>
    <col min="8727" max="8727" width="12.109375" style="109" customWidth="1"/>
    <col min="8728" max="8728" width="10.5546875" style="109" customWidth="1"/>
    <col min="8729" max="8729" width="9.88671875" style="109" customWidth="1"/>
    <col min="8730" max="8730" width="10.77734375" style="109" customWidth="1"/>
    <col min="8731" max="8731" width="9.77734375" style="109" customWidth="1"/>
    <col min="8732" max="8732" width="11.21875" style="109" customWidth="1"/>
    <col min="8733" max="8733" width="10.33203125" style="109" customWidth="1"/>
    <col min="8734" max="8734" width="11.88671875" style="109" customWidth="1"/>
    <col min="8735" max="8735" width="8.77734375" style="109"/>
    <col min="8736" max="8736" width="13.88671875" style="109" customWidth="1"/>
    <col min="8737" max="8737" width="10.88671875" style="109" customWidth="1"/>
    <col min="8738" max="8738" width="11.44140625" style="109" customWidth="1"/>
    <col min="8739" max="8739" width="11.77734375" style="109" customWidth="1"/>
    <col min="8740" max="8740" width="11.109375" style="109" customWidth="1"/>
    <col min="8741" max="8741" width="10.88671875" style="109" customWidth="1"/>
    <col min="8742" max="8745" width="8.77734375" style="109"/>
    <col min="8746" max="8746" width="11.44140625" style="109" bestFit="1" customWidth="1"/>
    <col min="8747" max="8747" width="10.21875" style="109" customWidth="1"/>
    <col min="8748" max="8748" width="11.5546875" style="109" customWidth="1"/>
    <col min="8749" max="8749" width="12.109375" style="109" customWidth="1"/>
    <col min="8750" max="8750" width="13.21875" style="109" customWidth="1"/>
    <col min="8751" max="8751" width="14.109375" style="109" customWidth="1"/>
    <col min="8752" max="8752" width="11.77734375" style="109" customWidth="1"/>
    <col min="8753" max="8753" width="9.6640625" style="109" customWidth="1"/>
    <col min="8754" max="8757" width="8.77734375" style="109"/>
    <col min="8758" max="8758" width="28.77734375" style="109" customWidth="1"/>
    <col min="8759" max="8759" width="11.77734375" style="109" customWidth="1"/>
    <col min="8760" max="8760" width="10" style="109" customWidth="1"/>
    <col min="8761" max="8761" width="10.44140625" style="109" customWidth="1"/>
    <col min="8762" max="8763" width="8.77734375" style="109"/>
    <col min="8764" max="8764" width="9.33203125" style="109" customWidth="1"/>
    <col min="8765" max="8765" width="18.44140625" style="109" customWidth="1"/>
    <col min="8766" max="8766" width="11" style="109" customWidth="1"/>
    <col min="8767" max="8767" width="9.5546875" style="109" customWidth="1"/>
    <col min="8768" max="8768" width="10.6640625" style="109" customWidth="1"/>
    <col min="8769" max="8769" width="9.88671875" style="109" customWidth="1"/>
    <col min="8770" max="8770" width="11.44140625" style="109" customWidth="1"/>
    <col min="8771" max="8771" width="9.88671875" style="109" customWidth="1"/>
    <col min="8772" max="8772" width="10" style="109" customWidth="1"/>
    <col min="8773" max="8773" width="6.77734375" style="109" customWidth="1"/>
    <col min="8774" max="8774" width="12.5546875" style="109" customWidth="1"/>
    <col min="8775" max="8775" width="9.5546875" style="109" customWidth="1"/>
    <col min="8776" max="8776" width="10.33203125" style="109" customWidth="1"/>
    <col min="8777" max="8777" width="7.77734375" style="109" customWidth="1"/>
    <col min="8778" max="8778" width="7.21875" style="109" customWidth="1"/>
    <col min="8779" max="8779" width="17.6640625" style="109" customWidth="1"/>
    <col min="8780" max="8780" width="8.77734375" style="109" customWidth="1"/>
    <col min="8781" max="8781" width="13.109375" style="109" bestFit="1" customWidth="1"/>
    <col min="8782" max="8782" width="13.77734375" style="109" customWidth="1"/>
    <col min="8783" max="8784" width="8.77734375" style="109"/>
    <col min="8785" max="8785" width="9" style="109" bestFit="1" customWidth="1"/>
    <col min="8786" max="8794" width="8.77734375" style="109"/>
    <col min="8795" max="8795" width="13.109375" style="109" customWidth="1"/>
    <col min="8796" max="8796" width="8.77734375" style="109"/>
    <col min="8797" max="8797" width="9.88671875" style="109" customWidth="1"/>
    <col min="8798" max="8801" width="8.77734375" style="109"/>
    <col min="8802" max="8802" width="8.5546875" style="109" customWidth="1"/>
    <col min="8803" max="8803" width="30.33203125" style="109" customWidth="1"/>
    <col min="8804" max="8804" width="9" style="109" bestFit="1" customWidth="1"/>
    <col min="8805" max="8805" width="8.77734375" style="109"/>
    <col min="8806" max="8806" width="5.88671875" style="109" customWidth="1"/>
    <col min="8807" max="8807" width="6.88671875" style="109" customWidth="1"/>
    <col min="8808" max="8808" width="23.88671875" style="109" customWidth="1"/>
    <col min="8809" max="8815" width="8.77734375" style="109"/>
    <col min="8816" max="8816" width="9" style="109" bestFit="1" customWidth="1"/>
    <col min="8817" max="8818" width="8.77734375" style="109"/>
    <col min="8819" max="8819" width="32.88671875" style="109" customWidth="1"/>
    <col min="8820" max="8820" width="16.6640625" style="109" customWidth="1"/>
    <col min="8821" max="8821" width="10.21875" style="109" customWidth="1"/>
    <col min="8822" max="8822" width="12.44140625" style="109" customWidth="1"/>
    <col min="8823" max="8823" width="10" style="109" bestFit="1" customWidth="1"/>
    <col min="8824" max="8824" width="8.77734375" style="109"/>
    <col min="8825" max="8825" width="9" style="109" bestFit="1" customWidth="1"/>
    <col min="8826" max="8827" width="8.77734375" style="109"/>
    <col min="8828" max="8828" width="11.6640625" style="109" customWidth="1"/>
    <col min="8829" max="8829" width="8.77734375" style="109"/>
    <col min="8830" max="8830" width="28.77734375" style="109" customWidth="1"/>
    <col min="8831" max="8831" width="12.33203125" style="109" customWidth="1"/>
    <col min="8832" max="8832" width="11.21875" style="109" customWidth="1"/>
    <col min="8833" max="8960" width="8.77734375" style="109"/>
    <col min="8961" max="8961" width="5.6640625" style="109" customWidth="1"/>
    <col min="8962" max="8962" width="26.5546875" style="109" customWidth="1"/>
    <col min="8963" max="8963" width="11.44140625" style="109" customWidth="1"/>
    <col min="8964" max="8964" width="7.44140625" style="109" customWidth="1"/>
    <col min="8965" max="8965" width="8.5546875" style="109" customWidth="1"/>
    <col min="8966" max="8966" width="12.33203125" style="109" customWidth="1"/>
    <col min="8967" max="8967" width="11.77734375" style="109" customWidth="1"/>
    <col min="8968" max="8968" width="8.21875" style="109" customWidth="1"/>
    <col min="8969" max="8969" width="12" style="109" customWidth="1"/>
    <col min="8970" max="8970" width="8.77734375" style="109" customWidth="1"/>
    <col min="8971" max="8971" width="11.109375" style="109" customWidth="1"/>
    <col min="8972" max="8972" width="12.88671875" style="109" customWidth="1"/>
    <col min="8973" max="8973" width="12.5546875" style="109" customWidth="1"/>
    <col min="8974" max="8974" width="9.6640625" style="109" customWidth="1"/>
    <col min="8975" max="8975" width="9.88671875" style="109" customWidth="1"/>
    <col min="8976" max="8976" width="11.33203125" style="109" customWidth="1"/>
    <col min="8977" max="8977" width="11.5546875" style="109" customWidth="1"/>
    <col min="8978" max="8978" width="11.6640625" style="109" customWidth="1"/>
    <col min="8979" max="8979" width="10.33203125" style="109" customWidth="1"/>
    <col min="8980" max="8980" width="11.77734375" style="109" customWidth="1"/>
    <col min="8981" max="8981" width="12.109375" style="109" customWidth="1"/>
    <col min="8982" max="8982" width="11" style="109" customWidth="1"/>
    <col min="8983" max="8983" width="12.109375" style="109" customWidth="1"/>
    <col min="8984" max="8984" width="10.5546875" style="109" customWidth="1"/>
    <col min="8985" max="8985" width="9.88671875" style="109" customWidth="1"/>
    <col min="8986" max="8986" width="10.77734375" style="109" customWidth="1"/>
    <col min="8987" max="8987" width="9.77734375" style="109" customWidth="1"/>
    <col min="8988" max="8988" width="11.21875" style="109" customWidth="1"/>
    <col min="8989" max="8989" width="10.33203125" style="109" customWidth="1"/>
    <col min="8990" max="8990" width="11.88671875" style="109" customWidth="1"/>
    <col min="8991" max="8991" width="8.77734375" style="109"/>
    <col min="8992" max="8992" width="13.88671875" style="109" customWidth="1"/>
    <col min="8993" max="8993" width="10.88671875" style="109" customWidth="1"/>
    <col min="8994" max="8994" width="11.44140625" style="109" customWidth="1"/>
    <col min="8995" max="8995" width="11.77734375" style="109" customWidth="1"/>
    <col min="8996" max="8996" width="11.109375" style="109" customWidth="1"/>
    <col min="8997" max="8997" width="10.88671875" style="109" customWidth="1"/>
    <col min="8998" max="9001" width="8.77734375" style="109"/>
    <col min="9002" max="9002" width="11.44140625" style="109" bestFit="1" customWidth="1"/>
    <col min="9003" max="9003" width="10.21875" style="109" customWidth="1"/>
    <col min="9004" max="9004" width="11.5546875" style="109" customWidth="1"/>
    <col min="9005" max="9005" width="12.109375" style="109" customWidth="1"/>
    <col min="9006" max="9006" width="13.21875" style="109" customWidth="1"/>
    <col min="9007" max="9007" width="14.109375" style="109" customWidth="1"/>
    <col min="9008" max="9008" width="11.77734375" style="109" customWidth="1"/>
    <col min="9009" max="9009" width="9.6640625" style="109" customWidth="1"/>
    <col min="9010" max="9013" width="8.77734375" style="109"/>
    <col min="9014" max="9014" width="28.77734375" style="109" customWidth="1"/>
    <col min="9015" max="9015" width="11.77734375" style="109" customWidth="1"/>
    <col min="9016" max="9016" width="10" style="109" customWidth="1"/>
    <col min="9017" max="9017" width="10.44140625" style="109" customWidth="1"/>
    <col min="9018" max="9019" width="8.77734375" style="109"/>
    <col min="9020" max="9020" width="9.33203125" style="109" customWidth="1"/>
    <col min="9021" max="9021" width="18.44140625" style="109" customWidth="1"/>
    <col min="9022" max="9022" width="11" style="109" customWidth="1"/>
    <col min="9023" max="9023" width="9.5546875" style="109" customWidth="1"/>
    <col min="9024" max="9024" width="10.6640625" style="109" customWidth="1"/>
    <col min="9025" max="9025" width="9.88671875" style="109" customWidth="1"/>
    <col min="9026" max="9026" width="11.44140625" style="109" customWidth="1"/>
    <col min="9027" max="9027" width="9.88671875" style="109" customWidth="1"/>
    <col min="9028" max="9028" width="10" style="109" customWidth="1"/>
    <col min="9029" max="9029" width="6.77734375" style="109" customWidth="1"/>
    <col min="9030" max="9030" width="12.5546875" style="109" customWidth="1"/>
    <col min="9031" max="9031" width="9.5546875" style="109" customWidth="1"/>
    <col min="9032" max="9032" width="10.33203125" style="109" customWidth="1"/>
    <col min="9033" max="9033" width="7.77734375" style="109" customWidth="1"/>
    <col min="9034" max="9034" width="7.21875" style="109" customWidth="1"/>
    <col min="9035" max="9035" width="17.6640625" style="109" customWidth="1"/>
    <col min="9036" max="9036" width="8.77734375" style="109" customWidth="1"/>
    <col min="9037" max="9037" width="13.109375" style="109" bestFit="1" customWidth="1"/>
    <col min="9038" max="9038" width="13.77734375" style="109" customWidth="1"/>
    <col min="9039" max="9040" width="8.77734375" style="109"/>
    <col min="9041" max="9041" width="9" style="109" bestFit="1" customWidth="1"/>
    <col min="9042" max="9050" width="8.77734375" style="109"/>
    <col min="9051" max="9051" width="13.109375" style="109" customWidth="1"/>
    <col min="9052" max="9052" width="8.77734375" style="109"/>
    <col min="9053" max="9053" width="9.88671875" style="109" customWidth="1"/>
    <col min="9054" max="9057" width="8.77734375" style="109"/>
    <col min="9058" max="9058" width="8.5546875" style="109" customWidth="1"/>
    <col min="9059" max="9059" width="30.33203125" style="109" customWidth="1"/>
    <col min="9060" max="9060" width="9" style="109" bestFit="1" customWidth="1"/>
    <col min="9061" max="9061" width="8.77734375" style="109"/>
    <col min="9062" max="9062" width="5.88671875" style="109" customWidth="1"/>
    <col min="9063" max="9063" width="6.88671875" style="109" customWidth="1"/>
    <col min="9064" max="9064" width="23.88671875" style="109" customWidth="1"/>
    <col min="9065" max="9071" width="8.77734375" style="109"/>
    <col min="9072" max="9072" width="9" style="109" bestFit="1" customWidth="1"/>
    <col min="9073" max="9074" width="8.77734375" style="109"/>
    <col min="9075" max="9075" width="32.88671875" style="109" customWidth="1"/>
    <col min="9076" max="9076" width="16.6640625" style="109" customWidth="1"/>
    <col min="9077" max="9077" width="10.21875" style="109" customWidth="1"/>
    <col min="9078" max="9078" width="12.44140625" style="109" customWidth="1"/>
    <col min="9079" max="9079" width="10" style="109" bestFit="1" customWidth="1"/>
    <col min="9080" max="9080" width="8.77734375" style="109"/>
    <col min="9081" max="9081" width="9" style="109" bestFit="1" customWidth="1"/>
    <col min="9082" max="9083" width="8.77734375" style="109"/>
    <col min="9084" max="9084" width="11.6640625" style="109" customWidth="1"/>
    <col min="9085" max="9085" width="8.77734375" style="109"/>
    <col min="9086" max="9086" width="28.77734375" style="109" customWidth="1"/>
    <col min="9087" max="9087" width="12.33203125" style="109" customWidth="1"/>
    <col min="9088" max="9088" width="11.21875" style="109" customWidth="1"/>
    <col min="9089" max="9216" width="8.77734375" style="109"/>
    <col min="9217" max="9217" width="5.6640625" style="109" customWidth="1"/>
    <col min="9218" max="9218" width="26.5546875" style="109" customWidth="1"/>
    <col min="9219" max="9219" width="11.44140625" style="109" customWidth="1"/>
    <col min="9220" max="9220" width="7.44140625" style="109" customWidth="1"/>
    <col min="9221" max="9221" width="8.5546875" style="109" customWidth="1"/>
    <col min="9222" max="9222" width="12.33203125" style="109" customWidth="1"/>
    <col min="9223" max="9223" width="11.77734375" style="109" customWidth="1"/>
    <col min="9224" max="9224" width="8.21875" style="109" customWidth="1"/>
    <col min="9225" max="9225" width="12" style="109" customWidth="1"/>
    <col min="9226" max="9226" width="8.77734375" style="109" customWidth="1"/>
    <col min="9227" max="9227" width="11.109375" style="109" customWidth="1"/>
    <col min="9228" max="9228" width="12.88671875" style="109" customWidth="1"/>
    <col min="9229" max="9229" width="12.5546875" style="109" customWidth="1"/>
    <col min="9230" max="9230" width="9.6640625" style="109" customWidth="1"/>
    <col min="9231" max="9231" width="9.88671875" style="109" customWidth="1"/>
    <col min="9232" max="9232" width="11.33203125" style="109" customWidth="1"/>
    <col min="9233" max="9233" width="11.5546875" style="109" customWidth="1"/>
    <col min="9234" max="9234" width="11.6640625" style="109" customWidth="1"/>
    <col min="9235" max="9235" width="10.33203125" style="109" customWidth="1"/>
    <col min="9236" max="9236" width="11.77734375" style="109" customWidth="1"/>
    <col min="9237" max="9237" width="12.109375" style="109" customWidth="1"/>
    <col min="9238" max="9238" width="11" style="109" customWidth="1"/>
    <col min="9239" max="9239" width="12.109375" style="109" customWidth="1"/>
    <col min="9240" max="9240" width="10.5546875" style="109" customWidth="1"/>
    <col min="9241" max="9241" width="9.88671875" style="109" customWidth="1"/>
    <col min="9242" max="9242" width="10.77734375" style="109" customWidth="1"/>
    <col min="9243" max="9243" width="9.77734375" style="109" customWidth="1"/>
    <col min="9244" max="9244" width="11.21875" style="109" customWidth="1"/>
    <col min="9245" max="9245" width="10.33203125" style="109" customWidth="1"/>
    <col min="9246" max="9246" width="11.88671875" style="109" customWidth="1"/>
    <col min="9247" max="9247" width="8.77734375" style="109"/>
    <col min="9248" max="9248" width="13.88671875" style="109" customWidth="1"/>
    <col min="9249" max="9249" width="10.88671875" style="109" customWidth="1"/>
    <col min="9250" max="9250" width="11.44140625" style="109" customWidth="1"/>
    <col min="9251" max="9251" width="11.77734375" style="109" customWidth="1"/>
    <col min="9252" max="9252" width="11.109375" style="109" customWidth="1"/>
    <col min="9253" max="9253" width="10.88671875" style="109" customWidth="1"/>
    <col min="9254" max="9257" width="8.77734375" style="109"/>
    <col min="9258" max="9258" width="11.44140625" style="109" bestFit="1" customWidth="1"/>
    <col min="9259" max="9259" width="10.21875" style="109" customWidth="1"/>
    <col min="9260" max="9260" width="11.5546875" style="109" customWidth="1"/>
    <col min="9261" max="9261" width="12.109375" style="109" customWidth="1"/>
    <col min="9262" max="9262" width="13.21875" style="109" customWidth="1"/>
    <col min="9263" max="9263" width="14.109375" style="109" customWidth="1"/>
    <col min="9264" max="9264" width="11.77734375" style="109" customWidth="1"/>
    <col min="9265" max="9265" width="9.6640625" style="109" customWidth="1"/>
    <col min="9266" max="9269" width="8.77734375" style="109"/>
    <col min="9270" max="9270" width="28.77734375" style="109" customWidth="1"/>
    <col min="9271" max="9271" width="11.77734375" style="109" customWidth="1"/>
    <col min="9272" max="9272" width="10" style="109" customWidth="1"/>
    <col min="9273" max="9273" width="10.44140625" style="109" customWidth="1"/>
    <col min="9274" max="9275" width="8.77734375" style="109"/>
    <col min="9276" max="9276" width="9.33203125" style="109" customWidth="1"/>
    <col min="9277" max="9277" width="18.44140625" style="109" customWidth="1"/>
    <col min="9278" max="9278" width="11" style="109" customWidth="1"/>
    <col min="9279" max="9279" width="9.5546875" style="109" customWidth="1"/>
    <col min="9280" max="9280" width="10.6640625" style="109" customWidth="1"/>
    <col min="9281" max="9281" width="9.88671875" style="109" customWidth="1"/>
    <col min="9282" max="9282" width="11.44140625" style="109" customWidth="1"/>
    <col min="9283" max="9283" width="9.88671875" style="109" customWidth="1"/>
    <col min="9284" max="9284" width="10" style="109" customWidth="1"/>
    <col min="9285" max="9285" width="6.77734375" style="109" customWidth="1"/>
    <col min="9286" max="9286" width="12.5546875" style="109" customWidth="1"/>
    <col min="9287" max="9287" width="9.5546875" style="109" customWidth="1"/>
    <col min="9288" max="9288" width="10.33203125" style="109" customWidth="1"/>
    <col min="9289" max="9289" width="7.77734375" style="109" customWidth="1"/>
    <col min="9290" max="9290" width="7.21875" style="109" customWidth="1"/>
    <col min="9291" max="9291" width="17.6640625" style="109" customWidth="1"/>
    <col min="9292" max="9292" width="8.77734375" style="109" customWidth="1"/>
    <col min="9293" max="9293" width="13.109375" style="109" bestFit="1" customWidth="1"/>
    <col min="9294" max="9294" width="13.77734375" style="109" customWidth="1"/>
    <col min="9295" max="9296" width="8.77734375" style="109"/>
    <col min="9297" max="9297" width="9" style="109" bestFit="1" customWidth="1"/>
    <col min="9298" max="9306" width="8.77734375" style="109"/>
    <col min="9307" max="9307" width="13.109375" style="109" customWidth="1"/>
    <col min="9308" max="9308" width="8.77734375" style="109"/>
    <col min="9309" max="9309" width="9.88671875" style="109" customWidth="1"/>
    <col min="9310" max="9313" width="8.77734375" style="109"/>
    <col min="9314" max="9314" width="8.5546875" style="109" customWidth="1"/>
    <col min="9315" max="9315" width="30.33203125" style="109" customWidth="1"/>
    <col min="9316" max="9316" width="9" style="109" bestFit="1" customWidth="1"/>
    <col min="9317" max="9317" width="8.77734375" style="109"/>
    <col min="9318" max="9318" width="5.88671875" style="109" customWidth="1"/>
    <col min="9319" max="9319" width="6.88671875" style="109" customWidth="1"/>
    <col min="9320" max="9320" width="23.88671875" style="109" customWidth="1"/>
    <col min="9321" max="9327" width="8.77734375" style="109"/>
    <col min="9328" max="9328" width="9" style="109" bestFit="1" customWidth="1"/>
    <col min="9329" max="9330" width="8.77734375" style="109"/>
    <col min="9331" max="9331" width="32.88671875" style="109" customWidth="1"/>
    <col min="9332" max="9332" width="16.6640625" style="109" customWidth="1"/>
    <col min="9333" max="9333" width="10.21875" style="109" customWidth="1"/>
    <col min="9334" max="9334" width="12.44140625" style="109" customWidth="1"/>
    <col min="9335" max="9335" width="10" style="109" bestFit="1" customWidth="1"/>
    <col min="9336" max="9336" width="8.77734375" style="109"/>
    <col min="9337" max="9337" width="9" style="109" bestFit="1" customWidth="1"/>
    <col min="9338" max="9339" width="8.77734375" style="109"/>
    <col min="9340" max="9340" width="11.6640625" style="109" customWidth="1"/>
    <col min="9341" max="9341" width="8.77734375" style="109"/>
    <col min="9342" max="9342" width="28.77734375" style="109" customWidth="1"/>
    <col min="9343" max="9343" width="12.33203125" style="109" customWidth="1"/>
    <col min="9344" max="9344" width="11.21875" style="109" customWidth="1"/>
    <col min="9345" max="9472" width="8.77734375" style="109"/>
    <col min="9473" max="9473" width="5.6640625" style="109" customWidth="1"/>
    <col min="9474" max="9474" width="26.5546875" style="109" customWidth="1"/>
    <col min="9475" max="9475" width="11.44140625" style="109" customWidth="1"/>
    <col min="9476" max="9476" width="7.44140625" style="109" customWidth="1"/>
    <col min="9477" max="9477" width="8.5546875" style="109" customWidth="1"/>
    <col min="9478" max="9478" width="12.33203125" style="109" customWidth="1"/>
    <col min="9479" max="9479" width="11.77734375" style="109" customWidth="1"/>
    <col min="9480" max="9480" width="8.21875" style="109" customWidth="1"/>
    <col min="9481" max="9481" width="12" style="109" customWidth="1"/>
    <col min="9482" max="9482" width="8.77734375" style="109" customWidth="1"/>
    <col min="9483" max="9483" width="11.109375" style="109" customWidth="1"/>
    <col min="9484" max="9484" width="12.88671875" style="109" customWidth="1"/>
    <col min="9485" max="9485" width="12.5546875" style="109" customWidth="1"/>
    <col min="9486" max="9486" width="9.6640625" style="109" customWidth="1"/>
    <col min="9487" max="9487" width="9.88671875" style="109" customWidth="1"/>
    <col min="9488" max="9488" width="11.33203125" style="109" customWidth="1"/>
    <col min="9489" max="9489" width="11.5546875" style="109" customWidth="1"/>
    <col min="9490" max="9490" width="11.6640625" style="109" customWidth="1"/>
    <col min="9491" max="9491" width="10.33203125" style="109" customWidth="1"/>
    <col min="9492" max="9492" width="11.77734375" style="109" customWidth="1"/>
    <col min="9493" max="9493" width="12.109375" style="109" customWidth="1"/>
    <col min="9494" max="9494" width="11" style="109" customWidth="1"/>
    <col min="9495" max="9495" width="12.109375" style="109" customWidth="1"/>
    <col min="9496" max="9496" width="10.5546875" style="109" customWidth="1"/>
    <col min="9497" max="9497" width="9.88671875" style="109" customWidth="1"/>
    <col min="9498" max="9498" width="10.77734375" style="109" customWidth="1"/>
    <col min="9499" max="9499" width="9.77734375" style="109" customWidth="1"/>
    <col min="9500" max="9500" width="11.21875" style="109" customWidth="1"/>
    <col min="9501" max="9501" width="10.33203125" style="109" customWidth="1"/>
    <col min="9502" max="9502" width="11.88671875" style="109" customWidth="1"/>
    <col min="9503" max="9503" width="8.77734375" style="109"/>
    <col min="9504" max="9504" width="13.88671875" style="109" customWidth="1"/>
    <col min="9505" max="9505" width="10.88671875" style="109" customWidth="1"/>
    <col min="9506" max="9506" width="11.44140625" style="109" customWidth="1"/>
    <col min="9507" max="9507" width="11.77734375" style="109" customWidth="1"/>
    <col min="9508" max="9508" width="11.109375" style="109" customWidth="1"/>
    <col min="9509" max="9509" width="10.88671875" style="109" customWidth="1"/>
    <col min="9510" max="9513" width="8.77734375" style="109"/>
    <col min="9514" max="9514" width="11.44140625" style="109" bestFit="1" customWidth="1"/>
    <col min="9515" max="9515" width="10.21875" style="109" customWidth="1"/>
    <col min="9516" max="9516" width="11.5546875" style="109" customWidth="1"/>
    <col min="9517" max="9517" width="12.109375" style="109" customWidth="1"/>
    <col min="9518" max="9518" width="13.21875" style="109" customWidth="1"/>
    <col min="9519" max="9519" width="14.109375" style="109" customWidth="1"/>
    <col min="9520" max="9520" width="11.77734375" style="109" customWidth="1"/>
    <col min="9521" max="9521" width="9.6640625" style="109" customWidth="1"/>
    <col min="9522" max="9525" width="8.77734375" style="109"/>
    <col min="9526" max="9526" width="28.77734375" style="109" customWidth="1"/>
    <col min="9527" max="9527" width="11.77734375" style="109" customWidth="1"/>
    <col min="9528" max="9528" width="10" style="109" customWidth="1"/>
    <col min="9529" max="9529" width="10.44140625" style="109" customWidth="1"/>
    <col min="9530" max="9531" width="8.77734375" style="109"/>
    <col min="9532" max="9532" width="9.33203125" style="109" customWidth="1"/>
    <col min="9533" max="9533" width="18.44140625" style="109" customWidth="1"/>
    <col min="9534" max="9534" width="11" style="109" customWidth="1"/>
    <col min="9535" max="9535" width="9.5546875" style="109" customWidth="1"/>
    <col min="9536" max="9536" width="10.6640625" style="109" customWidth="1"/>
    <col min="9537" max="9537" width="9.88671875" style="109" customWidth="1"/>
    <col min="9538" max="9538" width="11.44140625" style="109" customWidth="1"/>
    <col min="9539" max="9539" width="9.88671875" style="109" customWidth="1"/>
    <col min="9540" max="9540" width="10" style="109" customWidth="1"/>
    <col min="9541" max="9541" width="6.77734375" style="109" customWidth="1"/>
    <col min="9542" max="9542" width="12.5546875" style="109" customWidth="1"/>
    <col min="9543" max="9543" width="9.5546875" style="109" customWidth="1"/>
    <col min="9544" max="9544" width="10.33203125" style="109" customWidth="1"/>
    <col min="9545" max="9545" width="7.77734375" style="109" customWidth="1"/>
    <col min="9546" max="9546" width="7.21875" style="109" customWidth="1"/>
    <col min="9547" max="9547" width="17.6640625" style="109" customWidth="1"/>
    <col min="9548" max="9548" width="8.77734375" style="109" customWidth="1"/>
    <col min="9549" max="9549" width="13.109375" style="109" bestFit="1" customWidth="1"/>
    <col min="9550" max="9550" width="13.77734375" style="109" customWidth="1"/>
    <col min="9551" max="9552" width="8.77734375" style="109"/>
    <col min="9553" max="9553" width="9" style="109" bestFit="1" customWidth="1"/>
    <col min="9554" max="9562" width="8.77734375" style="109"/>
    <col min="9563" max="9563" width="13.109375" style="109" customWidth="1"/>
    <col min="9564" max="9564" width="8.77734375" style="109"/>
    <col min="9565" max="9565" width="9.88671875" style="109" customWidth="1"/>
    <col min="9566" max="9569" width="8.77734375" style="109"/>
    <col min="9570" max="9570" width="8.5546875" style="109" customWidth="1"/>
    <col min="9571" max="9571" width="30.33203125" style="109" customWidth="1"/>
    <col min="9572" max="9572" width="9" style="109" bestFit="1" customWidth="1"/>
    <col min="9573" max="9573" width="8.77734375" style="109"/>
    <col min="9574" max="9574" width="5.88671875" style="109" customWidth="1"/>
    <col min="9575" max="9575" width="6.88671875" style="109" customWidth="1"/>
    <col min="9576" max="9576" width="23.88671875" style="109" customWidth="1"/>
    <col min="9577" max="9583" width="8.77734375" style="109"/>
    <col min="9584" max="9584" width="9" style="109" bestFit="1" customWidth="1"/>
    <col min="9585" max="9586" width="8.77734375" style="109"/>
    <col min="9587" max="9587" width="32.88671875" style="109" customWidth="1"/>
    <col min="9588" max="9588" width="16.6640625" style="109" customWidth="1"/>
    <col min="9589" max="9589" width="10.21875" style="109" customWidth="1"/>
    <col min="9590" max="9590" width="12.44140625" style="109" customWidth="1"/>
    <col min="9591" max="9591" width="10" style="109" bestFit="1" customWidth="1"/>
    <col min="9592" max="9592" width="8.77734375" style="109"/>
    <col min="9593" max="9593" width="9" style="109" bestFit="1" customWidth="1"/>
    <col min="9594" max="9595" width="8.77734375" style="109"/>
    <col min="9596" max="9596" width="11.6640625" style="109" customWidth="1"/>
    <col min="9597" max="9597" width="8.77734375" style="109"/>
    <col min="9598" max="9598" width="28.77734375" style="109" customWidth="1"/>
    <col min="9599" max="9599" width="12.33203125" style="109" customWidth="1"/>
    <col min="9600" max="9600" width="11.21875" style="109" customWidth="1"/>
    <col min="9601" max="9728" width="8.77734375" style="109"/>
    <col min="9729" max="9729" width="5.6640625" style="109" customWidth="1"/>
    <col min="9730" max="9730" width="26.5546875" style="109" customWidth="1"/>
    <col min="9731" max="9731" width="11.44140625" style="109" customWidth="1"/>
    <col min="9732" max="9732" width="7.44140625" style="109" customWidth="1"/>
    <col min="9733" max="9733" width="8.5546875" style="109" customWidth="1"/>
    <col min="9734" max="9734" width="12.33203125" style="109" customWidth="1"/>
    <col min="9735" max="9735" width="11.77734375" style="109" customWidth="1"/>
    <col min="9736" max="9736" width="8.21875" style="109" customWidth="1"/>
    <col min="9737" max="9737" width="12" style="109" customWidth="1"/>
    <col min="9738" max="9738" width="8.77734375" style="109" customWidth="1"/>
    <col min="9739" max="9739" width="11.109375" style="109" customWidth="1"/>
    <col min="9740" max="9740" width="12.88671875" style="109" customWidth="1"/>
    <col min="9741" max="9741" width="12.5546875" style="109" customWidth="1"/>
    <col min="9742" max="9742" width="9.6640625" style="109" customWidth="1"/>
    <col min="9743" max="9743" width="9.88671875" style="109" customWidth="1"/>
    <col min="9744" max="9744" width="11.33203125" style="109" customWidth="1"/>
    <col min="9745" max="9745" width="11.5546875" style="109" customWidth="1"/>
    <col min="9746" max="9746" width="11.6640625" style="109" customWidth="1"/>
    <col min="9747" max="9747" width="10.33203125" style="109" customWidth="1"/>
    <col min="9748" max="9748" width="11.77734375" style="109" customWidth="1"/>
    <col min="9749" max="9749" width="12.109375" style="109" customWidth="1"/>
    <col min="9750" max="9750" width="11" style="109" customWidth="1"/>
    <col min="9751" max="9751" width="12.109375" style="109" customWidth="1"/>
    <col min="9752" max="9752" width="10.5546875" style="109" customWidth="1"/>
    <col min="9753" max="9753" width="9.88671875" style="109" customWidth="1"/>
    <col min="9754" max="9754" width="10.77734375" style="109" customWidth="1"/>
    <col min="9755" max="9755" width="9.77734375" style="109" customWidth="1"/>
    <col min="9756" max="9756" width="11.21875" style="109" customWidth="1"/>
    <col min="9757" max="9757" width="10.33203125" style="109" customWidth="1"/>
    <col min="9758" max="9758" width="11.88671875" style="109" customWidth="1"/>
    <col min="9759" max="9759" width="8.77734375" style="109"/>
    <col min="9760" max="9760" width="13.88671875" style="109" customWidth="1"/>
    <col min="9761" max="9761" width="10.88671875" style="109" customWidth="1"/>
    <col min="9762" max="9762" width="11.44140625" style="109" customWidth="1"/>
    <col min="9763" max="9763" width="11.77734375" style="109" customWidth="1"/>
    <col min="9764" max="9764" width="11.109375" style="109" customWidth="1"/>
    <col min="9765" max="9765" width="10.88671875" style="109" customWidth="1"/>
    <col min="9766" max="9769" width="8.77734375" style="109"/>
    <col min="9770" max="9770" width="11.44140625" style="109" bestFit="1" customWidth="1"/>
    <col min="9771" max="9771" width="10.21875" style="109" customWidth="1"/>
    <col min="9772" max="9772" width="11.5546875" style="109" customWidth="1"/>
    <col min="9773" max="9773" width="12.109375" style="109" customWidth="1"/>
    <col min="9774" max="9774" width="13.21875" style="109" customWidth="1"/>
    <col min="9775" max="9775" width="14.109375" style="109" customWidth="1"/>
    <col min="9776" max="9776" width="11.77734375" style="109" customWidth="1"/>
    <col min="9777" max="9777" width="9.6640625" style="109" customWidth="1"/>
    <col min="9778" max="9781" width="8.77734375" style="109"/>
    <col min="9782" max="9782" width="28.77734375" style="109" customWidth="1"/>
    <col min="9783" max="9783" width="11.77734375" style="109" customWidth="1"/>
    <col min="9784" max="9784" width="10" style="109" customWidth="1"/>
    <col min="9785" max="9785" width="10.44140625" style="109" customWidth="1"/>
    <col min="9786" max="9787" width="8.77734375" style="109"/>
    <col min="9788" max="9788" width="9.33203125" style="109" customWidth="1"/>
    <col min="9789" max="9789" width="18.44140625" style="109" customWidth="1"/>
    <col min="9790" max="9790" width="11" style="109" customWidth="1"/>
    <col min="9791" max="9791" width="9.5546875" style="109" customWidth="1"/>
    <col min="9792" max="9792" width="10.6640625" style="109" customWidth="1"/>
    <col min="9793" max="9793" width="9.88671875" style="109" customWidth="1"/>
    <col min="9794" max="9794" width="11.44140625" style="109" customWidth="1"/>
    <col min="9795" max="9795" width="9.88671875" style="109" customWidth="1"/>
    <col min="9796" max="9796" width="10" style="109" customWidth="1"/>
    <col min="9797" max="9797" width="6.77734375" style="109" customWidth="1"/>
    <col min="9798" max="9798" width="12.5546875" style="109" customWidth="1"/>
    <col min="9799" max="9799" width="9.5546875" style="109" customWidth="1"/>
    <col min="9800" max="9800" width="10.33203125" style="109" customWidth="1"/>
    <col min="9801" max="9801" width="7.77734375" style="109" customWidth="1"/>
    <col min="9802" max="9802" width="7.21875" style="109" customWidth="1"/>
    <col min="9803" max="9803" width="17.6640625" style="109" customWidth="1"/>
    <col min="9804" max="9804" width="8.77734375" style="109" customWidth="1"/>
    <col min="9805" max="9805" width="13.109375" style="109" bestFit="1" customWidth="1"/>
    <col min="9806" max="9806" width="13.77734375" style="109" customWidth="1"/>
    <col min="9807" max="9808" width="8.77734375" style="109"/>
    <col min="9809" max="9809" width="9" style="109" bestFit="1" customWidth="1"/>
    <col min="9810" max="9818" width="8.77734375" style="109"/>
    <col min="9819" max="9819" width="13.109375" style="109" customWidth="1"/>
    <col min="9820" max="9820" width="8.77734375" style="109"/>
    <col min="9821" max="9821" width="9.88671875" style="109" customWidth="1"/>
    <col min="9822" max="9825" width="8.77734375" style="109"/>
    <col min="9826" max="9826" width="8.5546875" style="109" customWidth="1"/>
    <col min="9827" max="9827" width="30.33203125" style="109" customWidth="1"/>
    <col min="9828" max="9828" width="9" style="109" bestFit="1" customWidth="1"/>
    <col min="9829" max="9829" width="8.77734375" style="109"/>
    <col min="9830" max="9830" width="5.88671875" style="109" customWidth="1"/>
    <col min="9831" max="9831" width="6.88671875" style="109" customWidth="1"/>
    <col min="9832" max="9832" width="23.88671875" style="109" customWidth="1"/>
    <col min="9833" max="9839" width="8.77734375" style="109"/>
    <col min="9840" max="9840" width="9" style="109" bestFit="1" customWidth="1"/>
    <col min="9841" max="9842" width="8.77734375" style="109"/>
    <col min="9843" max="9843" width="32.88671875" style="109" customWidth="1"/>
    <col min="9844" max="9844" width="16.6640625" style="109" customWidth="1"/>
    <col min="9845" max="9845" width="10.21875" style="109" customWidth="1"/>
    <col min="9846" max="9846" width="12.44140625" style="109" customWidth="1"/>
    <col min="9847" max="9847" width="10" style="109" bestFit="1" customWidth="1"/>
    <col min="9848" max="9848" width="8.77734375" style="109"/>
    <col min="9849" max="9849" width="9" style="109" bestFit="1" customWidth="1"/>
    <col min="9850" max="9851" width="8.77734375" style="109"/>
    <col min="9852" max="9852" width="11.6640625" style="109" customWidth="1"/>
    <col min="9853" max="9853" width="8.77734375" style="109"/>
    <col min="9854" max="9854" width="28.77734375" style="109" customWidth="1"/>
    <col min="9855" max="9855" width="12.33203125" style="109" customWidth="1"/>
    <col min="9856" max="9856" width="11.21875" style="109" customWidth="1"/>
    <col min="9857" max="9984" width="8.77734375" style="109"/>
    <col min="9985" max="9985" width="5.6640625" style="109" customWidth="1"/>
    <col min="9986" max="9986" width="26.5546875" style="109" customWidth="1"/>
    <col min="9987" max="9987" width="11.44140625" style="109" customWidth="1"/>
    <col min="9988" max="9988" width="7.44140625" style="109" customWidth="1"/>
    <col min="9989" max="9989" width="8.5546875" style="109" customWidth="1"/>
    <col min="9990" max="9990" width="12.33203125" style="109" customWidth="1"/>
    <col min="9991" max="9991" width="11.77734375" style="109" customWidth="1"/>
    <col min="9992" max="9992" width="8.21875" style="109" customWidth="1"/>
    <col min="9993" max="9993" width="12" style="109" customWidth="1"/>
    <col min="9994" max="9994" width="8.77734375" style="109" customWidth="1"/>
    <col min="9995" max="9995" width="11.109375" style="109" customWidth="1"/>
    <col min="9996" max="9996" width="12.88671875" style="109" customWidth="1"/>
    <col min="9997" max="9997" width="12.5546875" style="109" customWidth="1"/>
    <col min="9998" max="9998" width="9.6640625" style="109" customWidth="1"/>
    <col min="9999" max="9999" width="9.88671875" style="109" customWidth="1"/>
    <col min="10000" max="10000" width="11.33203125" style="109" customWidth="1"/>
    <col min="10001" max="10001" width="11.5546875" style="109" customWidth="1"/>
    <col min="10002" max="10002" width="11.6640625" style="109" customWidth="1"/>
    <col min="10003" max="10003" width="10.33203125" style="109" customWidth="1"/>
    <col min="10004" max="10004" width="11.77734375" style="109" customWidth="1"/>
    <col min="10005" max="10005" width="12.109375" style="109" customWidth="1"/>
    <col min="10006" max="10006" width="11" style="109" customWidth="1"/>
    <col min="10007" max="10007" width="12.109375" style="109" customWidth="1"/>
    <col min="10008" max="10008" width="10.5546875" style="109" customWidth="1"/>
    <col min="10009" max="10009" width="9.88671875" style="109" customWidth="1"/>
    <col min="10010" max="10010" width="10.77734375" style="109" customWidth="1"/>
    <col min="10011" max="10011" width="9.77734375" style="109" customWidth="1"/>
    <col min="10012" max="10012" width="11.21875" style="109" customWidth="1"/>
    <col min="10013" max="10013" width="10.33203125" style="109" customWidth="1"/>
    <col min="10014" max="10014" width="11.88671875" style="109" customWidth="1"/>
    <col min="10015" max="10015" width="8.77734375" style="109"/>
    <col min="10016" max="10016" width="13.88671875" style="109" customWidth="1"/>
    <col min="10017" max="10017" width="10.88671875" style="109" customWidth="1"/>
    <col min="10018" max="10018" width="11.44140625" style="109" customWidth="1"/>
    <col min="10019" max="10019" width="11.77734375" style="109" customWidth="1"/>
    <col min="10020" max="10020" width="11.109375" style="109" customWidth="1"/>
    <col min="10021" max="10021" width="10.88671875" style="109" customWidth="1"/>
    <col min="10022" max="10025" width="8.77734375" style="109"/>
    <col min="10026" max="10026" width="11.44140625" style="109" bestFit="1" customWidth="1"/>
    <col min="10027" max="10027" width="10.21875" style="109" customWidth="1"/>
    <col min="10028" max="10028" width="11.5546875" style="109" customWidth="1"/>
    <col min="10029" max="10029" width="12.109375" style="109" customWidth="1"/>
    <col min="10030" max="10030" width="13.21875" style="109" customWidth="1"/>
    <col min="10031" max="10031" width="14.109375" style="109" customWidth="1"/>
    <col min="10032" max="10032" width="11.77734375" style="109" customWidth="1"/>
    <col min="10033" max="10033" width="9.6640625" style="109" customWidth="1"/>
    <col min="10034" max="10037" width="8.77734375" style="109"/>
    <col min="10038" max="10038" width="28.77734375" style="109" customWidth="1"/>
    <col min="10039" max="10039" width="11.77734375" style="109" customWidth="1"/>
    <col min="10040" max="10040" width="10" style="109" customWidth="1"/>
    <col min="10041" max="10041" width="10.44140625" style="109" customWidth="1"/>
    <col min="10042" max="10043" width="8.77734375" style="109"/>
    <col min="10044" max="10044" width="9.33203125" style="109" customWidth="1"/>
    <col min="10045" max="10045" width="18.44140625" style="109" customWidth="1"/>
    <col min="10046" max="10046" width="11" style="109" customWidth="1"/>
    <col min="10047" max="10047" width="9.5546875" style="109" customWidth="1"/>
    <col min="10048" max="10048" width="10.6640625" style="109" customWidth="1"/>
    <col min="10049" max="10049" width="9.88671875" style="109" customWidth="1"/>
    <col min="10050" max="10050" width="11.44140625" style="109" customWidth="1"/>
    <col min="10051" max="10051" width="9.88671875" style="109" customWidth="1"/>
    <col min="10052" max="10052" width="10" style="109" customWidth="1"/>
    <col min="10053" max="10053" width="6.77734375" style="109" customWidth="1"/>
    <col min="10054" max="10054" width="12.5546875" style="109" customWidth="1"/>
    <col min="10055" max="10055" width="9.5546875" style="109" customWidth="1"/>
    <col min="10056" max="10056" width="10.33203125" style="109" customWidth="1"/>
    <col min="10057" max="10057" width="7.77734375" style="109" customWidth="1"/>
    <col min="10058" max="10058" width="7.21875" style="109" customWidth="1"/>
    <col min="10059" max="10059" width="17.6640625" style="109" customWidth="1"/>
    <col min="10060" max="10060" width="8.77734375" style="109" customWidth="1"/>
    <col min="10061" max="10061" width="13.109375" style="109" bestFit="1" customWidth="1"/>
    <col min="10062" max="10062" width="13.77734375" style="109" customWidth="1"/>
    <col min="10063" max="10064" width="8.77734375" style="109"/>
    <col min="10065" max="10065" width="9" style="109" bestFit="1" customWidth="1"/>
    <col min="10066" max="10074" width="8.77734375" style="109"/>
    <col min="10075" max="10075" width="13.109375" style="109" customWidth="1"/>
    <col min="10076" max="10076" width="8.77734375" style="109"/>
    <col min="10077" max="10077" width="9.88671875" style="109" customWidth="1"/>
    <col min="10078" max="10081" width="8.77734375" style="109"/>
    <col min="10082" max="10082" width="8.5546875" style="109" customWidth="1"/>
    <col min="10083" max="10083" width="30.33203125" style="109" customWidth="1"/>
    <col min="10084" max="10084" width="9" style="109" bestFit="1" customWidth="1"/>
    <col min="10085" max="10085" width="8.77734375" style="109"/>
    <col min="10086" max="10086" width="5.88671875" style="109" customWidth="1"/>
    <col min="10087" max="10087" width="6.88671875" style="109" customWidth="1"/>
    <col min="10088" max="10088" width="23.88671875" style="109" customWidth="1"/>
    <col min="10089" max="10095" width="8.77734375" style="109"/>
    <col min="10096" max="10096" width="9" style="109" bestFit="1" customWidth="1"/>
    <col min="10097" max="10098" width="8.77734375" style="109"/>
    <col min="10099" max="10099" width="32.88671875" style="109" customWidth="1"/>
    <col min="10100" max="10100" width="16.6640625" style="109" customWidth="1"/>
    <col min="10101" max="10101" width="10.21875" style="109" customWidth="1"/>
    <col min="10102" max="10102" width="12.44140625" style="109" customWidth="1"/>
    <col min="10103" max="10103" width="10" style="109" bestFit="1" customWidth="1"/>
    <col min="10104" max="10104" width="8.77734375" style="109"/>
    <col min="10105" max="10105" width="9" style="109" bestFit="1" customWidth="1"/>
    <col min="10106" max="10107" width="8.77734375" style="109"/>
    <col min="10108" max="10108" width="11.6640625" style="109" customWidth="1"/>
    <col min="10109" max="10109" width="8.77734375" style="109"/>
    <col min="10110" max="10110" width="28.77734375" style="109" customWidth="1"/>
    <col min="10111" max="10111" width="12.33203125" style="109" customWidth="1"/>
    <col min="10112" max="10112" width="11.21875" style="109" customWidth="1"/>
    <col min="10113" max="10240" width="8.77734375" style="109"/>
    <col min="10241" max="10241" width="5.6640625" style="109" customWidth="1"/>
    <col min="10242" max="10242" width="26.5546875" style="109" customWidth="1"/>
    <col min="10243" max="10243" width="11.44140625" style="109" customWidth="1"/>
    <col min="10244" max="10244" width="7.44140625" style="109" customWidth="1"/>
    <col min="10245" max="10245" width="8.5546875" style="109" customWidth="1"/>
    <col min="10246" max="10246" width="12.33203125" style="109" customWidth="1"/>
    <col min="10247" max="10247" width="11.77734375" style="109" customWidth="1"/>
    <col min="10248" max="10248" width="8.21875" style="109" customWidth="1"/>
    <col min="10249" max="10249" width="12" style="109" customWidth="1"/>
    <col min="10250" max="10250" width="8.77734375" style="109" customWidth="1"/>
    <col min="10251" max="10251" width="11.109375" style="109" customWidth="1"/>
    <col min="10252" max="10252" width="12.88671875" style="109" customWidth="1"/>
    <col min="10253" max="10253" width="12.5546875" style="109" customWidth="1"/>
    <col min="10254" max="10254" width="9.6640625" style="109" customWidth="1"/>
    <col min="10255" max="10255" width="9.88671875" style="109" customWidth="1"/>
    <col min="10256" max="10256" width="11.33203125" style="109" customWidth="1"/>
    <col min="10257" max="10257" width="11.5546875" style="109" customWidth="1"/>
    <col min="10258" max="10258" width="11.6640625" style="109" customWidth="1"/>
    <col min="10259" max="10259" width="10.33203125" style="109" customWidth="1"/>
    <col min="10260" max="10260" width="11.77734375" style="109" customWidth="1"/>
    <col min="10261" max="10261" width="12.109375" style="109" customWidth="1"/>
    <col min="10262" max="10262" width="11" style="109" customWidth="1"/>
    <col min="10263" max="10263" width="12.109375" style="109" customWidth="1"/>
    <col min="10264" max="10264" width="10.5546875" style="109" customWidth="1"/>
    <col min="10265" max="10265" width="9.88671875" style="109" customWidth="1"/>
    <col min="10266" max="10266" width="10.77734375" style="109" customWidth="1"/>
    <col min="10267" max="10267" width="9.77734375" style="109" customWidth="1"/>
    <col min="10268" max="10268" width="11.21875" style="109" customWidth="1"/>
    <col min="10269" max="10269" width="10.33203125" style="109" customWidth="1"/>
    <col min="10270" max="10270" width="11.88671875" style="109" customWidth="1"/>
    <col min="10271" max="10271" width="8.77734375" style="109"/>
    <col min="10272" max="10272" width="13.88671875" style="109" customWidth="1"/>
    <col min="10273" max="10273" width="10.88671875" style="109" customWidth="1"/>
    <col min="10274" max="10274" width="11.44140625" style="109" customWidth="1"/>
    <col min="10275" max="10275" width="11.77734375" style="109" customWidth="1"/>
    <col min="10276" max="10276" width="11.109375" style="109" customWidth="1"/>
    <col min="10277" max="10277" width="10.88671875" style="109" customWidth="1"/>
    <col min="10278" max="10281" width="8.77734375" style="109"/>
    <col min="10282" max="10282" width="11.44140625" style="109" bestFit="1" customWidth="1"/>
    <col min="10283" max="10283" width="10.21875" style="109" customWidth="1"/>
    <col min="10284" max="10284" width="11.5546875" style="109" customWidth="1"/>
    <col min="10285" max="10285" width="12.109375" style="109" customWidth="1"/>
    <col min="10286" max="10286" width="13.21875" style="109" customWidth="1"/>
    <col min="10287" max="10287" width="14.109375" style="109" customWidth="1"/>
    <col min="10288" max="10288" width="11.77734375" style="109" customWidth="1"/>
    <col min="10289" max="10289" width="9.6640625" style="109" customWidth="1"/>
    <col min="10290" max="10293" width="8.77734375" style="109"/>
    <col min="10294" max="10294" width="28.77734375" style="109" customWidth="1"/>
    <col min="10295" max="10295" width="11.77734375" style="109" customWidth="1"/>
    <col min="10296" max="10296" width="10" style="109" customWidth="1"/>
    <col min="10297" max="10297" width="10.44140625" style="109" customWidth="1"/>
    <col min="10298" max="10299" width="8.77734375" style="109"/>
    <col min="10300" max="10300" width="9.33203125" style="109" customWidth="1"/>
    <col min="10301" max="10301" width="18.44140625" style="109" customWidth="1"/>
    <col min="10302" max="10302" width="11" style="109" customWidth="1"/>
    <col min="10303" max="10303" width="9.5546875" style="109" customWidth="1"/>
    <col min="10304" max="10304" width="10.6640625" style="109" customWidth="1"/>
    <col min="10305" max="10305" width="9.88671875" style="109" customWidth="1"/>
    <col min="10306" max="10306" width="11.44140625" style="109" customWidth="1"/>
    <col min="10307" max="10307" width="9.88671875" style="109" customWidth="1"/>
    <col min="10308" max="10308" width="10" style="109" customWidth="1"/>
    <col min="10309" max="10309" width="6.77734375" style="109" customWidth="1"/>
    <col min="10310" max="10310" width="12.5546875" style="109" customWidth="1"/>
    <col min="10311" max="10311" width="9.5546875" style="109" customWidth="1"/>
    <col min="10312" max="10312" width="10.33203125" style="109" customWidth="1"/>
    <col min="10313" max="10313" width="7.77734375" style="109" customWidth="1"/>
    <col min="10314" max="10314" width="7.21875" style="109" customWidth="1"/>
    <col min="10315" max="10315" width="17.6640625" style="109" customWidth="1"/>
    <col min="10316" max="10316" width="8.77734375" style="109" customWidth="1"/>
    <col min="10317" max="10317" width="13.109375" style="109" bestFit="1" customWidth="1"/>
    <col min="10318" max="10318" width="13.77734375" style="109" customWidth="1"/>
    <col min="10319" max="10320" width="8.77734375" style="109"/>
    <col min="10321" max="10321" width="9" style="109" bestFit="1" customWidth="1"/>
    <col min="10322" max="10330" width="8.77734375" style="109"/>
    <col min="10331" max="10331" width="13.109375" style="109" customWidth="1"/>
    <col min="10332" max="10332" width="8.77734375" style="109"/>
    <col min="10333" max="10333" width="9.88671875" style="109" customWidth="1"/>
    <col min="10334" max="10337" width="8.77734375" style="109"/>
    <col min="10338" max="10338" width="8.5546875" style="109" customWidth="1"/>
    <col min="10339" max="10339" width="30.33203125" style="109" customWidth="1"/>
    <col min="10340" max="10340" width="9" style="109" bestFit="1" customWidth="1"/>
    <col min="10341" max="10341" width="8.77734375" style="109"/>
    <col min="10342" max="10342" width="5.88671875" style="109" customWidth="1"/>
    <col min="10343" max="10343" width="6.88671875" style="109" customWidth="1"/>
    <col min="10344" max="10344" width="23.88671875" style="109" customWidth="1"/>
    <col min="10345" max="10351" width="8.77734375" style="109"/>
    <col min="10352" max="10352" width="9" style="109" bestFit="1" customWidth="1"/>
    <col min="10353" max="10354" width="8.77734375" style="109"/>
    <col min="10355" max="10355" width="32.88671875" style="109" customWidth="1"/>
    <col min="10356" max="10356" width="16.6640625" style="109" customWidth="1"/>
    <col min="10357" max="10357" width="10.21875" style="109" customWidth="1"/>
    <col min="10358" max="10358" width="12.44140625" style="109" customWidth="1"/>
    <col min="10359" max="10359" width="10" style="109" bestFit="1" customWidth="1"/>
    <col min="10360" max="10360" width="8.77734375" style="109"/>
    <col min="10361" max="10361" width="9" style="109" bestFit="1" customWidth="1"/>
    <col min="10362" max="10363" width="8.77734375" style="109"/>
    <col min="10364" max="10364" width="11.6640625" style="109" customWidth="1"/>
    <col min="10365" max="10365" width="8.77734375" style="109"/>
    <col min="10366" max="10366" width="28.77734375" style="109" customWidth="1"/>
    <col min="10367" max="10367" width="12.33203125" style="109" customWidth="1"/>
    <col min="10368" max="10368" width="11.21875" style="109" customWidth="1"/>
    <col min="10369" max="10496" width="8.77734375" style="109"/>
    <col min="10497" max="10497" width="5.6640625" style="109" customWidth="1"/>
    <col min="10498" max="10498" width="26.5546875" style="109" customWidth="1"/>
    <col min="10499" max="10499" width="11.44140625" style="109" customWidth="1"/>
    <col min="10500" max="10500" width="7.44140625" style="109" customWidth="1"/>
    <col min="10501" max="10501" width="8.5546875" style="109" customWidth="1"/>
    <col min="10502" max="10502" width="12.33203125" style="109" customWidth="1"/>
    <col min="10503" max="10503" width="11.77734375" style="109" customWidth="1"/>
    <col min="10504" max="10504" width="8.21875" style="109" customWidth="1"/>
    <col min="10505" max="10505" width="12" style="109" customWidth="1"/>
    <col min="10506" max="10506" width="8.77734375" style="109" customWidth="1"/>
    <col min="10507" max="10507" width="11.109375" style="109" customWidth="1"/>
    <col min="10508" max="10508" width="12.88671875" style="109" customWidth="1"/>
    <col min="10509" max="10509" width="12.5546875" style="109" customWidth="1"/>
    <col min="10510" max="10510" width="9.6640625" style="109" customWidth="1"/>
    <col min="10511" max="10511" width="9.88671875" style="109" customWidth="1"/>
    <col min="10512" max="10512" width="11.33203125" style="109" customWidth="1"/>
    <col min="10513" max="10513" width="11.5546875" style="109" customWidth="1"/>
    <col min="10514" max="10514" width="11.6640625" style="109" customWidth="1"/>
    <col min="10515" max="10515" width="10.33203125" style="109" customWidth="1"/>
    <col min="10516" max="10516" width="11.77734375" style="109" customWidth="1"/>
    <col min="10517" max="10517" width="12.109375" style="109" customWidth="1"/>
    <col min="10518" max="10518" width="11" style="109" customWidth="1"/>
    <col min="10519" max="10519" width="12.109375" style="109" customWidth="1"/>
    <col min="10520" max="10520" width="10.5546875" style="109" customWidth="1"/>
    <col min="10521" max="10521" width="9.88671875" style="109" customWidth="1"/>
    <col min="10522" max="10522" width="10.77734375" style="109" customWidth="1"/>
    <col min="10523" max="10523" width="9.77734375" style="109" customWidth="1"/>
    <col min="10524" max="10524" width="11.21875" style="109" customWidth="1"/>
    <col min="10525" max="10525" width="10.33203125" style="109" customWidth="1"/>
    <col min="10526" max="10526" width="11.88671875" style="109" customWidth="1"/>
    <col min="10527" max="10527" width="8.77734375" style="109"/>
    <col min="10528" max="10528" width="13.88671875" style="109" customWidth="1"/>
    <col min="10529" max="10529" width="10.88671875" style="109" customWidth="1"/>
    <col min="10530" max="10530" width="11.44140625" style="109" customWidth="1"/>
    <col min="10531" max="10531" width="11.77734375" style="109" customWidth="1"/>
    <col min="10532" max="10532" width="11.109375" style="109" customWidth="1"/>
    <col min="10533" max="10533" width="10.88671875" style="109" customWidth="1"/>
    <col min="10534" max="10537" width="8.77734375" style="109"/>
    <col min="10538" max="10538" width="11.44140625" style="109" bestFit="1" customWidth="1"/>
    <col min="10539" max="10539" width="10.21875" style="109" customWidth="1"/>
    <col min="10540" max="10540" width="11.5546875" style="109" customWidth="1"/>
    <col min="10541" max="10541" width="12.109375" style="109" customWidth="1"/>
    <col min="10542" max="10542" width="13.21875" style="109" customWidth="1"/>
    <col min="10543" max="10543" width="14.109375" style="109" customWidth="1"/>
    <col min="10544" max="10544" width="11.77734375" style="109" customWidth="1"/>
    <col min="10545" max="10545" width="9.6640625" style="109" customWidth="1"/>
    <col min="10546" max="10549" width="8.77734375" style="109"/>
    <col min="10550" max="10550" width="28.77734375" style="109" customWidth="1"/>
    <col min="10551" max="10551" width="11.77734375" style="109" customWidth="1"/>
    <col min="10552" max="10552" width="10" style="109" customWidth="1"/>
    <col min="10553" max="10553" width="10.44140625" style="109" customWidth="1"/>
    <col min="10554" max="10555" width="8.77734375" style="109"/>
    <col min="10556" max="10556" width="9.33203125" style="109" customWidth="1"/>
    <col min="10557" max="10557" width="18.44140625" style="109" customWidth="1"/>
    <col min="10558" max="10558" width="11" style="109" customWidth="1"/>
    <col min="10559" max="10559" width="9.5546875" style="109" customWidth="1"/>
    <col min="10560" max="10560" width="10.6640625" style="109" customWidth="1"/>
    <col min="10561" max="10561" width="9.88671875" style="109" customWidth="1"/>
    <col min="10562" max="10562" width="11.44140625" style="109" customWidth="1"/>
    <col min="10563" max="10563" width="9.88671875" style="109" customWidth="1"/>
    <col min="10564" max="10564" width="10" style="109" customWidth="1"/>
    <col min="10565" max="10565" width="6.77734375" style="109" customWidth="1"/>
    <col min="10566" max="10566" width="12.5546875" style="109" customWidth="1"/>
    <col min="10567" max="10567" width="9.5546875" style="109" customWidth="1"/>
    <col min="10568" max="10568" width="10.33203125" style="109" customWidth="1"/>
    <col min="10569" max="10569" width="7.77734375" style="109" customWidth="1"/>
    <col min="10570" max="10570" width="7.21875" style="109" customWidth="1"/>
    <col min="10571" max="10571" width="17.6640625" style="109" customWidth="1"/>
    <col min="10572" max="10572" width="8.77734375" style="109" customWidth="1"/>
    <col min="10573" max="10573" width="13.109375" style="109" bestFit="1" customWidth="1"/>
    <col min="10574" max="10574" width="13.77734375" style="109" customWidth="1"/>
    <col min="10575" max="10576" width="8.77734375" style="109"/>
    <col min="10577" max="10577" width="9" style="109" bestFit="1" customWidth="1"/>
    <col min="10578" max="10586" width="8.77734375" style="109"/>
    <col min="10587" max="10587" width="13.109375" style="109" customWidth="1"/>
    <col min="10588" max="10588" width="8.77734375" style="109"/>
    <col min="10589" max="10589" width="9.88671875" style="109" customWidth="1"/>
    <col min="10590" max="10593" width="8.77734375" style="109"/>
    <col min="10594" max="10594" width="8.5546875" style="109" customWidth="1"/>
    <col min="10595" max="10595" width="30.33203125" style="109" customWidth="1"/>
    <col min="10596" max="10596" width="9" style="109" bestFit="1" customWidth="1"/>
    <col min="10597" max="10597" width="8.77734375" style="109"/>
    <col min="10598" max="10598" width="5.88671875" style="109" customWidth="1"/>
    <col min="10599" max="10599" width="6.88671875" style="109" customWidth="1"/>
    <col min="10600" max="10600" width="23.88671875" style="109" customWidth="1"/>
    <col min="10601" max="10607" width="8.77734375" style="109"/>
    <col min="10608" max="10608" width="9" style="109" bestFit="1" customWidth="1"/>
    <col min="10609" max="10610" width="8.77734375" style="109"/>
    <col min="10611" max="10611" width="32.88671875" style="109" customWidth="1"/>
    <col min="10612" max="10612" width="16.6640625" style="109" customWidth="1"/>
    <col min="10613" max="10613" width="10.21875" style="109" customWidth="1"/>
    <col min="10614" max="10614" width="12.44140625" style="109" customWidth="1"/>
    <col min="10615" max="10615" width="10" style="109" bestFit="1" customWidth="1"/>
    <col min="10616" max="10616" width="8.77734375" style="109"/>
    <col min="10617" max="10617" width="9" style="109" bestFit="1" customWidth="1"/>
    <col min="10618" max="10619" width="8.77734375" style="109"/>
    <col min="10620" max="10620" width="11.6640625" style="109" customWidth="1"/>
    <col min="10621" max="10621" width="8.77734375" style="109"/>
    <col min="10622" max="10622" width="28.77734375" style="109" customWidth="1"/>
    <col min="10623" max="10623" width="12.33203125" style="109" customWidth="1"/>
    <col min="10624" max="10624" width="11.21875" style="109" customWidth="1"/>
    <col min="10625" max="10752" width="8.77734375" style="109"/>
    <col min="10753" max="10753" width="5.6640625" style="109" customWidth="1"/>
    <col min="10754" max="10754" width="26.5546875" style="109" customWidth="1"/>
    <col min="10755" max="10755" width="11.44140625" style="109" customWidth="1"/>
    <col min="10756" max="10756" width="7.44140625" style="109" customWidth="1"/>
    <col min="10757" max="10757" width="8.5546875" style="109" customWidth="1"/>
    <col min="10758" max="10758" width="12.33203125" style="109" customWidth="1"/>
    <col min="10759" max="10759" width="11.77734375" style="109" customWidth="1"/>
    <col min="10760" max="10760" width="8.21875" style="109" customWidth="1"/>
    <col min="10761" max="10761" width="12" style="109" customWidth="1"/>
    <col min="10762" max="10762" width="8.77734375" style="109" customWidth="1"/>
    <col min="10763" max="10763" width="11.109375" style="109" customWidth="1"/>
    <col min="10764" max="10764" width="12.88671875" style="109" customWidth="1"/>
    <col min="10765" max="10765" width="12.5546875" style="109" customWidth="1"/>
    <col min="10766" max="10766" width="9.6640625" style="109" customWidth="1"/>
    <col min="10767" max="10767" width="9.88671875" style="109" customWidth="1"/>
    <col min="10768" max="10768" width="11.33203125" style="109" customWidth="1"/>
    <col min="10769" max="10769" width="11.5546875" style="109" customWidth="1"/>
    <col min="10770" max="10770" width="11.6640625" style="109" customWidth="1"/>
    <col min="10771" max="10771" width="10.33203125" style="109" customWidth="1"/>
    <col min="10772" max="10772" width="11.77734375" style="109" customWidth="1"/>
    <col min="10773" max="10773" width="12.109375" style="109" customWidth="1"/>
    <col min="10774" max="10774" width="11" style="109" customWidth="1"/>
    <col min="10775" max="10775" width="12.109375" style="109" customWidth="1"/>
    <col min="10776" max="10776" width="10.5546875" style="109" customWidth="1"/>
    <col min="10777" max="10777" width="9.88671875" style="109" customWidth="1"/>
    <col min="10778" max="10778" width="10.77734375" style="109" customWidth="1"/>
    <col min="10779" max="10779" width="9.77734375" style="109" customWidth="1"/>
    <col min="10780" max="10780" width="11.21875" style="109" customWidth="1"/>
    <col min="10781" max="10781" width="10.33203125" style="109" customWidth="1"/>
    <col min="10782" max="10782" width="11.88671875" style="109" customWidth="1"/>
    <col min="10783" max="10783" width="8.77734375" style="109"/>
    <col min="10784" max="10784" width="13.88671875" style="109" customWidth="1"/>
    <col min="10785" max="10785" width="10.88671875" style="109" customWidth="1"/>
    <col min="10786" max="10786" width="11.44140625" style="109" customWidth="1"/>
    <col min="10787" max="10787" width="11.77734375" style="109" customWidth="1"/>
    <col min="10788" max="10788" width="11.109375" style="109" customWidth="1"/>
    <col min="10789" max="10789" width="10.88671875" style="109" customWidth="1"/>
    <col min="10790" max="10793" width="8.77734375" style="109"/>
    <col min="10794" max="10794" width="11.44140625" style="109" bestFit="1" customWidth="1"/>
    <col min="10795" max="10795" width="10.21875" style="109" customWidth="1"/>
    <col min="10796" max="10796" width="11.5546875" style="109" customWidth="1"/>
    <col min="10797" max="10797" width="12.109375" style="109" customWidth="1"/>
    <col min="10798" max="10798" width="13.21875" style="109" customWidth="1"/>
    <col min="10799" max="10799" width="14.109375" style="109" customWidth="1"/>
    <col min="10800" max="10800" width="11.77734375" style="109" customWidth="1"/>
    <col min="10801" max="10801" width="9.6640625" style="109" customWidth="1"/>
    <col min="10802" max="10805" width="8.77734375" style="109"/>
    <col min="10806" max="10806" width="28.77734375" style="109" customWidth="1"/>
    <col min="10807" max="10807" width="11.77734375" style="109" customWidth="1"/>
    <col min="10808" max="10808" width="10" style="109" customWidth="1"/>
    <col min="10809" max="10809" width="10.44140625" style="109" customWidth="1"/>
    <col min="10810" max="10811" width="8.77734375" style="109"/>
    <col min="10812" max="10812" width="9.33203125" style="109" customWidth="1"/>
    <col min="10813" max="10813" width="18.44140625" style="109" customWidth="1"/>
    <col min="10814" max="10814" width="11" style="109" customWidth="1"/>
    <col min="10815" max="10815" width="9.5546875" style="109" customWidth="1"/>
    <col min="10816" max="10816" width="10.6640625" style="109" customWidth="1"/>
    <col min="10817" max="10817" width="9.88671875" style="109" customWidth="1"/>
    <col min="10818" max="10818" width="11.44140625" style="109" customWidth="1"/>
    <col min="10819" max="10819" width="9.88671875" style="109" customWidth="1"/>
    <col min="10820" max="10820" width="10" style="109" customWidth="1"/>
    <col min="10821" max="10821" width="6.77734375" style="109" customWidth="1"/>
    <col min="10822" max="10822" width="12.5546875" style="109" customWidth="1"/>
    <col min="10823" max="10823" width="9.5546875" style="109" customWidth="1"/>
    <col min="10824" max="10824" width="10.33203125" style="109" customWidth="1"/>
    <col min="10825" max="10825" width="7.77734375" style="109" customWidth="1"/>
    <col min="10826" max="10826" width="7.21875" style="109" customWidth="1"/>
    <col min="10827" max="10827" width="17.6640625" style="109" customWidth="1"/>
    <col min="10828" max="10828" width="8.77734375" style="109" customWidth="1"/>
    <col min="10829" max="10829" width="13.109375" style="109" bestFit="1" customWidth="1"/>
    <col min="10830" max="10830" width="13.77734375" style="109" customWidth="1"/>
    <col min="10831" max="10832" width="8.77734375" style="109"/>
    <col min="10833" max="10833" width="9" style="109" bestFit="1" customWidth="1"/>
    <col min="10834" max="10842" width="8.77734375" style="109"/>
    <col min="10843" max="10843" width="13.109375" style="109" customWidth="1"/>
    <col min="10844" max="10844" width="8.77734375" style="109"/>
    <col min="10845" max="10845" width="9.88671875" style="109" customWidth="1"/>
    <col min="10846" max="10849" width="8.77734375" style="109"/>
    <col min="10850" max="10850" width="8.5546875" style="109" customWidth="1"/>
    <col min="10851" max="10851" width="30.33203125" style="109" customWidth="1"/>
    <col min="10852" max="10852" width="9" style="109" bestFit="1" customWidth="1"/>
    <col min="10853" max="10853" width="8.77734375" style="109"/>
    <col min="10854" max="10854" width="5.88671875" style="109" customWidth="1"/>
    <col min="10855" max="10855" width="6.88671875" style="109" customWidth="1"/>
    <col min="10856" max="10856" width="23.88671875" style="109" customWidth="1"/>
    <col min="10857" max="10863" width="8.77734375" style="109"/>
    <col min="10864" max="10864" width="9" style="109" bestFit="1" customWidth="1"/>
    <col min="10865" max="10866" width="8.77734375" style="109"/>
    <col min="10867" max="10867" width="32.88671875" style="109" customWidth="1"/>
    <col min="10868" max="10868" width="16.6640625" style="109" customWidth="1"/>
    <col min="10869" max="10869" width="10.21875" style="109" customWidth="1"/>
    <col min="10870" max="10870" width="12.44140625" style="109" customWidth="1"/>
    <col min="10871" max="10871" width="10" style="109" bestFit="1" customWidth="1"/>
    <col min="10872" max="10872" width="8.77734375" style="109"/>
    <col min="10873" max="10873" width="9" style="109" bestFit="1" customWidth="1"/>
    <col min="10874" max="10875" width="8.77734375" style="109"/>
    <col min="10876" max="10876" width="11.6640625" style="109" customWidth="1"/>
    <col min="10877" max="10877" width="8.77734375" style="109"/>
    <col min="10878" max="10878" width="28.77734375" style="109" customWidth="1"/>
    <col min="10879" max="10879" width="12.33203125" style="109" customWidth="1"/>
    <col min="10880" max="10880" width="11.21875" style="109" customWidth="1"/>
    <col min="10881" max="11008" width="8.77734375" style="109"/>
    <col min="11009" max="11009" width="5.6640625" style="109" customWidth="1"/>
    <col min="11010" max="11010" width="26.5546875" style="109" customWidth="1"/>
    <col min="11011" max="11011" width="11.44140625" style="109" customWidth="1"/>
    <col min="11012" max="11012" width="7.44140625" style="109" customWidth="1"/>
    <col min="11013" max="11013" width="8.5546875" style="109" customWidth="1"/>
    <col min="11014" max="11014" width="12.33203125" style="109" customWidth="1"/>
    <col min="11015" max="11015" width="11.77734375" style="109" customWidth="1"/>
    <col min="11016" max="11016" width="8.21875" style="109" customWidth="1"/>
    <col min="11017" max="11017" width="12" style="109" customWidth="1"/>
    <col min="11018" max="11018" width="8.77734375" style="109" customWidth="1"/>
    <col min="11019" max="11019" width="11.109375" style="109" customWidth="1"/>
    <col min="11020" max="11020" width="12.88671875" style="109" customWidth="1"/>
    <col min="11021" max="11021" width="12.5546875" style="109" customWidth="1"/>
    <col min="11022" max="11022" width="9.6640625" style="109" customWidth="1"/>
    <col min="11023" max="11023" width="9.88671875" style="109" customWidth="1"/>
    <col min="11024" max="11024" width="11.33203125" style="109" customWidth="1"/>
    <col min="11025" max="11025" width="11.5546875" style="109" customWidth="1"/>
    <col min="11026" max="11026" width="11.6640625" style="109" customWidth="1"/>
    <col min="11027" max="11027" width="10.33203125" style="109" customWidth="1"/>
    <col min="11028" max="11028" width="11.77734375" style="109" customWidth="1"/>
    <col min="11029" max="11029" width="12.109375" style="109" customWidth="1"/>
    <col min="11030" max="11030" width="11" style="109" customWidth="1"/>
    <col min="11031" max="11031" width="12.109375" style="109" customWidth="1"/>
    <col min="11032" max="11032" width="10.5546875" style="109" customWidth="1"/>
    <col min="11033" max="11033" width="9.88671875" style="109" customWidth="1"/>
    <col min="11034" max="11034" width="10.77734375" style="109" customWidth="1"/>
    <col min="11035" max="11035" width="9.77734375" style="109" customWidth="1"/>
    <col min="11036" max="11036" width="11.21875" style="109" customWidth="1"/>
    <col min="11037" max="11037" width="10.33203125" style="109" customWidth="1"/>
    <col min="11038" max="11038" width="11.88671875" style="109" customWidth="1"/>
    <col min="11039" max="11039" width="8.77734375" style="109"/>
    <col min="11040" max="11040" width="13.88671875" style="109" customWidth="1"/>
    <col min="11041" max="11041" width="10.88671875" style="109" customWidth="1"/>
    <col min="11042" max="11042" width="11.44140625" style="109" customWidth="1"/>
    <col min="11043" max="11043" width="11.77734375" style="109" customWidth="1"/>
    <col min="11044" max="11044" width="11.109375" style="109" customWidth="1"/>
    <col min="11045" max="11045" width="10.88671875" style="109" customWidth="1"/>
    <col min="11046" max="11049" width="8.77734375" style="109"/>
    <col min="11050" max="11050" width="11.44140625" style="109" bestFit="1" customWidth="1"/>
    <col min="11051" max="11051" width="10.21875" style="109" customWidth="1"/>
    <col min="11052" max="11052" width="11.5546875" style="109" customWidth="1"/>
    <col min="11053" max="11053" width="12.109375" style="109" customWidth="1"/>
    <col min="11054" max="11054" width="13.21875" style="109" customWidth="1"/>
    <col min="11055" max="11055" width="14.109375" style="109" customWidth="1"/>
    <col min="11056" max="11056" width="11.77734375" style="109" customWidth="1"/>
    <col min="11057" max="11057" width="9.6640625" style="109" customWidth="1"/>
    <col min="11058" max="11061" width="8.77734375" style="109"/>
    <col min="11062" max="11062" width="28.77734375" style="109" customWidth="1"/>
    <col min="11063" max="11063" width="11.77734375" style="109" customWidth="1"/>
    <col min="11064" max="11064" width="10" style="109" customWidth="1"/>
    <col min="11065" max="11065" width="10.44140625" style="109" customWidth="1"/>
    <col min="11066" max="11067" width="8.77734375" style="109"/>
    <col min="11068" max="11068" width="9.33203125" style="109" customWidth="1"/>
    <col min="11069" max="11069" width="18.44140625" style="109" customWidth="1"/>
    <col min="11070" max="11070" width="11" style="109" customWidth="1"/>
    <col min="11071" max="11071" width="9.5546875" style="109" customWidth="1"/>
    <col min="11072" max="11072" width="10.6640625" style="109" customWidth="1"/>
    <col min="11073" max="11073" width="9.88671875" style="109" customWidth="1"/>
    <col min="11074" max="11074" width="11.44140625" style="109" customWidth="1"/>
    <col min="11075" max="11075" width="9.88671875" style="109" customWidth="1"/>
    <col min="11076" max="11076" width="10" style="109" customWidth="1"/>
    <col min="11077" max="11077" width="6.77734375" style="109" customWidth="1"/>
    <col min="11078" max="11078" width="12.5546875" style="109" customWidth="1"/>
    <col min="11079" max="11079" width="9.5546875" style="109" customWidth="1"/>
    <col min="11080" max="11080" width="10.33203125" style="109" customWidth="1"/>
    <col min="11081" max="11081" width="7.77734375" style="109" customWidth="1"/>
    <col min="11082" max="11082" width="7.21875" style="109" customWidth="1"/>
    <col min="11083" max="11083" width="17.6640625" style="109" customWidth="1"/>
    <col min="11084" max="11084" width="8.77734375" style="109" customWidth="1"/>
    <col min="11085" max="11085" width="13.109375" style="109" bestFit="1" customWidth="1"/>
    <col min="11086" max="11086" width="13.77734375" style="109" customWidth="1"/>
    <col min="11087" max="11088" width="8.77734375" style="109"/>
    <col min="11089" max="11089" width="9" style="109" bestFit="1" customWidth="1"/>
    <col min="11090" max="11098" width="8.77734375" style="109"/>
    <col min="11099" max="11099" width="13.109375" style="109" customWidth="1"/>
    <col min="11100" max="11100" width="8.77734375" style="109"/>
    <col min="11101" max="11101" width="9.88671875" style="109" customWidth="1"/>
    <col min="11102" max="11105" width="8.77734375" style="109"/>
    <col min="11106" max="11106" width="8.5546875" style="109" customWidth="1"/>
    <col min="11107" max="11107" width="30.33203125" style="109" customWidth="1"/>
    <col min="11108" max="11108" width="9" style="109" bestFit="1" customWidth="1"/>
    <col min="11109" max="11109" width="8.77734375" style="109"/>
    <col min="11110" max="11110" width="5.88671875" style="109" customWidth="1"/>
    <col min="11111" max="11111" width="6.88671875" style="109" customWidth="1"/>
    <col min="11112" max="11112" width="23.88671875" style="109" customWidth="1"/>
    <col min="11113" max="11119" width="8.77734375" style="109"/>
    <col min="11120" max="11120" width="9" style="109" bestFit="1" customWidth="1"/>
    <col min="11121" max="11122" width="8.77734375" style="109"/>
    <col min="11123" max="11123" width="32.88671875" style="109" customWidth="1"/>
    <col min="11124" max="11124" width="16.6640625" style="109" customWidth="1"/>
    <col min="11125" max="11125" width="10.21875" style="109" customWidth="1"/>
    <col min="11126" max="11126" width="12.44140625" style="109" customWidth="1"/>
    <col min="11127" max="11127" width="10" style="109" bestFit="1" customWidth="1"/>
    <col min="11128" max="11128" width="8.77734375" style="109"/>
    <col min="11129" max="11129" width="9" style="109" bestFit="1" customWidth="1"/>
    <col min="11130" max="11131" width="8.77734375" style="109"/>
    <col min="11132" max="11132" width="11.6640625" style="109" customWidth="1"/>
    <col min="11133" max="11133" width="8.77734375" style="109"/>
    <col min="11134" max="11134" width="28.77734375" style="109" customWidth="1"/>
    <col min="11135" max="11135" width="12.33203125" style="109" customWidth="1"/>
    <col min="11136" max="11136" width="11.21875" style="109" customWidth="1"/>
    <col min="11137" max="11264" width="8.77734375" style="109"/>
    <col min="11265" max="11265" width="5.6640625" style="109" customWidth="1"/>
    <col min="11266" max="11266" width="26.5546875" style="109" customWidth="1"/>
    <col min="11267" max="11267" width="11.44140625" style="109" customWidth="1"/>
    <col min="11268" max="11268" width="7.44140625" style="109" customWidth="1"/>
    <col min="11269" max="11269" width="8.5546875" style="109" customWidth="1"/>
    <col min="11270" max="11270" width="12.33203125" style="109" customWidth="1"/>
    <col min="11271" max="11271" width="11.77734375" style="109" customWidth="1"/>
    <col min="11272" max="11272" width="8.21875" style="109" customWidth="1"/>
    <col min="11273" max="11273" width="12" style="109" customWidth="1"/>
    <col min="11274" max="11274" width="8.77734375" style="109" customWidth="1"/>
    <col min="11275" max="11275" width="11.109375" style="109" customWidth="1"/>
    <col min="11276" max="11276" width="12.88671875" style="109" customWidth="1"/>
    <col min="11277" max="11277" width="12.5546875" style="109" customWidth="1"/>
    <col min="11278" max="11278" width="9.6640625" style="109" customWidth="1"/>
    <col min="11279" max="11279" width="9.88671875" style="109" customWidth="1"/>
    <col min="11280" max="11280" width="11.33203125" style="109" customWidth="1"/>
    <col min="11281" max="11281" width="11.5546875" style="109" customWidth="1"/>
    <col min="11282" max="11282" width="11.6640625" style="109" customWidth="1"/>
    <col min="11283" max="11283" width="10.33203125" style="109" customWidth="1"/>
    <col min="11284" max="11284" width="11.77734375" style="109" customWidth="1"/>
    <col min="11285" max="11285" width="12.109375" style="109" customWidth="1"/>
    <col min="11286" max="11286" width="11" style="109" customWidth="1"/>
    <col min="11287" max="11287" width="12.109375" style="109" customWidth="1"/>
    <col min="11288" max="11288" width="10.5546875" style="109" customWidth="1"/>
    <col min="11289" max="11289" width="9.88671875" style="109" customWidth="1"/>
    <col min="11290" max="11290" width="10.77734375" style="109" customWidth="1"/>
    <col min="11291" max="11291" width="9.77734375" style="109" customWidth="1"/>
    <col min="11292" max="11292" width="11.21875" style="109" customWidth="1"/>
    <col min="11293" max="11293" width="10.33203125" style="109" customWidth="1"/>
    <col min="11294" max="11294" width="11.88671875" style="109" customWidth="1"/>
    <col min="11295" max="11295" width="8.77734375" style="109"/>
    <col min="11296" max="11296" width="13.88671875" style="109" customWidth="1"/>
    <col min="11297" max="11297" width="10.88671875" style="109" customWidth="1"/>
    <col min="11298" max="11298" width="11.44140625" style="109" customWidth="1"/>
    <col min="11299" max="11299" width="11.77734375" style="109" customWidth="1"/>
    <col min="11300" max="11300" width="11.109375" style="109" customWidth="1"/>
    <col min="11301" max="11301" width="10.88671875" style="109" customWidth="1"/>
    <col min="11302" max="11305" width="8.77734375" style="109"/>
    <col min="11306" max="11306" width="11.44140625" style="109" bestFit="1" customWidth="1"/>
    <col min="11307" max="11307" width="10.21875" style="109" customWidth="1"/>
    <col min="11308" max="11308" width="11.5546875" style="109" customWidth="1"/>
    <col min="11309" max="11309" width="12.109375" style="109" customWidth="1"/>
    <col min="11310" max="11310" width="13.21875" style="109" customWidth="1"/>
    <col min="11311" max="11311" width="14.109375" style="109" customWidth="1"/>
    <col min="11312" max="11312" width="11.77734375" style="109" customWidth="1"/>
    <col min="11313" max="11313" width="9.6640625" style="109" customWidth="1"/>
    <col min="11314" max="11317" width="8.77734375" style="109"/>
    <col min="11318" max="11318" width="28.77734375" style="109" customWidth="1"/>
    <col min="11319" max="11319" width="11.77734375" style="109" customWidth="1"/>
    <col min="11320" max="11320" width="10" style="109" customWidth="1"/>
    <col min="11321" max="11321" width="10.44140625" style="109" customWidth="1"/>
    <col min="11322" max="11323" width="8.77734375" style="109"/>
    <col min="11324" max="11324" width="9.33203125" style="109" customWidth="1"/>
    <col min="11325" max="11325" width="18.44140625" style="109" customWidth="1"/>
    <col min="11326" max="11326" width="11" style="109" customWidth="1"/>
    <col min="11327" max="11327" width="9.5546875" style="109" customWidth="1"/>
    <col min="11328" max="11328" width="10.6640625" style="109" customWidth="1"/>
    <col min="11329" max="11329" width="9.88671875" style="109" customWidth="1"/>
    <col min="11330" max="11330" width="11.44140625" style="109" customWidth="1"/>
    <col min="11331" max="11331" width="9.88671875" style="109" customWidth="1"/>
    <col min="11332" max="11332" width="10" style="109" customWidth="1"/>
    <col min="11333" max="11333" width="6.77734375" style="109" customWidth="1"/>
    <col min="11334" max="11334" width="12.5546875" style="109" customWidth="1"/>
    <col min="11335" max="11335" width="9.5546875" style="109" customWidth="1"/>
    <col min="11336" max="11336" width="10.33203125" style="109" customWidth="1"/>
    <col min="11337" max="11337" width="7.77734375" style="109" customWidth="1"/>
    <col min="11338" max="11338" width="7.21875" style="109" customWidth="1"/>
    <col min="11339" max="11339" width="17.6640625" style="109" customWidth="1"/>
    <col min="11340" max="11340" width="8.77734375" style="109" customWidth="1"/>
    <col min="11341" max="11341" width="13.109375" style="109" bestFit="1" customWidth="1"/>
    <col min="11342" max="11342" width="13.77734375" style="109" customWidth="1"/>
    <col min="11343" max="11344" width="8.77734375" style="109"/>
    <col min="11345" max="11345" width="9" style="109" bestFit="1" customWidth="1"/>
    <col min="11346" max="11354" width="8.77734375" style="109"/>
    <col min="11355" max="11355" width="13.109375" style="109" customWidth="1"/>
    <col min="11356" max="11356" width="8.77734375" style="109"/>
    <col min="11357" max="11357" width="9.88671875" style="109" customWidth="1"/>
    <col min="11358" max="11361" width="8.77734375" style="109"/>
    <col min="11362" max="11362" width="8.5546875" style="109" customWidth="1"/>
    <col min="11363" max="11363" width="30.33203125" style="109" customWidth="1"/>
    <col min="11364" max="11364" width="9" style="109" bestFit="1" customWidth="1"/>
    <col min="11365" max="11365" width="8.77734375" style="109"/>
    <col min="11366" max="11366" width="5.88671875" style="109" customWidth="1"/>
    <col min="11367" max="11367" width="6.88671875" style="109" customWidth="1"/>
    <col min="11368" max="11368" width="23.88671875" style="109" customWidth="1"/>
    <col min="11369" max="11375" width="8.77734375" style="109"/>
    <col min="11376" max="11376" width="9" style="109" bestFit="1" customWidth="1"/>
    <col min="11377" max="11378" width="8.77734375" style="109"/>
    <col min="11379" max="11379" width="32.88671875" style="109" customWidth="1"/>
    <col min="11380" max="11380" width="16.6640625" style="109" customWidth="1"/>
    <col min="11381" max="11381" width="10.21875" style="109" customWidth="1"/>
    <col min="11382" max="11382" width="12.44140625" style="109" customWidth="1"/>
    <col min="11383" max="11383" width="10" style="109" bestFit="1" customWidth="1"/>
    <col min="11384" max="11384" width="8.77734375" style="109"/>
    <col min="11385" max="11385" width="9" style="109" bestFit="1" customWidth="1"/>
    <col min="11386" max="11387" width="8.77734375" style="109"/>
    <col min="11388" max="11388" width="11.6640625" style="109" customWidth="1"/>
    <col min="11389" max="11389" width="8.77734375" style="109"/>
    <col min="11390" max="11390" width="28.77734375" style="109" customWidth="1"/>
    <col min="11391" max="11391" width="12.33203125" style="109" customWidth="1"/>
    <col min="11392" max="11392" width="11.21875" style="109" customWidth="1"/>
    <col min="11393" max="11520" width="8.77734375" style="109"/>
    <col min="11521" max="11521" width="5.6640625" style="109" customWidth="1"/>
    <col min="11522" max="11522" width="26.5546875" style="109" customWidth="1"/>
    <col min="11523" max="11523" width="11.44140625" style="109" customWidth="1"/>
    <col min="11524" max="11524" width="7.44140625" style="109" customWidth="1"/>
    <col min="11525" max="11525" width="8.5546875" style="109" customWidth="1"/>
    <col min="11526" max="11526" width="12.33203125" style="109" customWidth="1"/>
    <col min="11527" max="11527" width="11.77734375" style="109" customWidth="1"/>
    <col min="11528" max="11528" width="8.21875" style="109" customWidth="1"/>
    <col min="11529" max="11529" width="12" style="109" customWidth="1"/>
    <col min="11530" max="11530" width="8.77734375" style="109" customWidth="1"/>
    <col min="11531" max="11531" width="11.109375" style="109" customWidth="1"/>
    <col min="11532" max="11532" width="12.88671875" style="109" customWidth="1"/>
    <col min="11533" max="11533" width="12.5546875" style="109" customWidth="1"/>
    <col min="11534" max="11534" width="9.6640625" style="109" customWidth="1"/>
    <col min="11535" max="11535" width="9.88671875" style="109" customWidth="1"/>
    <col min="11536" max="11536" width="11.33203125" style="109" customWidth="1"/>
    <col min="11537" max="11537" width="11.5546875" style="109" customWidth="1"/>
    <col min="11538" max="11538" width="11.6640625" style="109" customWidth="1"/>
    <col min="11539" max="11539" width="10.33203125" style="109" customWidth="1"/>
    <col min="11540" max="11540" width="11.77734375" style="109" customWidth="1"/>
    <col min="11541" max="11541" width="12.109375" style="109" customWidth="1"/>
    <col min="11542" max="11542" width="11" style="109" customWidth="1"/>
    <col min="11543" max="11543" width="12.109375" style="109" customWidth="1"/>
    <col min="11544" max="11544" width="10.5546875" style="109" customWidth="1"/>
    <col min="11545" max="11545" width="9.88671875" style="109" customWidth="1"/>
    <col min="11546" max="11546" width="10.77734375" style="109" customWidth="1"/>
    <col min="11547" max="11547" width="9.77734375" style="109" customWidth="1"/>
    <col min="11548" max="11548" width="11.21875" style="109" customWidth="1"/>
    <col min="11549" max="11549" width="10.33203125" style="109" customWidth="1"/>
    <col min="11550" max="11550" width="11.88671875" style="109" customWidth="1"/>
    <col min="11551" max="11551" width="8.77734375" style="109"/>
    <col min="11552" max="11552" width="13.88671875" style="109" customWidth="1"/>
    <col min="11553" max="11553" width="10.88671875" style="109" customWidth="1"/>
    <col min="11554" max="11554" width="11.44140625" style="109" customWidth="1"/>
    <col min="11555" max="11555" width="11.77734375" style="109" customWidth="1"/>
    <col min="11556" max="11556" width="11.109375" style="109" customWidth="1"/>
    <col min="11557" max="11557" width="10.88671875" style="109" customWidth="1"/>
    <col min="11558" max="11561" width="8.77734375" style="109"/>
    <col min="11562" max="11562" width="11.44140625" style="109" bestFit="1" customWidth="1"/>
    <col min="11563" max="11563" width="10.21875" style="109" customWidth="1"/>
    <col min="11564" max="11564" width="11.5546875" style="109" customWidth="1"/>
    <col min="11565" max="11565" width="12.109375" style="109" customWidth="1"/>
    <col min="11566" max="11566" width="13.21875" style="109" customWidth="1"/>
    <col min="11567" max="11567" width="14.109375" style="109" customWidth="1"/>
    <col min="11568" max="11568" width="11.77734375" style="109" customWidth="1"/>
    <col min="11569" max="11569" width="9.6640625" style="109" customWidth="1"/>
    <col min="11570" max="11573" width="8.77734375" style="109"/>
    <col min="11574" max="11574" width="28.77734375" style="109" customWidth="1"/>
    <col min="11575" max="11575" width="11.77734375" style="109" customWidth="1"/>
    <col min="11576" max="11576" width="10" style="109" customWidth="1"/>
    <col min="11577" max="11577" width="10.44140625" style="109" customWidth="1"/>
    <col min="11578" max="11579" width="8.77734375" style="109"/>
    <col min="11580" max="11580" width="9.33203125" style="109" customWidth="1"/>
    <col min="11581" max="11581" width="18.44140625" style="109" customWidth="1"/>
    <col min="11582" max="11582" width="11" style="109" customWidth="1"/>
    <col min="11583" max="11583" width="9.5546875" style="109" customWidth="1"/>
    <col min="11584" max="11584" width="10.6640625" style="109" customWidth="1"/>
    <col min="11585" max="11585" width="9.88671875" style="109" customWidth="1"/>
    <col min="11586" max="11586" width="11.44140625" style="109" customWidth="1"/>
    <col min="11587" max="11587" width="9.88671875" style="109" customWidth="1"/>
    <col min="11588" max="11588" width="10" style="109" customWidth="1"/>
    <col min="11589" max="11589" width="6.77734375" style="109" customWidth="1"/>
    <col min="11590" max="11590" width="12.5546875" style="109" customWidth="1"/>
    <col min="11591" max="11591" width="9.5546875" style="109" customWidth="1"/>
    <col min="11592" max="11592" width="10.33203125" style="109" customWidth="1"/>
    <col min="11593" max="11593" width="7.77734375" style="109" customWidth="1"/>
    <col min="11594" max="11594" width="7.21875" style="109" customWidth="1"/>
    <col min="11595" max="11595" width="17.6640625" style="109" customWidth="1"/>
    <col min="11596" max="11596" width="8.77734375" style="109" customWidth="1"/>
    <col min="11597" max="11597" width="13.109375" style="109" bestFit="1" customWidth="1"/>
    <col min="11598" max="11598" width="13.77734375" style="109" customWidth="1"/>
    <col min="11599" max="11600" width="8.77734375" style="109"/>
    <col min="11601" max="11601" width="9" style="109" bestFit="1" customWidth="1"/>
    <col min="11602" max="11610" width="8.77734375" style="109"/>
    <col min="11611" max="11611" width="13.109375" style="109" customWidth="1"/>
    <col min="11612" max="11612" width="8.77734375" style="109"/>
    <col min="11613" max="11613" width="9.88671875" style="109" customWidth="1"/>
    <col min="11614" max="11617" width="8.77734375" style="109"/>
    <col min="11618" max="11618" width="8.5546875" style="109" customWidth="1"/>
    <col min="11619" max="11619" width="30.33203125" style="109" customWidth="1"/>
    <col min="11620" max="11620" width="9" style="109" bestFit="1" customWidth="1"/>
    <col min="11621" max="11621" width="8.77734375" style="109"/>
    <col min="11622" max="11622" width="5.88671875" style="109" customWidth="1"/>
    <col min="11623" max="11623" width="6.88671875" style="109" customWidth="1"/>
    <col min="11624" max="11624" width="23.88671875" style="109" customWidth="1"/>
    <col min="11625" max="11631" width="8.77734375" style="109"/>
    <col min="11632" max="11632" width="9" style="109" bestFit="1" customWidth="1"/>
    <col min="11633" max="11634" width="8.77734375" style="109"/>
    <col min="11635" max="11635" width="32.88671875" style="109" customWidth="1"/>
    <col min="11636" max="11636" width="16.6640625" style="109" customWidth="1"/>
    <col min="11637" max="11637" width="10.21875" style="109" customWidth="1"/>
    <col min="11638" max="11638" width="12.44140625" style="109" customWidth="1"/>
    <col min="11639" max="11639" width="10" style="109" bestFit="1" customWidth="1"/>
    <col min="11640" max="11640" width="8.77734375" style="109"/>
    <col min="11641" max="11641" width="9" style="109" bestFit="1" customWidth="1"/>
    <col min="11642" max="11643" width="8.77734375" style="109"/>
    <col min="11644" max="11644" width="11.6640625" style="109" customWidth="1"/>
    <col min="11645" max="11645" width="8.77734375" style="109"/>
    <col min="11646" max="11646" width="28.77734375" style="109" customWidth="1"/>
    <col min="11647" max="11647" width="12.33203125" style="109" customWidth="1"/>
    <col min="11648" max="11648" width="11.21875" style="109" customWidth="1"/>
    <col min="11649" max="11776" width="8.77734375" style="109"/>
    <col min="11777" max="11777" width="5.6640625" style="109" customWidth="1"/>
    <col min="11778" max="11778" width="26.5546875" style="109" customWidth="1"/>
    <col min="11779" max="11779" width="11.44140625" style="109" customWidth="1"/>
    <col min="11780" max="11780" width="7.44140625" style="109" customWidth="1"/>
    <col min="11781" max="11781" width="8.5546875" style="109" customWidth="1"/>
    <col min="11782" max="11782" width="12.33203125" style="109" customWidth="1"/>
    <col min="11783" max="11783" width="11.77734375" style="109" customWidth="1"/>
    <col min="11784" max="11784" width="8.21875" style="109" customWidth="1"/>
    <col min="11785" max="11785" width="12" style="109" customWidth="1"/>
    <col min="11786" max="11786" width="8.77734375" style="109" customWidth="1"/>
    <col min="11787" max="11787" width="11.109375" style="109" customWidth="1"/>
    <col min="11788" max="11788" width="12.88671875" style="109" customWidth="1"/>
    <col min="11789" max="11789" width="12.5546875" style="109" customWidth="1"/>
    <col min="11790" max="11790" width="9.6640625" style="109" customWidth="1"/>
    <col min="11791" max="11791" width="9.88671875" style="109" customWidth="1"/>
    <col min="11792" max="11792" width="11.33203125" style="109" customWidth="1"/>
    <col min="11793" max="11793" width="11.5546875" style="109" customWidth="1"/>
    <col min="11794" max="11794" width="11.6640625" style="109" customWidth="1"/>
    <col min="11795" max="11795" width="10.33203125" style="109" customWidth="1"/>
    <col min="11796" max="11796" width="11.77734375" style="109" customWidth="1"/>
    <col min="11797" max="11797" width="12.109375" style="109" customWidth="1"/>
    <col min="11798" max="11798" width="11" style="109" customWidth="1"/>
    <col min="11799" max="11799" width="12.109375" style="109" customWidth="1"/>
    <col min="11800" max="11800" width="10.5546875" style="109" customWidth="1"/>
    <col min="11801" max="11801" width="9.88671875" style="109" customWidth="1"/>
    <col min="11802" max="11802" width="10.77734375" style="109" customWidth="1"/>
    <col min="11803" max="11803" width="9.77734375" style="109" customWidth="1"/>
    <col min="11804" max="11804" width="11.21875" style="109" customWidth="1"/>
    <col min="11805" max="11805" width="10.33203125" style="109" customWidth="1"/>
    <col min="11806" max="11806" width="11.88671875" style="109" customWidth="1"/>
    <col min="11807" max="11807" width="8.77734375" style="109"/>
    <col min="11808" max="11808" width="13.88671875" style="109" customWidth="1"/>
    <col min="11809" max="11809" width="10.88671875" style="109" customWidth="1"/>
    <col min="11810" max="11810" width="11.44140625" style="109" customWidth="1"/>
    <col min="11811" max="11811" width="11.77734375" style="109" customWidth="1"/>
    <col min="11812" max="11812" width="11.109375" style="109" customWidth="1"/>
    <col min="11813" max="11813" width="10.88671875" style="109" customWidth="1"/>
    <col min="11814" max="11817" width="8.77734375" style="109"/>
    <col min="11818" max="11818" width="11.44140625" style="109" bestFit="1" customWidth="1"/>
    <col min="11819" max="11819" width="10.21875" style="109" customWidth="1"/>
    <col min="11820" max="11820" width="11.5546875" style="109" customWidth="1"/>
    <col min="11821" max="11821" width="12.109375" style="109" customWidth="1"/>
    <col min="11822" max="11822" width="13.21875" style="109" customWidth="1"/>
    <col min="11823" max="11823" width="14.109375" style="109" customWidth="1"/>
    <col min="11824" max="11824" width="11.77734375" style="109" customWidth="1"/>
    <col min="11825" max="11825" width="9.6640625" style="109" customWidth="1"/>
    <col min="11826" max="11829" width="8.77734375" style="109"/>
    <col min="11830" max="11830" width="28.77734375" style="109" customWidth="1"/>
    <col min="11831" max="11831" width="11.77734375" style="109" customWidth="1"/>
    <col min="11832" max="11832" width="10" style="109" customWidth="1"/>
    <col min="11833" max="11833" width="10.44140625" style="109" customWidth="1"/>
    <col min="11834" max="11835" width="8.77734375" style="109"/>
    <col min="11836" max="11836" width="9.33203125" style="109" customWidth="1"/>
    <col min="11837" max="11837" width="18.44140625" style="109" customWidth="1"/>
    <col min="11838" max="11838" width="11" style="109" customWidth="1"/>
    <col min="11839" max="11839" width="9.5546875" style="109" customWidth="1"/>
    <col min="11840" max="11840" width="10.6640625" style="109" customWidth="1"/>
    <col min="11841" max="11841" width="9.88671875" style="109" customWidth="1"/>
    <col min="11842" max="11842" width="11.44140625" style="109" customWidth="1"/>
    <col min="11843" max="11843" width="9.88671875" style="109" customWidth="1"/>
    <col min="11844" max="11844" width="10" style="109" customWidth="1"/>
    <col min="11845" max="11845" width="6.77734375" style="109" customWidth="1"/>
    <col min="11846" max="11846" width="12.5546875" style="109" customWidth="1"/>
    <col min="11847" max="11847" width="9.5546875" style="109" customWidth="1"/>
    <col min="11848" max="11848" width="10.33203125" style="109" customWidth="1"/>
    <col min="11849" max="11849" width="7.77734375" style="109" customWidth="1"/>
    <col min="11850" max="11850" width="7.21875" style="109" customWidth="1"/>
    <col min="11851" max="11851" width="17.6640625" style="109" customWidth="1"/>
    <col min="11852" max="11852" width="8.77734375" style="109" customWidth="1"/>
    <col min="11853" max="11853" width="13.109375" style="109" bestFit="1" customWidth="1"/>
    <col min="11854" max="11854" width="13.77734375" style="109" customWidth="1"/>
    <col min="11855" max="11856" width="8.77734375" style="109"/>
    <col min="11857" max="11857" width="9" style="109" bestFit="1" customWidth="1"/>
    <col min="11858" max="11866" width="8.77734375" style="109"/>
    <col min="11867" max="11867" width="13.109375" style="109" customWidth="1"/>
    <col min="11868" max="11868" width="8.77734375" style="109"/>
    <col min="11869" max="11869" width="9.88671875" style="109" customWidth="1"/>
    <col min="11870" max="11873" width="8.77734375" style="109"/>
    <col min="11874" max="11874" width="8.5546875" style="109" customWidth="1"/>
    <col min="11875" max="11875" width="30.33203125" style="109" customWidth="1"/>
    <col min="11876" max="11876" width="9" style="109" bestFit="1" customWidth="1"/>
    <col min="11877" max="11877" width="8.77734375" style="109"/>
    <col min="11878" max="11878" width="5.88671875" style="109" customWidth="1"/>
    <col min="11879" max="11879" width="6.88671875" style="109" customWidth="1"/>
    <col min="11880" max="11880" width="23.88671875" style="109" customWidth="1"/>
    <col min="11881" max="11887" width="8.77734375" style="109"/>
    <col min="11888" max="11888" width="9" style="109" bestFit="1" customWidth="1"/>
    <col min="11889" max="11890" width="8.77734375" style="109"/>
    <col min="11891" max="11891" width="32.88671875" style="109" customWidth="1"/>
    <col min="11892" max="11892" width="16.6640625" style="109" customWidth="1"/>
    <col min="11893" max="11893" width="10.21875" style="109" customWidth="1"/>
    <col min="11894" max="11894" width="12.44140625" style="109" customWidth="1"/>
    <col min="11895" max="11895" width="10" style="109" bestFit="1" customWidth="1"/>
    <col min="11896" max="11896" width="8.77734375" style="109"/>
    <col min="11897" max="11897" width="9" style="109" bestFit="1" customWidth="1"/>
    <col min="11898" max="11899" width="8.77734375" style="109"/>
    <col min="11900" max="11900" width="11.6640625" style="109" customWidth="1"/>
    <col min="11901" max="11901" width="8.77734375" style="109"/>
    <col min="11902" max="11902" width="28.77734375" style="109" customWidth="1"/>
    <col min="11903" max="11903" width="12.33203125" style="109" customWidth="1"/>
    <col min="11904" max="11904" width="11.21875" style="109" customWidth="1"/>
    <col min="11905" max="12032" width="8.77734375" style="109"/>
    <col min="12033" max="12033" width="5.6640625" style="109" customWidth="1"/>
    <col min="12034" max="12034" width="26.5546875" style="109" customWidth="1"/>
    <col min="12035" max="12035" width="11.44140625" style="109" customWidth="1"/>
    <col min="12036" max="12036" width="7.44140625" style="109" customWidth="1"/>
    <col min="12037" max="12037" width="8.5546875" style="109" customWidth="1"/>
    <col min="12038" max="12038" width="12.33203125" style="109" customWidth="1"/>
    <col min="12039" max="12039" width="11.77734375" style="109" customWidth="1"/>
    <col min="12040" max="12040" width="8.21875" style="109" customWidth="1"/>
    <col min="12041" max="12041" width="12" style="109" customWidth="1"/>
    <col min="12042" max="12042" width="8.77734375" style="109" customWidth="1"/>
    <col min="12043" max="12043" width="11.109375" style="109" customWidth="1"/>
    <col min="12044" max="12044" width="12.88671875" style="109" customWidth="1"/>
    <col min="12045" max="12045" width="12.5546875" style="109" customWidth="1"/>
    <col min="12046" max="12046" width="9.6640625" style="109" customWidth="1"/>
    <col min="12047" max="12047" width="9.88671875" style="109" customWidth="1"/>
    <col min="12048" max="12048" width="11.33203125" style="109" customWidth="1"/>
    <col min="12049" max="12049" width="11.5546875" style="109" customWidth="1"/>
    <col min="12050" max="12050" width="11.6640625" style="109" customWidth="1"/>
    <col min="12051" max="12051" width="10.33203125" style="109" customWidth="1"/>
    <col min="12052" max="12052" width="11.77734375" style="109" customWidth="1"/>
    <col min="12053" max="12053" width="12.109375" style="109" customWidth="1"/>
    <col min="12054" max="12054" width="11" style="109" customWidth="1"/>
    <col min="12055" max="12055" width="12.109375" style="109" customWidth="1"/>
    <col min="12056" max="12056" width="10.5546875" style="109" customWidth="1"/>
    <col min="12057" max="12057" width="9.88671875" style="109" customWidth="1"/>
    <col min="12058" max="12058" width="10.77734375" style="109" customWidth="1"/>
    <col min="12059" max="12059" width="9.77734375" style="109" customWidth="1"/>
    <col min="12060" max="12060" width="11.21875" style="109" customWidth="1"/>
    <col min="12061" max="12061" width="10.33203125" style="109" customWidth="1"/>
    <col min="12062" max="12062" width="11.88671875" style="109" customWidth="1"/>
    <col min="12063" max="12063" width="8.77734375" style="109"/>
    <col min="12064" max="12064" width="13.88671875" style="109" customWidth="1"/>
    <col min="12065" max="12065" width="10.88671875" style="109" customWidth="1"/>
    <col min="12066" max="12066" width="11.44140625" style="109" customWidth="1"/>
    <col min="12067" max="12067" width="11.77734375" style="109" customWidth="1"/>
    <col min="12068" max="12068" width="11.109375" style="109" customWidth="1"/>
    <col min="12069" max="12069" width="10.88671875" style="109" customWidth="1"/>
    <col min="12070" max="12073" width="8.77734375" style="109"/>
    <col min="12074" max="12074" width="11.44140625" style="109" bestFit="1" customWidth="1"/>
    <col min="12075" max="12075" width="10.21875" style="109" customWidth="1"/>
    <col min="12076" max="12076" width="11.5546875" style="109" customWidth="1"/>
    <col min="12077" max="12077" width="12.109375" style="109" customWidth="1"/>
    <col min="12078" max="12078" width="13.21875" style="109" customWidth="1"/>
    <col min="12079" max="12079" width="14.109375" style="109" customWidth="1"/>
    <col min="12080" max="12080" width="11.77734375" style="109" customWidth="1"/>
    <col min="12081" max="12081" width="9.6640625" style="109" customWidth="1"/>
    <col min="12082" max="12085" width="8.77734375" style="109"/>
    <col min="12086" max="12086" width="28.77734375" style="109" customWidth="1"/>
    <col min="12087" max="12087" width="11.77734375" style="109" customWidth="1"/>
    <col min="12088" max="12088" width="10" style="109" customWidth="1"/>
    <col min="12089" max="12089" width="10.44140625" style="109" customWidth="1"/>
    <col min="12090" max="12091" width="8.77734375" style="109"/>
    <col min="12092" max="12092" width="9.33203125" style="109" customWidth="1"/>
    <col min="12093" max="12093" width="18.44140625" style="109" customWidth="1"/>
    <col min="12094" max="12094" width="11" style="109" customWidth="1"/>
    <col min="12095" max="12095" width="9.5546875" style="109" customWidth="1"/>
    <col min="12096" max="12096" width="10.6640625" style="109" customWidth="1"/>
    <col min="12097" max="12097" width="9.88671875" style="109" customWidth="1"/>
    <col min="12098" max="12098" width="11.44140625" style="109" customWidth="1"/>
    <col min="12099" max="12099" width="9.88671875" style="109" customWidth="1"/>
    <col min="12100" max="12100" width="10" style="109" customWidth="1"/>
    <col min="12101" max="12101" width="6.77734375" style="109" customWidth="1"/>
    <col min="12102" max="12102" width="12.5546875" style="109" customWidth="1"/>
    <col min="12103" max="12103" width="9.5546875" style="109" customWidth="1"/>
    <col min="12104" max="12104" width="10.33203125" style="109" customWidth="1"/>
    <col min="12105" max="12105" width="7.77734375" style="109" customWidth="1"/>
    <col min="12106" max="12106" width="7.21875" style="109" customWidth="1"/>
    <col min="12107" max="12107" width="17.6640625" style="109" customWidth="1"/>
    <col min="12108" max="12108" width="8.77734375" style="109" customWidth="1"/>
    <col min="12109" max="12109" width="13.109375" style="109" bestFit="1" customWidth="1"/>
    <col min="12110" max="12110" width="13.77734375" style="109" customWidth="1"/>
    <col min="12111" max="12112" width="8.77734375" style="109"/>
    <col min="12113" max="12113" width="9" style="109" bestFit="1" customWidth="1"/>
    <col min="12114" max="12122" width="8.77734375" style="109"/>
    <col min="12123" max="12123" width="13.109375" style="109" customWidth="1"/>
    <col min="12124" max="12124" width="8.77734375" style="109"/>
    <col min="12125" max="12125" width="9.88671875" style="109" customWidth="1"/>
    <col min="12126" max="12129" width="8.77734375" style="109"/>
    <col min="12130" max="12130" width="8.5546875" style="109" customWidth="1"/>
    <col min="12131" max="12131" width="30.33203125" style="109" customWidth="1"/>
    <col min="12132" max="12132" width="9" style="109" bestFit="1" customWidth="1"/>
    <col min="12133" max="12133" width="8.77734375" style="109"/>
    <col min="12134" max="12134" width="5.88671875" style="109" customWidth="1"/>
    <col min="12135" max="12135" width="6.88671875" style="109" customWidth="1"/>
    <col min="12136" max="12136" width="23.88671875" style="109" customWidth="1"/>
    <col min="12137" max="12143" width="8.77734375" style="109"/>
    <col min="12144" max="12144" width="9" style="109" bestFit="1" customWidth="1"/>
    <col min="12145" max="12146" width="8.77734375" style="109"/>
    <col min="12147" max="12147" width="32.88671875" style="109" customWidth="1"/>
    <col min="12148" max="12148" width="16.6640625" style="109" customWidth="1"/>
    <col min="12149" max="12149" width="10.21875" style="109" customWidth="1"/>
    <col min="12150" max="12150" width="12.44140625" style="109" customWidth="1"/>
    <col min="12151" max="12151" width="10" style="109" bestFit="1" customWidth="1"/>
    <col min="12152" max="12152" width="8.77734375" style="109"/>
    <col min="12153" max="12153" width="9" style="109" bestFit="1" customWidth="1"/>
    <col min="12154" max="12155" width="8.77734375" style="109"/>
    <col min="12156" max="12156" width="11.6640625" style="109" customWidth="1"/>
    <col min="12157" max="12157" width="8.77734375" style="109"/>
    <col min="12158" max="12158" width="28.77734375" style="109" customWidth="1"/>
    <col min="12159" max="12159" width="12.33203125" style="109" customWidth="1"/>
    <col min="12160" max="12160" width="11.21875" style="109" customWidth="1"/>
    <col min="12161" max="12288" width="8.77734375" style="109"/>
    <col min="12289" max="12289" width="5.6640625" style="109" customWidth="1"/>
    <col min="12290" max="12290" width="26.5546875" style="109" customWidth="1"/>
    <col min="12291" max="12291" width="11.44140625" style="109" customWidth="1"/>
    <col min="12292" max="12292" width="7.44140625" style="109" customWidth="1"/>
    <col min="12293" max="12293" width="8.5546875" style="109" customWidth="1"/>
    <col min="12294" max="12294" width="12.33203125" style="109" customWidth="1"/>
    <col min="12295" max="12295" width="11.77734375" style="109" customWidth="1"/>
    <col min="12296" max="12296" width="8.21875" style="109" customWidth="1"/>
    <col min="12297" max="12297" width="12" style="109" customWidth="1"/>
    <col min="12298" max="12298" width="8.77734375" style="109" customWidth="1"/>
    <col min="12299" max="12299" width="11.109375" style="109" customWidth="1"/>
    <col min="12300" max="12300" width="12.88671875" style="109" customWidth="1"/>
    <col min="12301" max="12301" width="12.5546875" style="109" customWidth="1"/>
    <col min="12302" max="12302" width="9.6640625" style="109" customWidth="1"/>
    <col min="12303" max="12303" width="9.88671875" style="109" customWidth="1"/>
    <col min="12304" max="12304" width="11.33203125" style="109" customWidth="1"/>
    <col min="12305" max="12305" width="11.5546875" style="109" customWidth="1"/>
    <col min="12306" max="12306" width="11.6640625" style="109" customWidth="1"/>
    <col min="12307" max="12307" width="10.33203125" style="109" customWidth="1"/>
    <col min="12308" max="12308" width="11.77734375" style="109" customWidth="1"/>
    <col min="12309" max="12309" width="12.109375" style="109" customWidth="1"/>
    <col min="12310" max="12310" width="11" style="109" customWidth="1"/>
    <col min="12311" max="12311" width="12.109375" style="109" customWidth="1"/>
    <col min="12312" max="12312" width="10.5546875" style="109" customWidth="1"/>
    <col min="12313" max="12313" width="9.88671875" style="109" customWidth="1"/>
    <col min="12314" max="12314" width="10.77734375" style="109" customWidth="1"/>
    <col min="12315" max="12315" width="9.77734375" style="109" customWidth="1"/>
    <col min="12316" max="12316" width="11.21875" style="109" customWidth="1"/>
    <col min="12317" max="12317" width="10.33203125" style="109" customWidth="1"/>
    <col min="12318" max="12318" width="11.88671875" style="109" customWidth="1"/>
    <col min="12319" max="12319" width="8.77734375" style="109"/>
    <col min="12320" max="12320" width="13.88671875" style="109" customWidth="1"/>
    <col min="12321" max="12321" width="10.88671875" style="109" customWidth="1"/>
    <col min="12322" max="12322" width="11.44140625" style="109" customWidth="1"/>
    <col min="12323" max="12323" width="11.77734375" style="109" customWidth="1"/>
    <col min="12324" max="12324" width="11.109375" style="109" customWidth="1"/>
    <col min="12325" max="12325" width="10.88671875" style="109" customWidth="1"/>
    <col min="12326" max="12329" width="8.77734375" style="109"/>
    <col min="12330" max="12330" width="11.44140625" style="109" bestFit="1" customWidth="1"/>
    <col min="12331" max="12331" width="10.21875" style="109" customWidth="1"/>
    <col min="12332" max="12332" width="11.5546875" style="109" customWidth="1"/>
    <col min="12333" max="12333" width="12.109375" style="109" customWidth="1"/>
    <col min="12334" max="12334" width="13.21875" style="109" customWidth="1"/>
    <col min="12335" max="12335" width="14.109375" style="109" customWidth="1"/>
    <col min="12336" max="12336" width="11.77734375" style="109" customWidth="1"/>
    <col min="12337" max="12337" width="9.6640625" style="109" customWidth="1"/>
    <col min="12338" max="12341" width="8.77734375" style="109"/>
    <col min="12342" max="12342" width="28.77734375" style="109" customWidth="1"/>
    <col min="12343" max="12343" width="11.77734375" style="109" customWidth="1"/>
    <col min="12344" max="12344" width="10" style="109" customWidth="1"/>
    <col min="12345" max="12345" width="10.44140625" style="109" customWidth="1"/>
    <col min="12346" max="12347" width="8.77734375" style="109"/>
    <col min="12348" max="12348" width="9.33203125" style="109" customWidth="1"/>
    <col min="12349" max="12349" width="18.44140625" style="109" customWidth="1"/>
    <col min="12350" max="12350" width="11" style="109" customWidth="1"/>
    <col min="12351" max="12351" width="9.5546875" style="109" customWidth="1"/>
    <col min="12352" max="12352" width="10.6640625" style="109" customWidth="1"/>
    <col min="12353" max="12353" width="9.88671875" style="109" customWidth="1"/>
    <col min="12354" max="12354" width="11.44140625" style="109" customWidth="1"/>
    <col min="12355" max="12355" width="9.88671875" style="109" customWidth="1"/>
    <col min="12356" max="12356" width="10" style="109" customWidth="1"/>
    <col min="12357" max="12357" width="6.77734375" style="109" customWidth="1"/>
    <col min="12358" max="12358" width="12.5546875" style="109" customWidth="1"/>
    <col min="12359" max="12359" width="9.5546875" style="109" customWidth="1"/>
    <col min="12360" max="12360" width="10.33203125" style="109" customWidth="1"/>
    <col min="12361" max="12361" width="7.77734375" style="109" customWidth="1"/>
    <col min="12362" max="12362" width="7.21875" style="109" customWidth="1"/>
    <col min="12363" max="12363" width="17.6640625" style="109" customWidth="1"/>
    <col min="12364" max="12364" width="8.77734375" style="109" customWidth="1"/>
    <col min="12365" max="12365" width="13.109375" style="109" bestFit="1" customWidth="1"/>
    <col min="12366" max="12366" width="13.77734375" style="109" customWidth="1"/>
    <col min="12367" max="12368" width="8.77734375" style="109"/>
    <col min="12369" max="12369" width="9" style="109" bestFit="1" customWidth="1"/>
    <col min="12370" max="12378" width="8.77734375" style="109"/>
    <col min="12379" max="12379" width="13.109375" style="109" customWidth="1"/>
    <col min="12380" max="12380" width="8.77734375" style="109"/>
    <col min="12381" max="12381" width="9.88671875" style="109" customWidth="1"/>
    <col min="12382" max="12385" width="8.77734375" style="109"/>
    <col min="12386" max="12386" width="8.5546875" style="109" customWidth="1"/>
    <col min="12387" max="12387" width="30.33203125" style="109" customWidth="1"/>
    <col min="12388" max="12388" width="9" style="109" bestFit="1" customWidth="1"/>
    <col min="12389" max="12389" width="8.77734375" style="109"/>
    <col min="12390" max="12390" width="5.88671875" style="109" customWidth="1"/>
    <col min="12391" max="12391" width="6.88671875" style="109" customWidth="1"/>
    <col min="12392" max="12392" width="23.88671875" style="109" customWidth="1"/>
    <col min="12393" max="12399" width="8.77734375" style="109"/>
    <col min="12400" max="12400" width="9" style="109" bestFit="1" customWidth="1"/>
    <col min="12401" max="12402" width="8.77734375" style="109"/>
    <col min="12403" max="12403" width="32.88671875" style="109" customWidth="1"/>
    <col min="12404" max="12404" width="16.6640625" style="109" customWidth="1"/>
    <col min="12405" max="12405" width="10.21875" style="109" customWidth="1"/>
    <col min="12406" max="12406" width="12.44140625" style="109" customWidth="1"/>
    <col min="12407" max="12407" width="10" style="109" bestFit="1" customWidth="1"/>
    <col min="12408" max="12408" width="8.77734375" style="109"/>
    <col min="12409" max="12409" width="9" style="109" bestFit="1" customWidth="1"/>
    <col min="12410" max="12411" width="8.77734375" style="109"/>
    <col min="12412" max="12412" width="11.6640625" style="109" customWidth="1"/>
    <col min="12413" max="12413" width="8.77734375" style="109"/>
    <col min="12414" max="12414" width="28.77734375" style="109" customWidth="1"/>
    <col min="12415" max="12415" width="12.33203125" style="109" customWidth="1"/>
    <col min="12416" max="12416" width="11.21875" style="109" customWidth="1"/>
    <col min="12417" max="12544" width="8.77734375" style="109"/>
    <col min="12545" max="12545" width="5.6640625" style="109" customWidth="1"/>
    <col min="12546" max="12546" width="26.5546875" style="109" customWidth="1"/>
    <col min="12547" max="12547" width="11.44140625" style="109" customWidth="1"/>
    <col min="12548" max="12548" width="7.44140625" style="109" customWidth="1"/>
    <col min="12549" max="12549" width="8.5546875" style="109" customWidth="1"/>
    <col min="12550" max="12550" width="12.33203125" style="109" customWidth="1"/>
    <col min="12551" max="12551" width="11.77734375" style="109" customWidth="1"/>
    <col min="12552" max="12552" width="8.21875" style="109" customWidth="1"/>
    <col min="12553" max="12553" width="12" style="109" customWidth="1"/>
    <col min="12554" max="12554" width="8.77734375" style="109" customWidth="1"/>
    <col min="12555" max="12555" width="11.109375" style="109" customWidth="1"/>
    <col min="12556" max="12556" width="12.88671875" style="109" customWidth="1"/>
    <col min="12557" max="12557" width="12.5546875" style="109" customWidth="1"/>
    <col min="12558" max="12558" width="9.6640625" style="109" customWidth="1"/>
    <col min="12559" max="12559" width="9.88671875" style="109" customWidth="1"/>
    <col min="12560" max="12560" width="11.33203125" style="109" customWidth="1"/>
    <col min="12561" max="12561" width="11.5546875" style="109" customWidth="1"/>
    <col min="12562" max="12562" width="11.6640625" style="109" customWidth="1"/>
    <col min="12563" max="12563" width="10.33203125" style="109" customWidth="1"/>
    <col min="12564" max="12564" width="11.77734375" style="109" customWidth="1"/>
    <col min="12565" max="12565" width="12.109375" style="109" customWidth="1"/>
    <col min="12566" max="12566" width="11" style="109" customWidth="1"/>
    <col min="12567" max="12567" width="12.109375" style="109" customWidth="1"/>
    <col min="12568" max="12568" width="10.5546875" style="109" customWidth="1"/>
    <col min="12569" max="12569" width="9.88671875" style="109" customWidth="1"/>
    <col min="12570" max="12570" width="10.77734375" style="109" customWidth="1"/>
    <col min="12571" max="12571" width="9.77734375" style="109" customWidth="1"/>
    <col min="12572" max="12572" width="11.21875" style="109" customWidth="1"/>
    <col min="12573" max="12573" width="10.33203125" style="109" customWidth="1"/>
    <col min="12574" max="12574" width="11.88671875" style="109" customWidth="1"/>
    <col min="12575" max="12575" width="8.77734375" style="109"/>
    <col min="12576" max="12576" width="13.88671875" style="109" customWidth="1"/>
    <col min="12577" max="12577" width="10.88671875" style="109" customWidth="1"/>
    <col min="12578" max="12578" width="11.44140625" style="109" customWidth="1"/>
    <col min="12579" max="12579" width="11.77734375" style="109" customWidth="1"/>
    <col min="12580" max="12580" width="11.109375" style="109" customWidth="1"/>
    <col min="12581" max="12581" width="10.88671875" style="109" customWidth="1"/>
    <col min="12582" max="12585" width="8.77734375" style="109"/>
    <col min="12586" max="12586" width="11.44140625" style="109" bestFit="1" customWidth="1"/>
    <col min="12587" max="12587" width="10.21875" style="109" customWidth="1"/>
    <col min="12588" max="12588" width="11.5546875" style="109" customWidth="1"/>
    <col min="12589" max="12589" width="12.109375" style="109" customWidth="1"/>
    <col min="12590" max="12590" width="13.21875" style="109" customWidth="1"/>
    <col min="12591" max="12591" width="14.109375" style="109" customWidth="1"/>
    <col min="12592" max="12592" width="11.77734375" style="109" customWidth="1"/>
    <col min="12593" max="12593" width="9.6640625" style="109" customWidth="1"/>
    <col min="12594" max="12597" width="8.77734375" style="109"/>
    <col min="12598" max="12598" width="28.77734375" style="109" customWidth="1"/>
    <col min="12599" max="12599" width="11.77734375" style="109" customWidth="1"/>
    <col min="12600" max="12600" width="10" style="109" customWidth="1"/>
    <col min="12601" max="12601" width="10.44140625" style="109" customWidth="1"/>
    <col min="12602" max="12603" width="8.77734375" style="109"/>
    <col min="12604" max="12604" width="9.33203125" style="109" customWidth="1"/>
    <col min="12605" max="12605" width="18.44140625" style="109" customWidth="1"/>
    <col min="12606" max="12606" width="11" style="109" customWidth="1"/>
    <col min="12607" max="12607" width="9.5546875" style="109" customWidth="1"/>
    <col min="12608" max="12608" width="10.6640625" style="109" customWidth="1"/>
    <col min="12609" max="12609" width="9.88671875" style="109" customWidth="1"/>
    <col min="12610" max="12610" width="11.44140625" style="109" customWidth="1"/>
    <col min="12611" max="12611" width="9.88671875" style="109" customWidth="1"/>
    <col min="12612" max="12612" width="10" style="109" customWidth="1"/>
    <col min="12613" max="12613" width="6.77734375" style="109" customWidth="1"/>
    <col min="12614" max="12614" width="12.5546875" style="109" customWidth="1"/>
    <col min="12615" max="12615" width="9.5546875" style="109" customWidth="1"/>
    <col min="12616" max="12616" width="10.33203125" style="109" customWidth="1"/>
    <col min="12617" max="12617" width="7.77734375" style="109" customWidth="1"/>
    <col min="12618" max="12618" width="7.21875" style="109" customWidth="1"/>
    <col min="12619" max="12619" width="17.6640625" style="109" customWidth="1"/>
    <col min="12620" max="12620" width="8.77734375" style="109" customWidth="1"/>
    <col min="12621" max="12621" width="13.109375" style="109" bestFit="1" customWidth="1"/>
    <col min="12622" max="12622" width="13.77734375" style="109" customWidth="1"/>
    <col min="12623" max="12624" width="8.77734375" style="109"/>
    <col min="12625" max="12625" width="9" style="109" bestFit="1" customWidth="1"/>
    <col min="12626" max="12634" width="8.77734375" style="109"/>
    <col min="12635" max="12635" width="13.109375" style="109" customWidth="1"/>
    <col min="12636" max="12636" width="8.77734375" style="109"/>
    <col min="12637" max="12637" width="9.88671875" style="109" customWidth="1"/>
    <col min="12638" max="12641" width="8.77734375" style="109"/>
    <col min="12642" max="12642" width="8.5546875" style="109" customWidth="1"/>
    <col min="12643" max="12643" width="30.33203125" style="109" customWidth="1"/>
    <col min="12644" max="12644" width="9" style="109" bestFit="1" customWidth="1"/>
    <col min="12645" max="12645" width="8.77734375" style="109"/>
    <col min="12646" max="12646" width="5.88671875" style="109" customWidth="1"/>
    <col min="12647" max="12647" width="6.88671875" style="109" customWidth="1"/>
    <col min="12648" max="12648" width="23.88671875" style="109" customWidth="1"/>
    <col min="12649" max="12655" width="8.77734375" style="109"/>
    <col min="12656" max="12656" width="9" style="109" bestFit="1" customWidth="1"/>
    <col min="12657" max="12658" width="8.77734375" style="109"/>
    <col min="12659" max="12659" width="32.88671875" style="109" customWidth="1"/>
    <col min="12660" max="12660" width="16.6640625" style="109" customWidth="1"/>
    <col min="12661" max="12661" width="10.21875" style="109" customWidth="1"/>
    <col min="12662" max="12662" width="12.44140625" style="109" customWidth="1"/>
    <col min="12663" max="12663" width="10" style="109" bestFit="1" customWidth="1"/>
    <col min="12664" max="12664" width="8.77734375" style="109"/>
    <col min="12665" max="12665" width="9" style="109" bestFit="1" customWidth="1"/>
    <col min="12666" max="12667" width="8.77734375" style="109"/>
    <col min="12668" max="12668" width="11.6640625" style="109" customWidth="1"/>
    <col min="12669" max="12669" width="8.77734375" style="109"/>
    <col min="12670" max="12670" width="28.77734375" style="109" customWidth="1"/>
    <col min="12671" max="12671" width="12.33203125" style="109" customWidth="1"/>
    <col min="12672" max="12672" width="11.21875" style="109" customWidth="1"/>
    <col min="12673" max="12800" width="8.77734375" style="109"/>
    <col min="12801" max="12801" width="5.6640625" style="109" customWidth="1"/>
    <col min="12802" max="12802" width="26.5546875" style="109" customWidth="1"/>
    <col min="12803" max="12803" width="11.44140625" style="109" customWidth="1"/>
    <col min="12804" max="12804" width="7.44140625" style="109" customWidth="1"/>
    <col min="12805" max="12805" width="8.5546875" style="109" customWidth="1"/>
    <col min="12806" max="12806" width="12.33203125" style="109" customWidth="1"/>
    <col min="12807" max="12807" width="11.77734375" style="109" customWidth="1"/>
    <col min="12808" max="12808" width="8.21875" style="109" customWidth="1"/>
    <col min="12809" max="12809" width="12" style="109" customWidth="1"/>
    <col min="12810" max="12810" width="8.77734375" style="109" customWidth="1"/>
    <col min="12811" max="12811" width="11.109375" style="109" customWidth="1"/>
    <col min="12812" max="12812" width="12.88671875" style="109" customWidth="1"/>
    <col min="12813" max="12813" width="12.5546875" style="109" customWidth="1"/>
    <col min="12814" max="12814" width="9.6640625" style="109" customWidth="1"/>
    <col min="12815" max="12815" width="9.88671875" style="109" customWidth="1"/>
    <col min="12816" max="12816" width="11.33203125" style="109" customWidth="1"/>
    <col min="12817" max="12817" width="11.5546875" style="109" customWidth="1"/>
    <col min="12818" max="12818" width="11.6640625" style="109" customWidth="1"/>
    <col min="12819" max="12819" width="10.33203125" style="109" customWidth="1"/>
    <col min="12820" max="12820" width="11.77734375" style="109" customWidth="1"/>
    <col min="12821" max="12821" width="12.109375" style="109" customWidth="1"/>
    <col min="12822" max="12822" width="11" style="109" customWidth="1"/>
    <col min="12823" max="12823" width="12.109375" style="109" customWidth="1"/>
    <col min="12824" max="12824" width="10.5546875" style="109" customWidth="1"/>
    <col min="12825" max="12825" width="9.88671875" style="109" customWidth="1"/>
    <col min="12826" max="12826" width="10.77734375" style="109" customWidth="1"/>
    <col min="12827" max="12827" width="9.77734375" style="109" customWidth="1"/>
    <col min="12828" max="12828" width="11.21875" style="109" customWidth="1"/>
    <col min="12829" max="12829" width="10.33203125" style="109" customWidth="1"/>
    <col min="12830" max="12830" width="11.88671875" style="109" customWidth="1"/>
    <col min="12831" max="12831" width="8.77734375" style="109"/>
    <col min="12832" max="12832" width="13.88671875" style="109" customWidth="1"/>
    <col min="12833" max="12833" width="10.88671875" style="109" customWidth="1"/>
    <col min="12834" max="12834" width="11.44140625" style="109" customWidth="1"/>
    <col min="12835" max="12835" width="11.77734375" style="109" customWidth="1"/>
    <col min="12836" max="12836" width="11.109375" style="109" customWidth="1"/>
    <col min="12837" max="12837" width="10.88671875" style="109" customWidth="1"/>
    <col min="12838" max="12841" width="8.77734375" style="109"/>
    <col min="12842" max="12842" width="11.44140625" style="109" bestFit="1" customWidth="1"/>
    <col min="12843" max="12843" width="10.21875" style="109" customWidth="1"/>
    <col min="12844" max="12844" width="11.5546875" style="109" customWidth="1"/>
    <col min="12845" max="12845" width="12.109375" style="109" customWidth="1"/>
    <col min="12846" max="12846" width="13.21875" style="109" customWidth="1"/>
    <col min="12847" max="12847" width="14.109375" style="109" customWidth="1"/>
    <col min="12848" max="12848" width="11.77734375" style="109" customWidth="1"/>
    <col min="12849" max="12849" width="9.6640625" style="109" customWidth="1"/>
    <col min="12850" max="12853" width="8.77734375" style="109"/>
    <col min="12854" max="12854" width="28.77734375" style="109" customWidth="1"/>
    <col min="12855" max="12855" width="11.77734375" style="109" customWidth="1"/>
    <col min="12856" max="12856" width="10" style="109" customWidth="1"/>
    <col min="12857" max="12857" width="10.44140625" style="109" customWidth="1"/>
    <col min="12858" max="12859" width="8.77734375" style="109"/>
    <col min="12860" max="12860" width="9.33203125" style="109" customWidth="1"/>
    <col min="12861" max="12861" width="18.44140625" style="109" customWidth="1"/>
    <col min="12862" max="12862" width="11" style="109" customWidth="1"/>
    <col min="12863" max="12863" width="9.5546875" style="109" customWidth="1"/>
    <col min="12864" max="12864" width="10.6640625" style="109" customWidth="1"/>
    <col min="12865" max="12865" width="9.88671875" style="109" customWidth="1"/>
    <col min="12866" max="12866" width="11.44140625" style="109" customWidth="1"/>
    <col min="12867" max="12867" width="9.88671875" style="109" customWidth="1"/>
    <col min="12868" max="12868" width="10" style="109" customWidth="1"/>
    <col min="12869" max="12869" width="6.77734375" style="109" customWidth="1"/>
    <col min="12870" max="12870" width="12.5546875" style="109" customWidth="1"/>
    <col min="12871" max="12871" width="9.5546875" style="109" customWidth="1"/>
    <col min="12872" max="12872" width="10.33203125" style="109" customWidth="1"/>
    <col min="12873" max="12873" width="7.77734375" style="109" customWidth="1"/>
    <col min="12874" max="12874" width="7.21875" style="109" customWidth="1"/>
    <col min="12875" max="12875" width="17.6640625" style="109" customWidth="1"/>
    <col min="12876" max="12876" width="8.77734375" style="109" customWidth="1"/>
    <col min="12877" max="12877" width="13.109375" style="109" bestFit="1" customWidth="1"/>
    <col min="12878" max="12878" width="13.77734375" style="109" customWidth="1"/>
    <col min="12879" max="12880" width="8.77734375" style="109"/>
    <col min="12881" max="12881" width="9" style="109" bestFit="1" customWidth="1"/>
    <col min="12882" max="12890" width="8.77734375" style="109"/>
    <col min="12891" max="12891" width="13.109375" style="109" customWidth="1"/>
    <col min="12892" max="12892" width="8.77734375" style="109"/>
    <col min="12893" max="12893" width="9.88671875" style="109" customWidth="1"/>
    <col min="12894" max="12897" width="8.77734375" style="109"/>
    <col min="12898" max="12898" width="8.5546875" style="109" customWidth="1"/>
    <col min="12899" max="12899" width="30.33203125" style="109" customWidth="1"/>
    <col min="12900" max="12900" width="9" style="109" bestFit="1" customWidth="1"/>
    <col min="12901" max="12901" width="8.77734375" style="109"/>
    <col min="12902" max="12902" width="5.88671875" style="109" customWidth="1"/>
    <col min="12903" max="12903" width="6.88671875" style="109" customWidth="1"/>
    <col min="12904" max="12904" width="23.88671875" style="109" customWidth="1"/>
    <col min="12905" max="12911" width="8.77734375" style="109"/>
    <col min="12912" max="12912" width="9" style="109" bestFit="1" customWidth="1"/>
    <col min="12913" max="12914" width="8.77734375" style="109"/>
    <col min="12915" max="12915" width="32.88671875" style="109" customWidth="1"/>
    <col min="12916" max="12916" width="16.6640625" style="109" customWidth="1"/>
    <col min="12917" max="12917" width="10.21875" style="109" customWidth="1"/>
    <col min="12918" max="12918" width="12.44140625" style="109" customWidth="1"/>
    <col min="12919" max="12919" width="10" style="109" bestFit="1" customWidth="1"/>
    <col min="12920" max="12920" width="8.77734375" style="109"/>
    <col min="12921" max="12921" width="9" style="109" bestFit="1" customWidth="1"/>
    <col min="12922" max="12923" width="8.77734375" style="109"/>
    <col min="12924" max="12924" width="11.6640625" style="109" customWidth="1"/>
    <col min="12925" max="12925" width="8.77734375" style="109"/>
    <col min="12926" max="12926" width="28.77734375" style="109" customWidth="1"/>
    <col min="12927" max="12927" width="12.33203125" style="109" customWidth="1"/>
    <col min="12928" max="12928" width="11.21875" style="109" customWidth="1"/>
    <col min="12929" max="13056" width="8.77734375" style="109"/>
    <col min="13057" max="13057" width="5.6640625" style="109" customWidth="1"/>
    <col min="13058" max="13058" width="26.5546875" style="109" customWidth="1"/>
    <col min="13059" max="13059" width="11.44140625" style="109" customWidth="1"/>
    <col min="13060" max="13060" width="7.44140625" style="109" customWidth="1"/>
    <col min="13061" max="13061" width="8.5546875" style="109" customWidth="1"/>
    <col min="13062" max="13062" width="12.33203125" style="109" customWidth="1"/>
    <col min="13063" max="13063" width="11.77734375" style="109" customWidth="1"/>
    <col min="13064" max="13064" width="8.21875" style="109" customWidth="1"/>
    <col min="13065" max="13065" width="12" style="109" customWidth="1"/>
    <col min="13066" max="13066" width="8.77734375" style="109" customWidth="1"/>
    <col min="13067" max="13067" width="11.109375" style="109" customWidth="1"/>
    <col min="13068" max="13068" width="12.88671875" style="109" customWidth="1"/>
    <col min="13069" max="13069" width="12.5546875" style="109" customWidth="1"/>
    <col min="13070" max="13070" width="9.6640625" style="109" customWidth="1"/>
    <col min="13071" max="13071" width="9.88671875" style="109" customWidth="1"/>
    <col min="13072" max="13072" width="11.33203125" style="109" customWidth="1"/>
    <col min="13073" max="13073" width="11.5546875" style="109" customWidth="1"/>
    <col min="13074" max="13074" width="11.6640625" style="109" customWidth="1"/>
    <col min="13075" max="13075" width="10.33203125" style="109" customWidth="1"/>
    <col min="13076" max="13076" width="11.77734375" style="109" customWidth="1"/>
    <col min="13077" max="13077" width="12.109375" style="109" customWidth="1"/>
    <col min="13078" max="13078" width="11" style="109" customWidth="1"/>
    <col min="13079" max="13079" width="12.109375" style="109" customWidth="1"/>
    <col min="13080" max="13080" width="10.5546875" style="109" customWidth="1"/>
    <col min="13081" max="13081" width="9.88671875" style="109" customWidth="1"/>
    <col min="13082" max="13082" width="10.77734375" style="109" customWidth="1"/>
    <col min="13083" max="13083" width="9.77734375" style="109" customWidth="1"/>
    <col min="13084" max="13084" width="11.21875" style="109" customWidth="1"/>
    <col min="13085" max="13085" width="10.33203125" style="109" customWidth="1"/>
    <col min="13086" max="13086" width="11.88671875" style="109" customWidth="1"/>
    <col min="13087" max="13087" width="8.77734375" style="109"/>
    <col min="13088" max="13088" width="13.88671875" style="109" customWidth="1"/>
    <col min="13089" max="13089" width="10.88671875" style="109" customWidth="1"/>
    <col min="13090" max="13090" width="11.44140625" style="109" customWidth="1"/>
    <col min="13091" max="13091" width="11.77734375" style="109" customWidth="1"/>
    <col min="13092" max="13092" width="11.109375" style="109" customWidth="1"/>
    <col min="13093" max="13093" width="10.88671875" style="109" customWidth="1"/>
    <col min="13094" max="13097" width="8.77734375" style="109"/>
    <col min="13098" max="13098" width="11.44140625" style="109" bestFit="1" customWidth="1"/>
    <col min="13099" max="13099" width="10.21875" style="109" customWidth="1"/>
    <col min="13100" max="13100" width="11.5546875" style="109" customWidth="1"/>
    <col min="13101" max="13101" width="12.109375" style="109" customWidth="1"/>
    <col min="13102" max="13102" width="13.21875" style="109" customWidth="1"/>
    <col min="13103" max="13103" width="14.109375" style="109" customWidth="1"/>
    <col min="13104" max="13104" width="11.77734375" style="109" customWidth="1"/>
    <col min="13105" max="13105" width="9.6640625" style="109" customWidth="1"/>
    <col min="13106" max="13109" width="8.77734375" style="109"/>
    <col min="13110" max="13110" width="28.77734375" style="109" customWidth="1"/>
    <col min="13111" max="13111" width="11.77734375" style="109" customWidth="1"/>
    <col min="13112" max="13112" width="10" style="109" customWidth="1"/>
    <col min="13113" max="13113" width="10.44140625" style="109" customWidth="1"/>
    <col min="13114" max="13115" width="8.77734375" style="109"/>
    <col min="13116" max="13116" width="9.33203125" style="109" customWidth="1"/>
    <col min="13117" max="13117" width="18.44140625" style="109" customWidth="1"/>
    <col min="13118" max="13118" width="11" style="109" customWidth="1"/>
    <col min="13119" max="13119" width="9.5546875" style="109" customWidth="1"/>
    <col min="13120" max="13120" width="10.6640625" style="109" customWidth="1"/>
    <col min="13121" max="13121" width="9.88671875" style="109" customWidth="1"/>
    <col min="13122" max="13122" width="11.44140625" style="109" customWidth="1"/>
    <col min="13123" max="13123" width="9.88671875" style="109" customWidth="1"/>
    <col min="13124" max="13124" width="10" style="109" customWidth="1"/>
    <col min="13125" max="13125" width="6.77734375" style="109" customWidth="1"/>
    <col min="13126" max="13126" width="12.5546875" style="109" customWidth="1"/>
    <col min="13127" max="13127" width="9.5546875" style="109" customWidth="1"/>
    <col min="13128" max="13128" width="10.33203125" style="109" customWidth="1"/>
    <col min="13129" max="13129" width="7.77734375" style="109" customWidth="1"/>
    <col min="13130" max="13130" width="7.21875" style="109" customWidth="1"/>
    <col min="13131" max="13131" width="17.6640625" style="109" customWidth="1"/>
    <col min="13132" max="13132" width="8.77734375" style="109" customWidth="1"/>
    <col min="13133" max="13133" width="13.109375" style="109" bestFit="1" customWidth="1"/>
    <col min="13134" max="13134" width="13.77734375" style="109" customWidth="1"/>
    <col min="13135" max="13136" width="8.77734375" style="109"/>
    <col min="13137" max="13137" width="9" style="109" bestFit="1" customWidth="1"/>
    <col min="13138" max="13146" width="8.77734375" style="109"/>
    <col min="13147" max="13147" width="13.109375" style="109" customWidth="1"/>
    <col min="13148" max="13148" width="8.77734375" style="109"/>
    <col min="13149" max="13149" width="9.88671875" style="109" customWidth="1"/>
    <col min="13150" max="13153" width="8.77734375" style="109"/>
    <col min="13154" max="13154" width="8.5546875" style="109" customWidth="1"/>
    <col min="13155" max="13155" width="30.33203125" style="109" customWidth="1"/>
    <col min="13156" max="13156" width="9" style="109" bestFit="1" customWidth="1"/>
    <col min="13157" max="13157" width="8.77734375" style="109"/>
    <col min="13158" max="13158" width="5.88671875" style="109" customWidth="1"/>
    <col min="13159" max="13159" width="6.88671875" style="109" customWidth="1"/>
    <col min="13160" max="13160" width="23.88671875" style="109" customWidth="1"/>
    <col min="13161" max="13167" width="8.77734375" style="109"/>
    <col min="13168" max="13168" width="9" style="109" bestFit="1" customWidth="1"/>
    <col min="13169" max="13170" width="8.77734375" style="109"/>
    <col min="13171" max="13171" width="32.88671875" style="109" customWidth="1"/>
    <col min="13172" max="13172" width="16.6640625" style="109" customWidth="1"/>
    <col min="13173" max="13173" width="10.21875" style="109" customWidth="1"/>
    <col min="13174" max="13174" width="12.44140625" style="109" customWidth="1"/>
    <col min="13175" max="13175" width="10" style="109" bestFit="1" customWidth="1"/>
    <col min="13176" max="13176" width="8.77734375" style="109"/>
    <col min="13177" max="13177" width="9" style="109" bestFit="1" customWidth="1"/>
    <col min="13178" max="13179" width="8.77734375" style="109"/>
    <col min="13180" max="13180" width="11.6640625" style="109" customWidth="1"/>
    <col min="13181" max="13181" width="8.77734375" style="109"/>
    <col min="13182" max="13182" width="28.77734375" style="109" customWidth="1"/>
    <col min="13183" max="13183" width="12.33203125" style="109" customWidth="1"/>
    <col min="13184" max="13184" width="11.21875" style="109" customWidth="1"/>
    <col min="13185" max="13312" width="8.77734375" style="109"/>
    <col min="13313" max="13313" width="5.6640625" style="109" customWidth="1"/>
    <col min="13314" max="13314" width="26.5546875" style="109" customWidth="1"/>
    <col min="13315" max="13315" width="11.44140625" style="109" customWidth="1"/>
    <col min="13316" max="13316" width="7.44140625" style="109" customWidth="1"/>
    <col min="13317" max="13317" width="8.5546875" style="109" customWidth="1"/>
    <col min="13318" max="13318" width="12.33203125" style="109" customWidth="1"/>
    <col min="13319" max="13319" width="11.77734375" style="109" customWidth="1"/>
    <col min="13320" max="13320" width="8.21875" style="109" customWidth="1"/>
    <col min="13321" max="13321" width="12" style="109" customWidth="1"/>
    <col min="13322" max="13322" width="8.77734375" style="109" customWidth="1"/>
    <col min="13323" max="13323" width="11.109375" style="109" customWidth="1"/>
    <col min="13324" max="13324" width="12.88671875" style="109" customWidth="1"/>
    <col min="13325" max="13325" width="12.5546875" style="109" customWidth="1"/>
    <col min="13326" max="13326" width="9.6640625" style="109" customWidth="1"/>
    <col min="13327" max="13327" width="9.88671875" style="109" customWidth="1"/>
    <col min="13328" max="13328" width="11.33203125" style="109" customWidth="1"/>
    <col min="13329" max="13329" width="11.5546875" style="109" customWidth="1"/>
    <col min="13330" max="13330" width="11.6640625" style="109" customWidth="1"/>
    <col min="13331" max="13331" width="10.33203125" style="109" customWidth="1"/>
    <col min="13332" max="13332" width="11.77734375" style="109" customWidth="1"/>
    <col min="13333" max="13333" width="12.109375" style="109" customWidth="1"/>
    <col min="13334" max="13334" width="11" style="109" customWidth="1"/>
    <col min="13335" max="13335" width="12.109375" style="109" customWidth="1"/>
    <col min="13336" max="13336" width="10.5546875" style="109" customWidth="1"/>
    <col min="13337" max="13337" width="9.88671875" style="109" customWidth="1"/>
    <col min="13338" max="13338" width="10.77734375" style="109" customWidth="1"/>
    <col min="13339" max="13339" width="9.77734375" style="109" customWidth="1"/>
    <col min="13340" max="13340" width="11.21875" style="109" customWidth="1"/>
    <col min="13341" max="13341" width="10.33203125" style="109" customWidth="1"/>
    <col min="13342" max="13342" width="11.88671875" style="109" customWidth="1"/>
    <col min="13343" max="13343" width="8.77734375" style="109"/>
    <col min="13344" max="13344" width="13.88671875" style="109" customWidth="1"/>
    <col min="13345" max="13345" width="10.88671875" style="109" customWidth="1"/>
    <col min="13346" max="13346" width="11.44140625" style="109" customWidth="1"/>
    <col min="13347" max="13347" width="11.77734375" style="109" customWidth="1"/>
    <col min="13348" max="13348" width="11.109375" style="109" customWidth="1"/>
    <col min="13349" max="13349" width="10.88671875" style="109" customWidth="1"/>
    <col min="13350" max="13353" width="8.77734375" style="109"/>
    <col min="13354" max="13354" width="11.44140625" style="109" bestFit="1" customWidth="1"/>
    <col min="13355" max="13355" width="10.21875" style="109" customWidth="1"/>
    <col min="13356" max="13356" width="11.5546875" style="109" customWidth="1"/>
    <col min="13357" max="13357" width="12.109375" style="109" customWidth="1"/>
    <col min="13358" max="13358" width="13.21875" style="109" customWidth="1"/>
    <col min="13359" max="13359" width="14.109375" style="109" customWidth="1"/>
    <col min="13360" max="13360" width="11.77734375" style="109" customWidth="1"/>
    <col min="13361" max="13361" width="9.6640625" style="109" customWidth="1"/>
    <col min="13362" max="13365" width="8.77734375" style="109"/>
    <col min="13366" max="13366" width="28.77734375" style="109" customWidth="1"/>
    <col min="13367" max="13367" width="11.77734375" style="109" customWidth="1"/>
    <col min="13368" max="13368" width="10" style="109" customWidth="1"/>
    <col min="13369" max="13369" width="10.44140625" style="109" customWidth="1"/>
    <col min="13370" max="13371" width="8.77734375" style="109"/>
    <col min="13372" max="13372" width="9.33203125" style="109" customWidth="1"/>
    <col min="13373" max="13373" width="18.44140625" style="109" customWidth="1"/>
    <col min="13374" max="13374" width="11" style="109" customWidth="1"/>
    <col min="13375" max="13375" width="9.5546875" style="109" customWidth="1"/>
    <col min="13376" max="13376" width="10.6640625" style="109" customWidth="1"/>
    <col min="13377" max="13377" width="9.88671875" style="109" customWidth="1"/>
    <col min="13378" max="13378" width="11.44140625" style="109" customWidth="1"/>
    <col min="13379" max="13379" width="9.88671875" style="109" customWidth="1"/>
    <col min="13380" max="13380" width="10" style="109" customWidth="1"/>
    <col min="13381" max="13381" width="6.77734375" style="109" customWidth="1"/>
    <col min="13382" max="13382" width="12.5546875" style="109" customWidth="1"/>
    <col min="13383" max="13383" width="9.5546875" style="109" customWidth="1"/>
    <col min="13384" max="13384" width="10.33203125" style="109" customWidth="1"/>
    <col min="13385" max="13385" width="7.77734375" style="109" customWidth="1"/>
    <col min="13386" max="13386" width="7.21875" style="109" customWidth="1"/>
    <col min="13387" max="13387" width="17.6640625" style="109" customWidth="1"/>
    <col min="13388" max="13388" width="8.77734375" style="109" customWidth="1"/>
    <col min="13389" max="13389" width="13.109375" style="109" bestFit="1" customWidth="1"/>
    <col min="13390" max="13390" width="13.77734375" style="109" customWidth="1"/>
    <col min="13391" max="13392" width="8.77734375" style="109"/>
    <col min="13393" max="13393" width="9" style="109" bestFit="1" customWidth="1"/>
    <col min="13394" max="13402" width="8.77734375" style="109"/>
    <col min="13403" max="13403" width="13.109375" style="109" customWidth="1"/>
    <col min="13404" max="13404" width="8.77734375" style="109"/>
    <col min="13405" max="13405" width="9.88671875" style="109" customWidth="1"/>
    <col min="13406" max="13409" width="8.77734375" style="109"/>
    <col min="13410" max="13410" width="8.5546875" style="109" customWidth="1"/>
    <col min="13411" max="13411" width="30.33203125" style="109" customWidth="1"/>
    <col min="13412" max="13412" width="9" style="109" bestFit="1" customWidth="1"/>
    <col min="13413" max="13413" width="8.77734375" style="109"/>
    <col min="13414" max="13414" width="5.88671875" style="109" customWidth="1"/>
    <col min="13415" max="13415" width="6.88671875" style="109" customWidth="1"/>
    <col min="13416" max="13416" width="23.88671875" style="109" customWidth="1"/>
    <col min="13417" max="13423" width="8.77734375" style="109"/>
    <col min="13424" max="13424" width="9" style="109" bestFit="1" customWidth="1"/>
    <col min="13425" max="13426" width="8.77734375" style="109"/>
    <col min="13427" max="13427" width="32.88671875" style="109" customWidth="1"/>
    <col min="13428" max="13428" width="16.6640625" style="109" customWidth="1"/>
    <col min="13429" max="13429" width="10.21875" style="109" customWidth="1"/>
    <col min="13430" max="13430" width="12.44140625" style="109" customWidth="1"/>
    <col min="13431" max="13431" width="10" style="109" bestFit="1" customWidth="1"/>
    <col min="13432" max="13432" width="8.77734375" style="109"/>
    <col min="13433" max="13433" width="9" style="109" bestFit="1" customWidth="1"/>
    <col min="13434" max="13435" width="8.77734375" style="109"/>
    <col min="13436" max="13436" width="11.6640625" style="109" customWidth="1"/>
    <col min="13437" max="13437" width="8.77734375" style="109"/>
    <col min="13438" max="13438" width="28.77734375" style="109" customWidth="1"/>
    <col min="13439" max="13439" width="12.33203125" style="109" customWidth="1"/>
    <col min="13440" max="13440" width="11.21875" style="109" customWidth="1"/>
    <col min="13441" max="13568" width="8.77734375" style="109"/>
    <col min="13569" max="13569" width="5.6640625" style="109" customWidth="1"/>
    <col min="13570" max="13570" width="26.5546875" style="109" customWidth="1"/>
    <col min="13571" max="13571" width="11.44140625" style="109" customWidth="1"/>
    <col min="13572" max="13572" width="7.44140625" style="109" customWidth="1"/>
    <col min="13573" max="13573" width="8.5546875" style="109" customWidth="1"/>
    <col min="13574" max="13574" width="12.33203125" style="109" customWidth="1"/>
    <col min="13575" max="13575" width="11.77734375" style="109" customWidth="1"/>
    <col min="13576" max="13576" width="8.21875" style="109" customWidth="1"/>
    <col min="13577" max="13577" width="12" style="109" customWidth="1"/>
    <col min="13578" max="13578" width="8.77734375" style="109" customWidth="1"/>
    <col min="13579" max="13579" width="11.109375" style="109" customWidth="1"/>
    <col min="13580" max="13580" width="12.88671875" style="109" customWidth="1"/>
    <col min="13581" max="13581" width="12.5546875" style="109" customWidth="1"/>
    <col min="13582" max="13582" width="9.6640625" style="109" customWidth="1"/>
    <col min="13583" max="13583" width="9.88671875" style="109" customWidth="1"/>
    <col min="13584" max="13584" width="11.33203125" style="109" customWidth="1"/>
    <col min="13585" max="13585" width="11.5546875" style="109" customWidth="1"/>
    <col min="13586" max="13586" width="11.6640625" style="109" customWidth="1"/>
    <col min="13587" max="13587" width="10.33203125" style="109" customWidth="1"/>
    <col min="13588" max="13588" width="11.77734375" style="109" customWidth="1"/>
    <col min="13589" max="13589" width="12.109375" style="109" customWidth="1"/>
    <col min="13590" max="13590" width="11" style="109" customWidth="1"/>
    <col min="13591" max="13591" width="12.109375" style="109" customWidth="1"/>
    <col min="13592" max="13592" width="10.5546875" style="109" customWidth="1"/>
    <col min="13593" max="13593" width="9.88671875" style="109" customWidth="1"/>
    <col min="13594" max="13594" width="10.77734375" style="109" customWidth="1"/>
    <col min="13595" max="13595" width="9.77734375" style="109" customWidth="1"/>
    <col min="13596" max="13596" width="11.21875" style="109" customWidth="1"/>
    <col min="13597" max="13597" width="10.33203125" style="109" customWidth="1"/>
    <col min="13598" max="13598" width="11.88671875" style="109" customWidth="1"/>
    <col min="13599" max="13599" width="8.77734375" style="109"/>
    <col min="13600" max="13600" width="13.88671875" style="109" customWidth="1"/>
    <col min="13601" max="13601" width="10.88671875" style="109" customWidth="1"/>
    <col min="13602" max="13602" width="11.44140625" style="109" customWidth="1"/>
    <col min="13603" max="13603" width="11.77734375" style="109" customWidth="1"/>
    <col min="13604" max="13604" width="11.109375" style="109" customWidth="1"/>
    <col min="13605" max="13605" width="10.88671875" style="109" customWidth="1"/>
    <col min="13606" max="13609" width="8.77734375" style="109"/>
    <col min="13610" max="13610" width="11.44140625" style="109" bestFit="1" customWidth="1"/>
    <col min="13611" max="13611" width="10.21875" style="109" customWidth="1"/>
    <col min="13612" max="13612" width="11.5546875" style="109" customWidth="1"/>
    <col min="13613" max="13613" width="12.109375" style="109" customWidth="1"/>
    <col min="13614" max="13614" width="13.21875" style="109" customWidth="1"/>
    <col min="13615" max="13615" width="14.109375" style="109" customWidth="1"/>
    <col min="13616" max="13616" width="11.77734375" style="109" customWidth="1"/>
    <col min="13617" max="13617" width="9.6640625" style="109" customWidth="1"/>
    <col min="13618" max="13621" width="8.77734375" style="109"/>
    <col min="13622" max="13622" width="28.77734375" style="109" customWidth="1"/>
    <col min="13623" max="13623" width="11.77734375" style="109" customWidth="1"/>
    <col min="13624" max="13624" width="10" style="109" customWidth="1"/>
    <col min="13625" max="13625" width="10.44140625" style="109" customWidth="1"/>
    <col min="13626" max="13627" width="8.77734375" style="109"/>
    <col min="13628" max="13628" width="9.33203125" style="109" customWidth="1"/>
    <col min="13629" max="13629" width="18.44140625" style="109" customWidth="1"/>
    <col min="13630" max="13630" width="11" style="109" customWidth="1"/>
    <col min="13631" max="13631" width="9.5546875" style="109" customWidth="1"/>
    <col min="13632" max="13632" width="10.6640625" style="109" customWidth="1"/>
    <col min="13633" max="13633" width="9.88671875" style="109" customWidth="1"/>
    <col min="13634" max="13634" width="11.44140625" style="109" customWidth="1"/>
    <col min="13635" max="13635" width="9.88671875" style="109" customWidth="1"/>
    <col min="13636" max="13636" width="10" style="109" customWidth="1"/>
    <col min="13637" max="13637" width="6.77734375" style="109" customWidth="1"/>
    <col min="13638" max="13638" width="12.5546875" style="109" customWidth="1"/>
    <col min="13639" max="13639" width="9.5546875" style="109" customWidth="1"/>
    <col min="13640" max="13640" width="10.33203125" style="109" customWidth="1"/>
    <col min="13641" max="13641" width="7.77734375" style="109" customWidth="1"/>
    <col min="13642" max="13642" width="7.21875" style="109" customWidth="1"/>
    <col min="13643" max="13643" width="17.6640625" style="109" customWidth="1"/>
    <col min="13644" max="13644" width="8.77734375" style="109" customWidth="1"/>
    <col min="13645" max="13645" width="13.109375" style="109" bestFit="1" customWidth="1"/>
    <col min="13646" max="13646" width="13.77734375" style="109" customWidth="1"/>
    <col min="13647" max="13648" width="8.77734375" style="109"/>
    <col min="13649" max="13649" width="9" style="109" bestFit="1" customWidth="1"/>
    <col min="13650" max="13658" width="8.77734375" style="109"/>
    <col min="13659" max="13659" width="13.109375" style="109" customWidth="1"/>
    <col min="13660" max="13660" width="8.77734375" style="109"/>
    <col min="13661" max="13661" width="9.88671875" style="109" customWidth="1"/>
    <col min="13662" max="13665" width="8.77734375" style="109"/>
    <col min="13666" max="13666" width="8.5546875" style="109" customWidth="1"/>
    <col min="13667" max="13667" width="30.33203125" style="109" customWidth="1"/>
    <col min="13668" max="13668" width="9" style="109" bestFit="1" customWidth="1"/>
    <col min="13669" max="13669" width="8.77734375" style="109"/>
    <col min="13670" max="13670" width="5.88671875" style="109" customWidth="1"/>
    <col min="13671" max="13671" width="6.88671875" style="109" customWidth="1"/>
    <col min="13672" max="13672" width="23.88671875" style="109" customWidth="1"/>
    <col min="13673" max="13679" width="8.77734375" style="109"/>
    <col min="13680" max="13680" width="9" style="109" bestFit="1" customWidth="1"/>
    <col min="13681" max="13682" width="8.77734375" style="109"/>
    <col min="13683" max="13683" width="32.88671875" style="109" customWidth="1"/>
    <col min="13684" max="13684" width="16.6640625" style="109" customWidth="1"/>
    <col min="13685" max="13685" width="10.21875" style="109" customWidth="1"/>
    <col min="13686" max="13686" width="12.44140625" style="109" customWidth="1"/>
    <col min="13687" max="13687" width="10" style="109" bestFit="1" customWidth="1"/>
    <col min="13688" max="13688" width="8.77734375" style="109"/>
    <col min="13689" max="13689" width="9" style="109" bestFit="1" customWidth="1"/>
    <col min="13690" max="13691" width="8.77734375" style="109"/>
    <col min="13692" max="13692" width="11.6640625" style="109" customWidth="1"/>
    <col min="13693" max="13693" width="8.77734375" style="109"/>
    <col min="13694" max="13694" width="28.77734375" style="109" customWidth="1"/>
    <col min="13695" max="13695" width="12.33203125" style="109" customWidth="1"/>
    <col min="13696" max="13696" width="11.21875" style="109" customWidth="1"/>
    <col min="13697" max="13824" width="8.77734375" style="109"/>
    <col min="13825" max="13825" width="5.6640625" style="109" customWidth="1"/>
    <col min="13826" max="13826" width="26.5546875" style="109" customWidth="1"/>
    <col min="13827" max="13827" width="11.44140625" style="109" customWidth="1"/>
    <col min="13828" max="13828" width="7.44140625" style="109" customWidth="1"/>
    <col min="13829" max="13829" width="8.5546875" style="109" customWidth="1"/>
    <col min="13830" max="13830" width="12.33203125" style="109" customWidth="1"/>
    <col min="13831" max="13831" width="11.77734375" style="109" customWidth="1"/>
    <col min="13832" max="13832" width="8.21875" style="109" customWidth="1"/>
    <col min="13833" max="13833" width="12" style="109" customWidth="1"/>
    <col min="13834" max="13834" width="8.77734375" style="109" customWidth="1"/>
    <col min="13835" max="13835" width="11.109375" style="109" customWidth="1"/>
    <col min="13836" max="13836" width="12.88671875" style="109" customWidth="1"/>
    <col min="13837" max="13837" width="12.5546875" style="109" customWidth="1"/>
    <col min="13838" max="13838" width="9.6640625" style="109" customWidth="1"/>
    <col min="13839" max="13839" width="9.88671875" style="109" customWidth="1"/>
    <col min="13840" max="13840" width="11.33203125" style="109" customWidth="1"/>
    <col min="13841" max="13841" width="11.5546875" style="109" customWidth="1"/>
    <col min="13842" max="13842" width="11.6640625" style="109" customWidth="1"/>
    <col min="13843" max="13843" width="10.33203125" style="109" customWidth="1"/>
    <col min="13844" max="13844" width="11.77734375" style="109" customWidth="1"/>
    <col min="13845" max="13845" width="12.109375" style="109" customWidth="1"/>
    <col min="13846" max="13846" width="11" style="109" customWidth="1"/>
    <col min="13847" max="13847" width="12.109375" style="109" customWidth="1"/>
    <col min="13848" max="13848" width="10.5546875" style="109" customWidth="1"/>
    <col min="13849" max="13849" width="9.88671875" style="109" customWidth="1"/>
    <col min="13850" max="13850" width="10.77734375" style="109" customWidth="1"/>
    <col min="13851" max="13851" width="9.77734375" style="109" customWidth="1"/>
    <col min="13852" max="13852" width="11.21875" style="109" customWidth="1"/>
    <col min="13853" max="13853" width="10.33203125" style="109" customWidth="1"/>
    <col min="13854" max="13854" width="11.88671875" style="109" customWidth="1"/>
    <col min="13855" max="13855" width="8.77734375" style="109"/>
    <col min="13856" max="13856" width="13.88671875" style="109" customWidth="1"/>
    <col min="13857" max="13857" width="10.88671875" style="109" customWidth="1"/>
    <col min="13858" max="13858" width="11.44140625" style="109" customWidth="1"/>
    <col min="13859" max="13859" width="11.77734375" style="109" customWidth="1"/>
    <col min="13860" max="13860" width="11.109375" style="109" customWidth="1"/>
    <col min="13861" max="13861" width="10.88671875" style="109" customWidth="1"/>
    <col min="13862" max="13865" width="8.77734375" style="109"/>
    <col min="13866" max="13866" width="11.44140625" style="109" bestFit="1" customWidth="1"/>
    <col min="13867" max="13867" width="10.21875" style="109" customWidth="1"/>
    <col min="13868" max="13868" width="11.5546875" style="109" customWidth="1"/>
    <col min="13869" max="13869" width="12.109375" style="109" customWidth="1"/>
    <col min="13870" max="13870" width="13.21875" style="109" customWidth="1"/>
    <col min="13871" max="13871" width="14.109375" style="109" customWidth="1"/>
    <col min="13872" max="13872" width="11.77734375" style="109" customWidth="1"/>
    <col min="13873" max="13873" width="9.6640625" style="109" customWidth="1"/>
    <col min="13874" max="13877" width="8.77734375" style="109"/>
    <col min="13878" max="13878" width="28.77734375" style="109" customWidth="1"/>
    <col min="13879" max="13879" width="11.77734375" style="109" customWidth="1"/>
    <col min="13880" max="13880" width="10" style="109" customWidth="1"/>
    <col min="13881" max="13881" width="10.44140625" style="109" customWidth="1"/>
    <col min="13882" max="13883" width="8.77734375" style="109"/>
    <col min="13884" max="13884" width="9.33203125" style="109" customWidth="1"/>
    <col min="13885" max="13885" width="18.44140625" style="109" customWidth="1"/>
    <col min="13886" max="13886" width="11" style="109" customWidth="1"/>
    <col min="13887" max="13887" width="9.5546875" style="109" customWidth="1"/>
    <col min="13888" max="13888" width="10.6640625" style="109" customWidth="1"/>
    <col min="13889" max="13889" width="9.88671875" style="109" customWidth="1"/>
    <col min="13890" max="13890" width="11.44140625" style="109" customWidth="1"/>
    <col min="13891" max="13891" width="9.88671875" style="109" customWidth="1"/>
    <col min="13892" max="13892" width="10" style="109" customWidth="1"/>
    <col min="13893" max="13893" width="6.77734375" style="109" customWidth="1"/>
    <col min="13894" max="13894" width="12.5546875" style="109" customWidth="1"/>
    <col min="13895" max="13895" width="9.5546875" style="109" customWidth="1"/>
    <col min="13896" max="13896" width="10.33203125" style="109" customWidth="1"/>
    <col min="13897" max="13897" width="7.77734375" style="109" customWidth="1"/>
    <col min="13898" max="13898" width="7.21875" style="109" customWidth="1"/>
    <col min="13899" max="13899" width="17.6640625" style="109" customWidth="1"/>
    <col min="13900" max="13900" width="8.77734375" style="109" customWidth="1"/>
    <col min="13901" max="13901" width="13.109375" style="109" bestFit="1" customWidth="1"/>
    <col min="13902" max="13902" width="13.77734375" style="109" customWidth="1"/>
    <col min="13903" max="13904" width="8.77734375" style="109"/>
    <col min="13905" max="13905" width="9" style="109" bestFit="1" customWidth="1"/>
    <col min="13906" max="13914" width="8.77734375" style="109"/>
    <col min="13915" max="13915" width="13.109375" style="109" customWidth="1"/>
    <col min="13916" max="13916" width="8.77734375" style="109"/>
    <col min="13917" max="13917" width="9.88671875" style="109" customWidth="1"/>
    <col min="13918" max="13921" width="8.77734375" style="109"/>
    <col min="13922" max="13922" width="8.5546875" style="109" customWidth="1"/>
    <col min="13923" max="13923" width="30.33203125" style="109" customWidth="1"/>
    <col min="13924" max="13924" width="9" style="109" bestFit="1" customWidth="1"/>
    <col min="13925" max="13925" width="8.77734375" style="109"/>
    <col min="13926" max="13926" width="5.88671875" style="109" customWidth="1"/>
    <col min="13927" max="13927" width="6.88671875" style="109" customWidth="1"/>
    <col min="13928" max="13928" width="23.88671875" style="109" customWidth="1"/>
    <col min="13929" max="13935" width="8.77734375" style="109"/>
    <col min="13936" max="13936" width="9" style="109" bestFit="1" customWidth="1"/>
    <col min="13937" max="13938" width="8.77734375" style="109"/>
    <col min="13939" max="13939" width="32.88671875" style="109" customWidth="1"/>
    <col min="13940" max="13940" width="16.6640625" style="109" customWidth="1"/>
    <col min="13941" max="13941" width="10.21875" style="109" customWidth="1"/>
    <col min="13942" max="13942" width="12.44140625" style="109" customWidth="1"/>
    <col min="13943" max="13943" width="10" style="109" bestFit="1" customWidth="1"/>
    <col min="13944" max="13944" width="8.77734375" style="109"/>
    <col min="13945" max="13945" width="9" style="109" bestFit="1" customWidth="1"/>
    <col min="13946" max="13947" width="8.77734375" style="109"/>
    <col min="13948" max="13948" width="11.6640625" style="109" customWidth="1"/>
    <col min="13949" max="13949" width="8.77734375" style="109"/>
    <col min="13950" max="13950" width="28.77734375" style="109" customWidth="1"/>
    <col min="13951" max="13951" width="12.33203125" style="109" customWidth="1"/>
    <col min="13952" max="13952" width="11.21875" style="109" customWidth="1"/>
    <col min="13953" max="14080" width="8.77734375" style="109"/>
    <col min="14081" max="14081" width="5.6640625" style="109" customWidth="1"/>
    <col min="14082" max="14082" width="26.5546875" style="109" customWidth="1"/>
    <col min="14083" max="14083" width="11.44140625" style="109" customWidth="1"/>
    <col min="14084" max="14084" width="7.44140625" style="109" customWidth="1"/>
    <col min="14085" max="14085" width="8.5546875" style="109" customWidth="1"/>
    <col min="14086" max="14086" width="12.33203125" style="109" customWidth="1"/>
    <col min="14087" max="14087" width="11.77734375" style="109" customWidth="1"/>
    <col min="14088" max="14088" width="8.21875" style="109" customWidth="1"/>
    <col min="14089" max="14089" width="12" style="109" customWidth="1"/>
    <col min="14090" max="14090" width="8.77734375" style="109" customWidth="1"/>
    <col min="14091" max="14091" width="11.109375" style="109" customWidth="1"/>
    <col min="14092" max="14092" width="12.88671875" style="109" customWidth="1"/>
    <col min="14093" max="14093" width="12.5546875" style="109" customWidth="1"/>
    <col min="14094" max="14094" width="9.6640625" style="109" customWidth="1"/>
    <col min="14095" max="14095" width="9.88671875" style="109" customWidth="1"/>
    <col min="14096" max="14096" width="11.33203125" style="109" customWidth="1"/>
    <col min="14097" max="14097" width="11.5546875" style="109" customWidth="1"/>
    <col min="14098" max="14098" width="11.6640625" style="109" customWidth="1"/>
    <col min="14099" max="14099" width="10.33203125" style="109" customWidth="1"/>
    <col min="14100" max="14100" width="11.77734375" style="109" customWidth="1"/>
    <col min="14101" max="14101" width="12.109375" style="109" customWidth="1"/>
    <col min="14102" max="14102" width="11" style="109" customWidth="1"/>
    <col min="14103" max="14103" width="12.109375" style="109" customWidth="1"/>
    <col min="14104" max="14104" width="10.5546875" style="109" customWidth="1"/>
    <col min="14105" max="14105" width="9.88671875" style="109" customWidth="1"/>
    <col min="14106" max="14106" width="10.77734375" style="109" customWidth="1"/>
    <col min="14107" max="14107" width="9.77734375" style="109" customWidth="1"/>
    <col min="14108" max="14108" width="11.21875" style="109" customWidth="1"/>
    <col min="14109" max="14109" width="10.33203125" style="109" customWidth="1"/>
    <col min="14110" max="14110" width="11.88671875" style="109" customWidth="1"/>
    <col min="14111" max="14111" width="8.77734375" style="109"/>
    <col min="14112" max="14112" width="13.88671875" style="109" customWidth="1"/>
    <col min="14113" max="14113" width="10.88671875" style="109" customWidth="1"/>
    <col min="14114" max="14114" width="11.44140625" style="109" customWidth="1"/>
    <col min="14115" max="14115" width="11.77734375" style="109" customWidth="1"/>
    <col min="14116" max="14116" width="11.109375" style="109" customWidth="1"/>
    <col min="14117" max="14117" width="10.88671875" style="109" customWidth="1"/>
    <col min="14118" max="14121" width="8.77734375" style="109"/>
    <col min="14122" max="14122" width="11.44140625" style="109" bestFit="1" customWidth="1"/>
    <col min="14123" max="14123" width="10.21875" style="109" customWidth="1"/>
    <col min="14124" max="14124" width="11.5546875" style="109" customWidth="1"/>
    <col min="14125" max="14125" width="12.109375" style="109" customWidth="1"/>
    <col min="14126" max="14126" width="13.21875" style="109" customWidth="1"/>
    <col min="14127" max="14127" width="14.109375" style="109" customWidth="1"/>
    <col min="14128" max="14128" width="11.77734375" style="109" customWidth="1"/>
    <col min="14129" max="14129" width="9.6640625" style="109" customWidth="1"/>
    <col min="14130" max="14133" width="8.77734375" style="109"/>
    <col min="14134" max="14134" width="28.77734375" style="109" customWidth="1"/>
    <col min="14135" max="14135" width="11.77734375" style="109" customWidth="1"/>
    <col min="14136" max="14136" width="10" style="109" customWidth="1"/>
    <col min="14137" max="14137" width="10.44140625" style="109" customWidth="1"/>
    <col min="14138" max="14139" width="8.77734375" style="109"/>
    <col min="14140" max="14140" width="9.33203125" style="109" customWidth="1"/>
    <col min="14141" max="14141" width="18.44140625" style="109" customWidth="1"/>
    <col min="14142" max="14142" width="11" style="109" customWidth="1"/>
    <col min="14143" max="14143" width="9.5546875" style="109" customWidth="1"/>
    <col min="14144" max="14144" width="10.6640625" style="109" customWidth="1"/>
    <col min="14145" max="14145" width="9.88671875" style="109" customWidth="1"/>
    <col min="14146" max="14146" width="11.44140625" style="109" customWidth="1"/>
    <col min="14147" max="14147" width="9.88671875" style="109" customWidth="1"/>
    <col min="14148" max="14148" width="10" style="109" customWidth="1"/>
    <col min="14149" max="14149" width="6.77734375" style="109" customWidth="1"/>
    <col min="14150" max="14150" width="12.5546875" style="109" customWidth="1"/>
    <col min="14151" max="14151" width="9.5546875" style="109" customWidth="1"/>
    <col min="14152" max="14152" width="10.33203125" style="109" customWidth="1"/>
    <col min="14153" max="14153" width="7.77734375" style="109" customWidth="1"/>
    <col min="14154" max="14154" width="7.21875" style="109" customWidth="1"/>
    <col min="14155" max="14155" width="17.6640625" style="109" customWidth="1"/>
    <col min="14156" max="14156" width="8.77734375" style="109" customWidth="1"/>
    <col min="14157" max="14157" width="13.109375" style="109" bestFit="1" customWidth="1"/>
    <col min="14158" max="14158" width="13.77734375" style="109" customWidth="1"/>
    <col min="14159" max="14160" width="8.77734375" style="109"/>
    <col min="14161" max="14161" width="9" style="109" bestFit="1" customWidth="1"/>
    <col min="14162" max="14170" width="8.77734375" style="109"/>
    <col min="14171" max="14171" width="13.109375" style="109" customWidth="1"/>
    <col min="14172" max="14172" width="8.77734375" style="109"/>
    <col min="14173" max="14173" width="9.88671875" style="109" customWidth="1"/>
    <col min="14174" max="14177" width="8.77734375" style="109"/>
    <col min="14178" max="14178" width="8.5546875" style="109" customWidth="1"/>
    <col min="14179" max="14179" width="30.33203125" style="109" customWidth="1"/>
    <col min="14180" max="14180" width="9" style="109" bestFit="1" customWidth="1"/>
    <col min="14181" max="14181" width="8.77734375" style="109"/>
    <col min="14182" max="14182" width="5.88671875" style="109" customWidth="1"/>
    <col min="14183" max="14183" width="6.88671875" style="109" customWidth="1"/>
    <col min="14184" max="14184" width="23.88671875" style="109" customWidth="1"/>
    <col min="14185" max="14191" width="8.77734375" style="109"/>
    <col min="14192" max="14192" width="9" style="109" bestFit="1" customWidth="1"/>
    <col min="14193" max="14194" width="8.77734375" style="109"/>
    <col min="14195" max="14195" width="32.88671875" style="109" customWidth="1"/>
    <col min="14196" max="14196" width="16.6640625" style="109" customWidth="1"/>
    <col min="14197" max="14197" width="10.21875" style="109" customWidth="1"/>
    <col min="14198" max="14198" width="12.44140625" style="109" customWidth="1"/>
    <col min="14199" max="14199" width="10" style="109" bestFit="1" customWidth="1"/>
    <col min="14200" max="14200" width="8.77734375" style="109"/>
    <col min="14201" max="14201" width="9" style="109" bestFit="1" customWidth="1"/>
    <col min="14202" max="14203" width="8.77734375" style="109"/>
    <col min="14204" max="14204" width="11.6640625" style="109" customWidth="1"/>
    <col min="14205" max="14205" width="8.77734375" style="109"/>
    <col min="14206" max="14206" width="28.77734375" style="109" customWidth="1"/>
    <col min="14207" max="14207" width="12.33203125" style="109" customWidth="1"/>
    <col min="14208" max="14208" width="11.21875" style="109" customWidth="1"/>
    <col min="14209" max="14336" width="8.77734375" style="109"/>
    <col min="14337" max="14337" width="5.6640625" style="109" customWidth="1"/>
    <col min="14338" max="14338" width="26.5546875" style="109" customWidth="1"/>
    <col min="14339" max="14339" width="11.44140625" style="109" customWidth="1"/>
    <col min="14340" max="14340" width="7.44140625" style="109" customWidth="1"/>
    <col min="14341" max="14341" width="8.5546875" style="109" customWidth="1"/>
    <col min="14342" max="14342" width="12.33203125" style="109" customWidth="1"/>
    <col min="14343" max="14343" width="11.77734375" style="109" customWidth="1"/>
    <col min="14344" max="14344" width="8.21875" style="109" customWidth="1"/>
    <col min="14345" max="14345" width="12" style="109" customWidth="1"/>
    <col min="14346" max="14346" width="8.77734375" style="109" customWidth="1"/>
    <col min="14347" max="14347" width="11.109375" style="109" customWidth="1"/>
    <col min="14348" max="14348" width="12.88671875" style="109" customWidth="1"/>
    <col min="14349" max="14349" width="12.5546875" style="109" customWidth="1"/>
    <col min="14350" max="14350" width="9.6640625" style="109" customWidth="1"/>
    <col min="14351" max="14351" width="9.88671875" style="109" customWidth="1"/>
    <col min="14352" max="14352" width="11.33203125" style="109" customWidth="1"/>
    <col min="14353" max="14353" width="11.5546875" style="109" customWidth="1"/>
    <col min="14354" max="14354" width="11.6640625" style="109" customWidth="1"/>
    <col min="14355" max="14355" width="10.33203125" style="109" customWidth="1"/>
    <col min="14356" max="14356" width="11.77734375" style="109" customWidth="1"/>
    <col min="14357" max="14357" width="12.109375" style="109" customWidth="1"/>
    <col min="14358" max="14358" width="11" style="109" customWidth="1"/>
    <col min="14359" max="14359" width="12.109375" style="109" customWidth="1"/>
    <col min="14360" max="14360" width="10.5546875" style="109" customWidth="1"/>
    <col min="14361" max="14361" width="9.88671875" style="109" customWidth="1"/>
    <col min="14362" max="14362" width="10.77734375" style="109" customWidth="1"/>
    <col min="14363" max="14363" width="9.77734375" style="109" customWidth="1"/>
    <col min="14364" max="14364" width="11.21875" style="109" customWidth="1"/>
    <col min="14365" max="14365" width="10.33203125" style="109" customWidth="1"/>
    <col min="14366" max="14366" width="11.88671875" style="109" customWidth="1"/>
    <col min="14367" max="14367" width="8.77734375" style="109"/>
    <col min="14368" max="14368" width="13.88671875" style="109" customWidth="1"/>
    <col min="14369" max="14369" width="10.88671875" style="109" customWidth="1"/>
    <col min="14370" max="14370" width="11.44140625" style="109" customWidth="1"/>
    <col min="14371" max="14371" width="11.77734375" style="109" customWidth="1"/>
    <col min="14372" max="14372" width="11.109375" style="109" customWidth="1"/>
    <col min="14373" max="14373" width="10.88671875" style="109" customWidth="1"/>
    <col min="14374" max="14377" width="8.77734375" style="109"/>
    <col min="14378" max="14378" width="11.44140625" style="109" bestFit="1" customWidth="1"/>
    <col min="14379" max="14379" width="10.21875" style="109" customWidth="1"/>
    <col min="14380" max="14380" width="11.5546875" style="109" customWidth="1"/>
    <col min="14381" max="14381" width="12.109375" style="109" customWidth="1"/>
    <col min="14382" max="14382" width="13.21875" style="109" customWidth="1"/>
    <col min="14383" max="14383" width="14.109375" style="109" customWidth="1"/>
    <col min="14384" max="14384" width="11.77734375" style="109" customWidth="1"/>
    <col min="14385" max="14385" width="9.6640625" style="109" customWidth="1"/>
    <col min="14386" max="14389" width="8.77734375" style="109"/>
    <col min="14390" max="14390" width="28.77734375" style="109" customWidth="1"/>
    <col min="14391" max="14391" width="11.77734375" style="109" customWidth="1"/>
    <col min="14392" max="14392" width="10" style="109" customWidth="1"/>
    <col min="14393" max="14393" width="10.44140625" style="109" customWidth="1"/>
    <col min="14394" max="14395" width="8.77734375" style="109"/>
    <col min="14396" max="14396" width="9.33203125" style="109" customWidth="1"/>
    <col min="14397" max="14397" width="18.44140625" style="109" customWidth="1"/>
    <col min="14398" max="14398" width="11" style="109" customWidth="1"/>
    <col min="14399" max="14399" width="9.5546875" style="109" customWidth="1"/>
    <col min="14400" max="14400" width="10.6640625" style="109" customWidth="1"/>
    <col min="14401" max="14401" width="9.88671875" style="109" customWidth="1"/>
    <col min="14402" max="14402" width="11.44140625" style="109" customWidth="1"/>
    <col min="14403" max="14403" width="9.88671875" style="109" customWidth="1"/>
    <col min="14404" max="14404" width="10" style="109" customWidth="1"/>
    <col min="14405" max="14405" width="6.77734375" style="109" customWidth="1"/>
    <col min="14406" max="14406" width="12.5546875" style="109" customWidth="1"/>
    <col min="14407" max="14407" width="9.5546875" style="109" customWidth="1"/>
    <col min="14408" max="14408" width="10.33203125" style="109" customWidth="1"/>
    <col min="14409" max="14409" width="7.77734375" style="109" customWidth="1"/>
    <col min="14410" max="14410" width="7.21875" style="109" customWidth="1"/>
    <col min="14411" max="14411" width="17.6640625" style="109" customWidth="1"/>
    <col min="14412" max="14412" width="8.77734375" style="109" customWidth="1"/>
    <col min="14413" max="14413" width="13.109375" style="109" bestFit="1" customWidth="1"/>
    <col min="14414" max="14414" width="13.77734375" style="109" customWidth="1"/>
    <col min="14415" max="14416" width="8.77734375" style="109"/>
    <col min="14417" max="14417" width="9" style="109" bestFit="1" customWidth="1"/>
    <col min="14418" max="14426" width="8.77734375" style="109"/>
    <col min="14427" max="14427" width="13.109375" style="109" customWidth="1"/>
    <col min="14428" max="14428" width="8.77734375" style="109"/>
    <col min="14429" max="14429" width="9.88671875" style="109" customWidth="1"/>
    <col min="14430" max="14433" width="8.77734375" style="109"/>
    <col min="14434" max="14434" width="8.5546875" style="109" customWidth="1"/>
    <col min="14435" max="14435" width="30.33203125" style="109" customWidth="1"/>
    <col min="14436" max="14436" width="9" style="109" bestFit="1" customWidth="1"/>
    <col min="14437" max="14437" width="8.77734375" style="109"/>
    <col min="14438" max="14438" width="5.88671875" style="109" customWidth="1"/>
    <col min="14439" max="14439" width="6.88671875" style="109" customWidth="1"/>
    <col min="14440" max="14440" width="23.88671875" style="109" customWidth="1"/>
    <col min="14441" max="14447" width="8.77734375" style="109"/>
    <col min="14448" max="14448" width="9" style="109" bestFit="1" customWidth="1"/>
    <col min="14449" max="14450" width="8.77734375" style="109"/>
    <col min="14451" max="14451" width="32.88671875" style="109" customWidth="1"/>
    <col min="14452" max="14452" width="16.6640625" style="109" customWidth="1"/>
    <col min="14453" max="14453" width="10.21875" style="109" customWidth="1"/>
    <col min="14454" max="14454" width="12.44140625" style="109" customWidth="1"/>
    <col min="14455" max="14455" width="10" style="109" bestFit="1" customWidth="1"/>
    <col min="14456" max="14456" width="8.77734375" style="109"/>
    <col min="14457" max="14457" width="9" style="109" bestFit="1" customWidth="1"/>
    <col min="14458" max="14459" width="8.77734375" style="109"/>
    <col min="14460" max="14460" width="11.6640625" style="109" customWidth="1"/>
    <col min="14461" max="14461" width="8.77734375" style="109"/>
    <col min="14462" max="14462" width="28.77734375" style="109" customWidth="1"/>
    <col min="14463" max="14463" width="12.33203125" style="109" customWidth="1"/>
    <col min="14464" max="14464" width="11.21875" style="109" customWidth="1"/>
    <col min="14465" max="14592" width="8.77734375" style="109"/>
    <col min="14593" max="14593" width="5.6640625" style="109" customWidth="1"/>
    <col min="14594" max="14594" width="26.5546875" style="109" customWidth="1"/>
    <col min="14595" max="14595" width="11.44140625" style="109" customWidth="1"/>
    <col min="14596" max="14596" width="7.44140625" style="109" customWidth="1"/>
    <col min="14597" max="14597" width="8.5546875" style="109" customWidth="1"/>
    <col min="14598" max="14598" width="12.33203125" style="109" customWidth="1"/>
    <col min="14599" max="14599" width="11.77734375" style="109" customWidth="1"/>
    <col min="14600" max="14600" width="8.21875" style="109" customWidth="1"/>
    <col min="14601" max="14601" width="12" style="109" customWidth="1"/>
    <col min="14602" max="14602" width="8.77734375" style="109" customWidth="1"/>
    <col min="14603" max="14603" width="11.109375" style="109" customWidth="1"/>
    <col min="14604" max="14604" width="12.88671875" style="109" customWidth="1"/>
    <col min="14605" max="14605" width="12.5546875" style="109" customWidth="1"/>
    <col min="14606" max="14606" width="9.6640625" style="109" customWidth="1"/>
    <col min="14607" max="14607" width="9.88671875" style="109" customWidth="1"/>
    <col min="14608" max="14608" width="11.33203125" style="109" customWidth="1"/>
    <col min="14609" max="14609" width="11.5546875" style="109" customWidth="1"/>
    <col min="14610" max="14610" width="11.6640625" style="109" customWidth="1"/>
    <col min="14611" max="14611" width="10.33203125" style="109" customWidth="1"/>
    <col min="14612" max="14612" width="11.77734375" style="109" customWidth="1"/>
    <col min="14613" max="14613" width="12.109375" style="109" customWidth="1"/>
    <col min="14614" max="14614" width="11" style="109" customWidth="1"/>
    <col min="14615" max="14615" width="12.109375" style="109" customWidth="1"/>
    <col min="14616" max="14616" width="10.5546875" style="109" customWidth="1"/>
    <col min="14617" max="14617" width="9.88671875" style="109" customWidth="1"/>
    <col min="14618" max="14618" width="10.77734375" style="109" customWidth="1"/>
    <col min="14619" max="14619" width="9.77734375" style="109" customWidth="1"/>
    <col min="14620" max="14620" width="11.21875" style="109" customWidth="1"/>
    <col min="14621" max="14621" width="10.33203125" style="109" customWidth="1"/>
    <col min="14622" max="14622" width="11.88671875" style="109" customWidth="1"/>
    <col min="14623" max="14623" width="8.77734375" style="109"/>
    <col min="14624" max="14624" width="13.88671875" style="109" customWidth="1"/>
    <col min="14625" max="14625" width="10.88671875" style="109" customWidth="1"/>
    <col min="14626" max="14626" width="11.44140625" style="109" customWidth="1"/>
    <col min="14627" max="14627" width="11.77734375" style="109" customWidth="1"/>
    <col min="14628" max="14628" width="11.109375" style="109" customWidth="1"/>
    <col min="14629" max="14629" width="10.88671875" style="109" customWidth="1"/>
    <col min="14630" max="14633" width="8.77734375" style="109"/>
    <col min="14634" max="14634" width="11.44140625" style="109" bestFit="1" customWidth="1"/>
    <col min="14635" max="14635" width="10.21875" style="109" customWidth="1"/>
    <col min="14636" max="14636" width="11.5546875" style="109" customWidth="1"/>
    <col min="14637" max="14637" width="12.109375" style="109" customWidth="1"/>
    <col min="14638" max="14638" width="13.21875" style="109" customWidth="1"/>
    <col min="14639" max="14639" width="14.109375" style="109" customWidth="1"/>
    <col min="14640" max="14640" width="11.77734375" style="109" customWidth="1"/>
    <col min="14641" max="14641" width="9.6640625" style="109" customWidth="1"/>
    <col min="14642" max="14645" width="8.77734375" style="109"/>
    <col min="14646" max="14646" width="28.77734375" style="109" customWidth="1"/>
    <col min="14647" max="14647" width="11.77734375" style="109" customWidth="1"/>
    <col min="14648" max="14648" width="10" style="109" customWidth="1"/>
    <col min="14649" max="14649" width="10.44140625" style="109" customWidth="1"/>
    <col min="14650" max="14651" width="8.77734375" style="109"/>
    <col min="14652" max="14652" width="9.33203125" style="109" customWidth="1"/>
    <col min="14653" max="14653" width="18.44140625" style="109" customWidth="1"/>
    <col min="14654" max="14654" width="11" style="109" customWidth="1"/>
    <col min="14655" max="14655" width="9.5546875" style="109" customWidth="1"/>
    <col min="14656" max="14656" width="10.6640625" style="109" customWidth="1"/>
    <col min="14657" max="14657" width="9.88671875" style="109" customWidth="1"/>
    <col min="14658" max="14658" width="11.44140625" style="109" customWidth="1"/>
    <col min="14659" max="14659" width="9.88671875" style="109" customWidth="1"/>
    <col min="14660" max="14660" width="10" style="109" customWidth="1"/>
    <col min="14661" max="14661" width="6.77734375" style="109" customWidth="1"/>
    <col min="14662" max="14662" width="12.5546875" style="109" customWidth="1"/>
    <col min="14663" max="14663" width="9.5546875" style="109" customWidth="1"/>
    <col min="14664" max="14664" width="10.33203125" style="109" customWidth="1"/>
    <col min="14665" max="14665" width="7.77734375" style="109" customWidth="1"/>
    <col min="14666" max="14666" width="7.21875" style="109" customWidth="1"/>
    <col min="14667" max="14667" width="17.6640625" style="109" customWidth="1"/>
    <col min="14668" max="14668" width="8.77734375" style="109" customWidth="1"/>
    <col min="14669" max="14669" width="13.109375" style="109" bestFit="1" customWidth="1"/>
    <col min="14670" max="14670" width="13.77734375" style="109" customWidth="1"/>
    <col min="14671" max="14672" width="8.77734375" style="109"/>
    <col min="14673" max="14673" width="9" style="109" bestFit="1" customWidth="1"/>
    <col min="14674" max="14682" width="8.77734375" style="109"/>
    <col min="14683" max="14683" width="13.109375" style="109" customWidth="1"/>
    <col min="14684" max="14684" width="8.77734375" style="109"/>
    <col min="14685" max="14685" width="9.88671875" style="109" customWidth="1"/>
    <col min="14686" max="14689" width="8.77734375" style="109"/>
    <col min="14690" max="14690" width="8.5546875" style="109" customWidth="1"/>
    <col min="14691" max="14691" width="30.33203125" style="109" customWidth="1"/>
    <col min="14692" max="14692" width="9" style="109" bestFit="1" customWidth="1"/>
    <col min="14693" max="14693" width="8.77734375" style="109"/>
    <col min="14694" max="14694" width="5.88671875" style="109" customWidth="1"/>
    <col min="14695" max="14695" width="6.88671875" style="109" customWidth="1"/>
    <col min="14696" max="14696" width="23.88671875" style="109" customWidth="1"/>
    <col min="14697" max="14703" width="8.77734375" style="109"/>
    <col min="14704" max="14704" width="9" style="109" bestFit="1" customWidth="1"/>
    <col min="14705" max="14706" width="8.77734375" style="109"/>
    <col min="14707" max="14707" width="32.88671875" style="109" customWidth="1"/>
    <col min="14708" max="14708" width="16.6640625" style="109" customWidth="1"/>
    <col min="14709" max="14709" width="10.21875" style="109" customWidth="1"/>
    <col min="14710" max="14710" width="12.44140625" style="109" customWidth="1"/>
    <col min="14711" max="14711" width="10" style="109" bestFit="1" customWidth="1"/>
    <col min="14712" max="14712" width="8.77734375" style="109"/>
    <col min="14713" max="14713" width="9" style="109" bestFit="1" customWidth="1"/>
    <col min="14714" max="14715" width="8.77734375" style="109"/>
    <col min="14716" max="14716" width="11.6640625" style="109" customWidth="1"/>
    <col min="14717" max="14717" width="8.77734375" style="109"/>
    <col min="14718" max="14718" width="28.77734375" style="109" customWidth="1"/>
    <col min="14719" max="14719" width="12.33203125" style="109" customWidth="1"/>
    <col min="14720" max="14720" width="11.21875" style="109" customWidth="1"/>
    <col min="14721" max="14848" width="8.77734375" style="109"/>
    <col min="14849" max="14849" width="5.6640625" style="109" customWidth="1"/>
    <col min="14850" max="14850" width="26.5546875" style="109" customWidth="1"/>
    <col min="14851" max="14851" width="11.44140625" style="109" customWidth="1"/>
    <col min="14852" max="14852" width="7.44140625" style="109" customWidth="1"/>
    <col min="14853" max="14853" width="8.5546875" style="109" customWidth="1"/>
    <col min="14854" max="14854" width="12.33203125" style="109" customWidth="1"/>
    <col min="14855" max="14855" width="11.77734375" style="109" customWidth="1"/>
    <col min="14856" max="14856" width="8.21875" style="109" customWidth="1"/>
    <col min="14857" max="14857" width="12" style="109" customWidth="1"/>
    <col min="14858" max="14858" width="8.77734375" style="109" customWidth="1"/>
    <col min="14859" max="14859" width="11.109375" style="109" customWidth="1"/>
    <col min="14860" max="14860" width="12.88671875" style="109" customWidth="1"/>
    <col min="14861" max="14861" width="12.5546875" style="109" customWidth="1"/>
    <col min="14862" max="14862" width="9.6640625" style="109" customWidth="1"/>
    <col min="14863" max="14863" width="9.88671875" style="109" customWidth="1"/>
    <col min="14864" max="14864" width="11.33203125" style="109" customWidth="1"/>
    <col min="14865" max="14865" width="11.5546875" style="109" customWidth="1"/>
    <col min="14866" max="14866" width="11.6640625" style="109" customWidth="1"/>
    <col min="14867" max="14867" width="10.33203125" style="109" customWidth="1"/>
    <col min="14868" max="14868" width="11.77734375" style="109" customWidth="1"/>
    <col min="14869" max="14869" width="12.109375" style="109" customWidth="1"/>
    <col min="14870" max="14870" width="11" style="109" customWidth="1"/>
    <col min="14871" max="14871" width="12.109375" style="109" customWidth="1"/>
    <col min="14872" max="14872" width="10.5546875" style="109" customWidth="1"/>
    <col min="14873" max="14873" width="9.88671875" style="109" customWidth="1"/>
    <col min="14874" max="14874" width="10.77734375" style="109" customWidth="1"/>
    <col min="14875" max="14875" width="9.77734375" style="109" customWidth="1"/>
    <col min="14876" max="14876" width="11.21875" style="109" customWidth="1"/>
    <col min="14877" max="14877" width="10.33203125" style="109" customWidth="1"/>
    <col min="14878" max="14878" width="11.88671875" style="109" customWidth="1"/>
    <col min="14879" max="14879" width="8.77734375" style="109"/>
    <col min="14880" max="14880" width="13.88671875" style="109" customWidth="1"/>
    <col min="14881" max="14881" width="10.88671875" style="109" customWidth="1"/>
    <col min="14882" max="14882" width="11.44140625" style="109" customWidth="1"/>
    <col min="14883" max="14883" width="11.77734375" style="109" customWidth="1"/>
    <col min="14884" max="14884" width="11.109375" style="109" customWidth="1"/>
    <col min="14885" max="14885" width="10.88671875" style="109" customWidth="1"/>
    <col min="14886" max="14889" width="8.77734375" style="109"/>
    <col min="14890" max="14890" width="11.44140625" style="109" bestFit="1" customWidth="1"/>
    <col min="14891" max="14891" width="10.21875" style="109" customWidth="1"/>
    <col min="14892" max="14892" width="11.5546875" style="109" customWidth="1"/>
    <col min="14893" max="14893" width="12.109375" style="109" customWidth="1"/>
    <col min="14894" max="14894" width="13.21875" style="109" customWidth="1"/>
    <col min="14895" max="14895" width="14.109375" style="109" customWidth="1"/>
    <col min="14896" max="14896" width="11.77734375" style="109" customWidth="1"/>
    <col min="14897" max="14897" width="9.6640625" style="109" customWidth="1"/>
    <col min="14898" max="14901" width="8.77734375" style="109"/>
    <col min="14902" max="14902" width="28.77734375" style="109" customWidth="1"/>
    <col min="14903" max="14903" width="11.77734375" style="109" customWidth="1"/>
    <col min="14904" max="14904" width="10" style="109" customWidth="1"/>
    <col min="14905" max="14905" width="10.44140625" style="109" customWidth="1"/>
    <col min="14906" max="14907" width="8.77734375" style="109"/>
    <col min="14908" max="14908" width="9.33203125" style="109" customWidth="1"/>
    <col min="14909" max="14909" width="18.44140625" style="109" customWidth="1"/>
    <col min="14910" max="14910" width="11" style="109" customWidth="1"/>
    <col min="14911" max="14911" width="9.5546875" style="109" customWidth="1"/>
    <col min="14912" max="14912" width="10.6640625" style="109" customWidth="1"/>
    <col min="14913" max="14913" width="9.88671875" style="109" customWidth="1"/>
    <col min="14914" max="14914" width="11.44140625" style="109" customWidth="1"/>
    <col min="14915" max="14915" width="9.88671875" style="109" customWidth="1"/>
    <col min="14916" max="14916" width="10" style="109" customWidth="1"/>
    <col min="14917" max="14917" width="6.77734375" style="109" customWidth="1"/>
    <col min="14918" max="14918" width="12.5546875" style="109" customWidth="1"/>
    <col min="14919" max="14919" width="9.5546875" style="109" customWidth="1"/>
    <col min="14920" max="14920" width="10.33203125" style="109" customWidth="1"/>
    <col min="14921" max="14921" width="7.77734375" style="109" customWidth="1"/>
    <col min="14922" max="14922" width="7.21875" style="109" customWidth="1"/>
    <col min="14923" max="14923" width="17.6640625" style="109" customWidth="1"/>
    <col min="14924" max="14924" width="8.77734375" style="109" customWidth="1"/>
    <col min="14925" max="14925" width="13.109375" style="109" bestFit="1" customWidth="1"/>
    <col min="14926" max="14926" width="13.77734375" style="109" customWidth="1"/>
    <col min="14927" max="14928" width="8.77734375" style="109"/>
    <col min="14929" max="14929" width="9" style="109" bestFit="1" customWidth="1"/>
    <col min="14930" max="14938" width="8.77734375" style="109"/>
    <col min="14939" max="14939" width="13.109375" style="109" customWidth="1"/>
    <col min="14940" max="14940" width="8.77734375" style="109"/>
    <col min="14941" max="14941" width="9.88671875" style="109" customWidth="1"/>
    <col min="14942" max="14945" width="8.77734375" style="109"/>
    <col min="14946" max="14946" width="8.5546875" style="109" customWidth="1"/>
    <col min="14947" max="14947" width="30.33203125" style="109" customWidth="1"/>
    <col min="14948" max="14948" width="9" style="109" bestFit="1" customWidth="1"/>
    <col min="14949" max="14949" width="8.77734375" style="109"/>
    <col min="14950" max="14950" width="5.88671875" style="109" customWidth="1"/>
    <col min="14951" max="14951" width="6.88671875" style="109" customWidth="1"/>
    <col min="14952" max="14952" width="23.88671875" style="109" customWidth="1"/>
    <col min="14953" max="14959" width="8.77734375" style="109"/>
    <col min="14960" max="14960" width="9" style="109" bestFit="1" customWidth="1"/>
    <col min="14961" max="14962" width="8.77734375" style="109"/>
    <col min="14963" max="14963" width="32.88671875" style="109" customWidth="1"/>
    <col min="14964" max="14964" width="16.6640625" style="109" customWidth="1"/>
    <col min="14965" max="14965" width="10.21875" style="109" customWidth="1"/>
    <col min="14966" max="14966" width="12.44140625" style="109" customWidth="1"/>
    <col min="14967" max="14967" width="10" style="109" bestFit="1" customWidth="1"/>
    <col min="14968" max="14968" width="8.77734375" style="109"/>
    <col min="14969" max="14969" width="9" style="109" bestFit="1" customWidth="1"/>
    <col min="14970" max="14971" width="8.77734375" style="109"/>
    <col min="14972" max="14972" width="11.6640625" style="109" customWidth="1"/>
    <col min="14973" max="14973" width="8.77734375" style="109"/>
    <col min="14974" max="14974" width="28.77734375" style="109" customWidth="1"/>
    <col min="14975" max="14975" width="12.33203125" style="109" customWidth="1"/>
    <col min="14976" max="14976" width="11.21875" style="109" customWidth="1"/>
    <col min="14977" max="15104" width="8.77734375" style="109"/>
    <col min="15105" max="15105" width="5.6640625" style="109" customWidth="1"/>
    <col min="15106" max="15106" width="26.5546875" style="109" customWidth="1"/>
    <col min="15107" max="15107" width="11.44140625" style="109" customWidth="1"/>
    <col min="15108" max="15108" width="7.44140625" style="109" customWidth="1"/>
    <col min="15109" max="15109" width="8.5546875" style="109" customWidth="1"/>
    <col min="15110" max="15110" width="12.33203125" style="109" customWidth="1"/>
    <col min="15111" max="15111" width="11.77734375" style="109" customWidth="1"/>
    <col min="15112" max="15112" width="8.21875" style="109" customWidth="1"/>
    <col min="15113" max="15113" width="12" style="109" customWidth="1"/>
    <col min="15114" max="15114" width="8.77734375" style="109" customWidth="1"/>
    <col min="15115" max="15115" width="11.109375" style="109" customWidth="1"/>
    <col min="15116" max="15116" width="12.88671875" style="109" customWidth="1"/>
    <col min="15117" max="15117" width="12.5546875" style="109" customWidth="1"/>
    <col min="15118" max="15118" width="9.6640625" style="109" customWidth="1"/>
    <col min="15119" max="15119" width="9.88671875" style="109" customWidth="1"/>
    <col min="15120" max="15120" width="11.33203125" style="109" customWidth="1"/>
    <col min="15121" max="15121" width="11.5546875" style="109" customWidth="1"/>
    <col min="15122" max="15122" width="11.6640625" style="109" customWidth="1"/>
    <col min="15123" max="15123" width="10.33203125" style="109" customWidth="1"/>
    <col min="15124" max="15124" width="11.77734375" style="109" customWidth="1"/>
    <col min="15125" max="15125" width="12.109375" style="109" customWidth="1"/>
    <col min="15126" max="15126" width="11" style="109" customWidth="1"/>
    <col min="15127" max="15127" width="12.109375" style="109" customWidth="1"/>
    <col min="15128" max="15128" width="10.5546875" style="109" customWidth="1"/>
    <col min="15129" max="15129" width="9.88671875" style="109" customWidth="1"/>
    <col min="15130" max="15130" width="10.77734375" style="109" customWidth="1"/>
    <col min="15131" max="15131" width="9.77734375" style="109" customWidth="1"/>
    <col min="15132" max="15132" width="11.21875" style="109" customWidth="1"/>
    <col min="15133" max="15133" width="10.33203125" style="109" customWidth="1"/>
    <col min="15134" max="15134" width="11.88671875" style="109" customWidth="1"/>
    <col min="15135" max="15135" width="8.77734375" style="109"/>
    <col min="15136" max="15136" width="13.88671875" style="109" customWidth="1"/>
    <col min="15137" max="15137" width="10.88671875" style="109" customWidth="1"/>
    <col min="15138" max="15138" width="11.44140625" style="109" customWidth="1"/>
    <col min="15139" max="15139" width="11.77734375" style="109" customWidth="1"/>
    <col min="15140" max="15140" width="11.109375" style="109" customWidth="1"/>
    <col min="15141" max="15141" width="10.88671875" style="109" customWidth="1"/>
    <col min="15142" max="15145" width="8.77734375" style="109"/>
    <col min="15146" max="15146" width="11.44140625" style="109" bestFit="1" customWidth="1"/>
    <col min="15147" max="15147" width="10.21875" style="109" customWidth="1"/>
    <col min="15148" max="15148" width="11.5546875" style="109" customWidth="1"/>
    <col min="15149" max="15149" width="12.109375" style="109" customWidth="1"/>
    <col min="15150" max="15150" width="13.21875" style="109" customWidth="1"/>
    <col min="15151" max="15151" width="14.109375" style="109" customWidth="1"/>
    <col min="15152" max="15152" width="11.77734375" style="109" customWidth="1"/>
    <col min="15153" max="15153" width="9.6640625" style="109" customWidth="1"/>
    <col min="15154" max="15157" width="8.77734375" style="109"/>
    <col min="15158" max="15158" width="28.77734375" style="109" customWidth="1"/>
    <col min="15159" max="15159" width="11.77734375" style="109" customWidth="1"/>
    <col min="15160" max="15160" width="10" style="109" customWidth="1"/>
    <col min="15161" max="15161" width="10.44140625" style="109" customWidth="1"/>
    <col min="15162" max="15163" width="8.77734375" style="109"/>
    <col min="15164" max="15164" width="9.33203125" style="109" customWidth="1"/>
    <col min="15165" max="15165" width="18.44140625" style="109" customWidth="1"/>
    <col min="15166" max="15166" width="11" style="109" customWidth="1"/>
    <col min="15167" max="15167" width="9.5546875" style="109" customWidth="1"/>
    <col min="15168" max="15168" width="10.6640625" style="109" customWidth="1"/>
    <col min="15169" max="15169" width="9.88671875" style="109" customWidth="1"/>
    <col min="15170" max="15170" width="11.44140625" style="109" customWidth="1"/>
    <col min="15171" max="15171" width="9.88671875" style="109" customWidth="1"/>
    <col min="15172" max="15172" width="10" style="109" customWidth="1"/>
    <col min="15173" max="15173" width="6.77734375" style="109" customWidth="1"/>
    <col min="15174" max="15174" width="12.5546875" style="109" customWidth="1"/>
    <col min="15175" max="15175" width="9.5546875" style="109" customWidth="1"/>
    <col min="15176" max="15176" width="10.33203125" style="109" customWidth="1"/>
    <col min="15177" max="15177" width="7.77734375" style="109" customWidth="1"/>
    <col min="15178" max="15178" width="7.21875" style="109" customWidth="1"/>
    <col min="15179" max="15179" width="17.6640625" style="109" customWidth="1"/>
    <col min="15180" max="15180" width="8.77734375" style="109" customWidth="1"/>
    <col min="15181" max="15181" width="13.109375" style="109" bestFit="1" customWidth="1"/>
    <col min="15182" max="15182" width="13.77734375" style="109" customWidth="1"/>
    <col min="15183" max="15184" width="8.77734375" style="109"/>
    <col min="15185" max="15185" width="9" style="109" bestFit="1" customWidth="1"/>
    <col min="15186" max="15194" width="8.77734375" style="109"/>
    <col min="15195" max="15195" width="13.109375" style="109" customWidth="1"/>
    <col min="15196" max="15196" width="8.77734375" style="109"/>
    <col min="15197" max="15197" width="9.88671875" style="109" customWidth="1"/>
    <col min="15198" max="15201" width="8.77734375" style="109"/>
    <col min="15202" max="15202" width="8.5546875" style="109" customWidth="1"/>
    <col min="15203" max="15203" width="30.33203125" style="109" customWidth="1"/>
    <col min="15204" max="15204" width="9" style="109" bestFit="1" customWidth="1"/>
    <col min="15205" max="15205" width="8.77734375" style="109"/>
    <col min="15206" max="15206" width="5.88671875" style="109" customWidth="1"/>
    <col min="15207" max="15207" width="6.88671875" style="109" customWidth="1"/>
    <col min="15208" max="15208" width="23.88671875" style="109" customWidth="1"/>
    <col min="15209" max="15215" width="8.77734375" style="109"/>
    <col min="15216" max="15216" width="9" style="109" bestFit="1" customWidth="1"/>
    <col min="15217" max="15218" width="8.77734375" style="109"/>
    <col min="15219" max="15219" width="32.88671875" style="109" customWidth="1"/>
    <col min="15220" max="15220" width="16.6640625" style="109" customWidth="1"/>
    <col min="15221" max="15221" width="10.21875" style="109" customWidth="1"/>
    <col min="15222" max="15222" width="12.44140625" style="109" customWidth="1"/>
    <col min="15223" max="15223" width="10" style="109" bestFit="1" customWidth="1"/>
    <col min="15224" max="15224" width="8.77734375" style="109"/>
    <col min="15225" max="15225" width="9" style="109" bestFit="1" customWidth="1"/>
    <col min="15226" max="15227" width="8.77734375" style="109"/>
    <col min="15228" max="15228" width="11.6640625" style="109" customWidth="1"/>
    <col min="15229" max="15229" width="8.77734375" style="109"/>
    <col min="15230" max="15230" width="28.77734375" style="109" customWidth="1"/>
    <col min="15231" max="15231" width="12.33203125" style="109" customWidth="1"/>
    <col min="15232" max="15232" width="11.21875" style="109" customWidth="1"/>
    <col min="15233" max="15360" width="8.77734375" style="109"/>
    <col min="15361" max="15361" width="5.6640625" style="109" customWidth="1"/>
    <col min="15362" max="15362" width="26.5546875" style="109" customWidth="1"/>
    <col min="15363" max="15363" width="11.44140625" style="109" customWidth="1"/>
    <col min="15364" max="15364" width="7.44140625" style="109" customWidth="1"/>
    <col min="15365" max="15365" width="8.5546875" style="109" customWidth="1"/>
    <col min="15366" max="15366" width="12.33203125" style="109" customWidth="1"/>
    <col min="15367" max="15367" width="11.77734375" style="109" customWidth="1"/>
    <col min="15368" max="15368" width="8.21875" style="109" customWidth="1"/>
    <col min="15369" max="15369" width="12" style="109" customWidth="1"/>
    <col min="15370" max="15370" width="8.77734375" style="109" customWidth="1"/>
    <col min="15371" max="15371" width="11.109375" style="109" customWidth="1"/>
    <col min="15372" max="15372" width="12.88671875" style="109" customWidth="1"/>
    <col min="15373" max="15373" width="12.5546875" style="109" customWidth="1"/>
    <col min="15374" max="15374" width="9.6640625" style="109" customWidth="1"/>
    <col min="15375" max="15375" width="9.88671875" style="109" customWidth="1"/>
    <col min="15376" max="15376" width="11.33203125" style="109" customWidth="1"/>
    <col min="15377" max="15377" width="11.5546875" style="109" customWidth="1"/>
    <col min="15378" max="15378" width="11.6640625" style="109" customWidth="1"/>
    <col min="15379" max="15379" width="10.33203125" style="109" customWidth="1"/>
    <col min="15380" max="15380" width="11.77734375" style="109" customWidth="1"/>
    <col min="15381" max="15381" width="12.109375" style="109" customWidth="1"/>
    <col min="15382" max="15382" width="11" style="109" customWidth="1"/>
    <col min="15383" max="15383" width="12.109375" style="109" customWidth="1"/>
    <col min="15384" max="15384" width="10.5546875" style="109" customWidth="1"/>
    <col min="15385" max="15385" width="9.88671875" style="109" customWidth="1"/>
    <col min="15386" max="15386" width="10.77734375" style="109" customWidth="1"/>
    <col min="15387" max="15387" width="9.77734375" style="109" customWidth="1"/>
    <col min="15388" max="15388" width="11.21875" style="109" customWidth="1"/>
    <col min="15389" max="15389" width="10.33203125" style="109" customWidth="1"/>
    <col min="15390" max="15390" width="11.88671875" style="109" customWidth="1"/>
    <col min="15391" max="15391" width="8.77734375" style="109"/>
    <col min="15392" max="15392" width="13.88671875" style="109" customWidth="1"/>
    <col min="15393" max="15393" width="10.88671875" style="109" customWidth="1"/>
    <col min="15394" max="15394" width="11.44140625" style="109" customWidth="1"/>
    <col min="15395" max="15395" width="11.77734375" style="109" customWidth="1"/>
    <col min="15396" max="15396" width="11.109375" style="109" customWidth="1"/>
    <col min="15397" max="15397" width="10.88671875" style="109" customWidth="1"/>
    <col min="15398" max="15401" width="8.77734375" style="109"/>
    <col min="15402" max="15402" width="11.44140625" style="109" bestFit="1" customWidth="1"/>
    <col min="15403" max="15403" width="10.21875" style="109" customWidth="1"/>
    <col min="15404" max="15404" width="11.5546875" style="109" customWidth="1"/>
    <col min="15405" max="15405" width="12.109375" style="109" customWidth="1"/>
    <col min="15406" max="15406" width="13.21875" style="109" customWidth="1"/>
    <col min="15407" max="15407" width="14.109375" style="109" customWidth="1"/>
    <col min="15408" max="15408" width="11.77734375" style="109" customWidth="1"/>
    <col min="15409" max="15409" width="9.6640625" style="109" customWidth="1"/>
    <col min="15410" max="15413" width="8.77734375" style="109"/>
    <col min="15414" max="15414" width="28.77734375" style="109" customWidth="1"/>
    <col min="15415" max="15415" width="11.77734375" style="109" customWidth="1"/>
    <col min="15416" max="15416" width="10" style="109" customWidth="1"/>
    <col min="15417" max="15417" width="10.44140625" style="109" customWidth="1"/>
    <col min="15418" max="15419" width="8.77734375" style="109"/>
    <col min="15420" max="15420" width="9.33203125" style="109" customWidth="1"/>
    <col min="15421" max="15421" width="18.44140625" style="109" customWidth="1"/>
    <col min="15422" max="15422" width="11" style="109" customWidth="1"/>
    <col min="15423" max="15423" width="9.5546875" style="109" customWidth="1"/>
    <col min="15424" max="15424" width="10.6640625" style="109" customWidth="1"/>
    <col min="15425" max="15425" width="9.88671875" style="109" customWidth="1"/>
    <col min="15426" max="15426" width="11.44140625" style="109" customWidth="1"/>
    <col min="15427" max="15427" width="9.88671875" style="109" customWidth="1"/>
    <col min="15428" max="15428" width="10" style="109" customWidth="1"/>
    <col min="15429" max="15429" width="6.77734375" style="109" customWidth="1"/>
    <col min="15430" max="15430" width="12.5546875" style="109" customWidth="1"/>
    <col min="15431" max="15431" width="9.5546875" style="109" customWidth="1"/>
    <col min="15432" max="15432" width="10.33203125" style="109" customWidth="1"/>
    <col min="15433" max="15433" width="7.77734375" style="109" customWidth="1"/>
    <col min="15434" max="15434" width="7.21875" style="109" customWidth="1"/>
    <col min="15435" max="15435" width="17.6640625" style="109" customWidth="1"/>
    <col min="15436" max="15436" width="8.77734375" style="109" customWidth="1"/>
    <col min="15437" max="15437" width="13.109375" style="109" bestFit="1" customWidth="1"/>
    <col min="15438" max="15438" width="13.77734375" style="109" customWidth="1"/>
    <col min="15439" max="15440" width="8.77734375" style="109"/>
    <col min="15441" max="15441" width="9" style="109" bestFit="1" customWidth="1"/>
    <col min="15442" max="15450" width="8.77734375" style="109"/>
    <col min="15451" max="15451" width="13.109375" style="109" customWidth="1"/>
    <col min="15452" max="15452" width="8.77734375" style="109"/>
    <col min="15453" max="15453" width="9.88671875" style="109" customWidth="1"/>
    <col min="15454" max="15457" width="8.77734375" style="109"/>
    <col min="15458" max="15458" width="8.5546875" style="109" customWidth="1"/>
    <col min="15459" max="15459" width="30.33203125" style="109" customWidth="1"/>
    <col min="15460" max="15460" width="9" style="109" bestFit="1" customWidth="1"/>
    <col min="15461" max="15461" width="8.77734375" style="109"/>
    <col min="15462" max="15462" width="5.88671875" style="109" customWidth="1"/>
    <col min="15463" max="15463" width="6.88671875" style="109" customWidth="1"/>
    <col min="15464" max="15464" width="23.88671875" style="109" customWidth="1"/>
    <col min="15465" max="15471" width="8.77734375" style="109"/>
    <col min="15472" max="15472" width="9" style="109" bestFit="1" customWidth="1"/>
    <col min="15473" max="15474" width="8.77734375" style="109"/>
    <col min="15475" max="15475" width="32.88671875" style="109" customWidth="1"/>
    <col min="15476" max="15476" width="16.6640625" style="109" customWidth="1"/>
    <col min="15477" max="15477" width="10.21875" style="109" customWidth="1"/>
    <col min="15478" max="15478" width="12.44140625" style="109" customWidth="1"/>
    <col min="15479" max="15479" width="10" style="109" bestFit="1" customWidth="1"/>
    <col min="15480" max="15480" width="8.77734375" style="109"/>
    <col min="15481" max="15481" width="9" style="109" bestFit="1" customWidth="1"/>
    <col min="15482" max="15483" width="8.77734375" style="109"/>
    <col min="15484" max="15484" width="11.6640625" style="109" customWidth="1"/>
    <col min="15485" max="15485" width="8.77734375" style="109"/>
    <col min="15486" max="15486" width="28.77734375" style="109" customWidth="1"/>
    <col min="15487" max="15487" width="12.33203125" style="109" customWidth="1"/>
    <col min="15488" max="15488" width="11.21875" style="109" customWidth="1"/>
    <col min="15489" max="15616" width="8.77734375" style="109"/>
    <col min="15617" max="15617" width="5.6640625" style="109" customWidth="1"/>
    <col min="15618" max="15618" width="26.5546875" style="109" customWidth="1"/>
    <col min="15619" max="15619" width="11.44140625" style="109" customWidth="1"/>
    <col min="15620" max="15620" width="7.44140625" style="109" customWidth="1"/>
    <col min="15621" max="15621" width="8.5546875" style="109" customWidth="1"/>
    <col min="15622" max="15622" width="12.33203125" style="109" customWidth="1"/>
    <col min="15623" max="15623" width="11.77734375" style="109" customWidth="1"/>
    <col min="15624" max="15624" width="8.21875" style="109" customWidth="1"/>
    <col min="15625" max="15625" width="12" style="109" customWidth="1"/>
    <col min="15626" max="15626" width="8.77734375" style="109" customWidth="1"/>
    <col min="15627" max="15627" width="11.109375" style="109" customWidth="1"/>
    <col min="15628" max="15628" width="12.88671875" style="109" customWidth="1"/>
    <col min="15629" max="15629" width="12.5546875" style="109" customWidth="1"/>
    <col min="15630" max="15630" width="9.6640625" style="109" customWidth="1"/>
    <col min="15631" max="15631" width="9.88671875" style="109" customWidth="1"/>
    <col min="15632" max="15632" width="11.33203125" style="109" customWidth="1"/>
    <col min="15633" max="15633" width="11.5546875" style="109" customWidth="1"/>
    <col min="15634" max="15634" width="11.6640625" style="109" customWidth="1"/>
    <col min="15635" max="15635" width="10.33203125" style="109" customWidth="1"/>
    <col min="15636" max="15636" width="11.77734375" style="109" customWidth="1"/>
    <col min="15637" max="15637" width="12.109375" style="109" customWidth="1"/>
    <col min="15638" max="15638" width="11" style="109" customWidth="1"/>
    <col min="15639" max="15639" width="12.109375" style="109" customWidth="1"/>
    <col min="15640" max="15640" width="10.5546875" style="109" customWidth="1"/>
    <col min="15641" max="15641" width="9.88671875" style="109" customWidth="1"/>
    <col min="15642" max="15642" width="10.77734375" style="109" customWidth="1"/>
    <col min="15643" max="15643" width="9.77734375" style="109" customWidth="1"/>
    <col min="15644" max="15644" width="11.21875" style="109" customWidth="1"/>
    <col min="15645" max="15645" width="10.33203125" style="109" customWidth="1"/>
    <col min="15646" max="15646" width="11.88671875" style="109" customWidth="1"/>
    <col min="15647" max="15647" width="8.77734375" style="109"/>
    <col min="15648" max="15648" width="13.88671875" style="109" customWidth="1"/>
    <col min="15649" max="15649" width="10.88671875" style="109" customWidth="1"/>
    <col min="15650" max="15650" width="11.44140625" style="109" customWidth="1"/>
    <col min="15651" max="15651" width="11.77734375" style="109" customWidth="1"/>
    <col min="15652" max="15652" width="11.109375" style="109" customWidth="1"/>
    <col min="15653" max="15653" width="10.88671875" style="109" customWidth="1"/>
    <col min="15654" max="15657" width="8.77734375" style="109"/>
    <col min="15658" max="15658" width="11.44140625" style="109" bestFit="1" customWidth="1"/>
    <col min="15659" max="15659" width="10.21875" style="109" customWidth="1"/>
    <col min="15660" max="15660" width="11.5546875" style="109" customWidth="1"/>
    <col min="15661" max="15661" width="12.109375" style="109" customWidth="1"/>
    <col min="15662" max="15662" width="13.21875" style="109" customWidth="1"/>
    <col min="15663" max="15663" width="14.109375" style="109" customWidth="1"/>
    <col min="15664" max="15664" width="11.77734375" style="109" customWidth="1"/>
    <col min="15665" max="15665" width="9.6640625" style="109" customWidth="1"/>
    <col min="15666" max="15669" width="8.77734375" style="109"/>
    <col min="15670" max="15670" width="28.77734375" style="109" customWidth="1"/>
    <col min="15671" max="15671" width="11.77734375" style="109" customWidth="1"/>
    <col min="15672" max="15672" width="10" style="109" customWidth="1"/>
    <col min="15673" max="15673" width="10.44140625" style="109" customWidth="1"/>
    <col min="15674" max="15675" width="8.77734375" style="109"/>
    <col min="15676" max="15676" width="9.33203125" style="109" customWidth="1"/>
    <col min="15677" max="15677" width="18.44140625" style="109" customWidth="1"/>
    <col min="15678" max="15678" width="11" style="109" customWidth="1"/>
    <col min="15679" max="15679" width="9.5546875" style="109" customWidth="1"/>
    <col min="15680" max="15680" width="10.6640625" style="109" customWidth="1"/>
    <col min="15681" max="15681" width="9.88671875" style="109" customWidth="1"/>
    <col min="15682" max="15682" width="11.44140625" style="109" customWidth="1"/>
    <col min="15683" max="15683" width="9.88671875" style="109" customWidth="1"/>
    <col min="15684" max="15684" width="10" style="109" customWidth="1"/>
    <col min="15685" max="15685" width="6.77734375" style="109" customWidth="1"/>
    <col min="15686" max="15686" width="12.5546875" style="109" customWidth="1"/>
    <col min="15687" max="15687" width="9.5546875" style="109" customWidth="1"/>
    <col min="15688" max="15688" width="10.33203125" style="109" customWidth="1"/>
    <col min="15689" max="15689" width="7.77734375" style="109" customWidth="1"/>
    <col min="15690" max="15690" width="7.21875" style="109" customWidth="1"/>
    <col min="15691" max="15691" width="17.6640625" style="109" customWidth="1"/>
    <col min="15692" max="15692" width="8.77734375" style="109" customWidth="1"/>
    <col min="15693" max="15693" width="13.109375" style="109" bestFit="1" customWidth="1"/>
    <col min="15694" max="15694" width="13.77734375" style="109" customWidth="1"/>
    <col min="15695" max="15696" width="8.77734375" style="109"/>
    <col min="15697" max="15697" width="9" style="109" bestFit="1" customWidth="1"/>
    <col min="15698" max="15706" width="8.77734375" style="109"/>
    <col min="15707" max="15707" width="13.109375" style="109" customWidth="1"/>
    <col min="15708" max="15708" width="8.77734375" style="109"/>
    <col min="15709" max="15709" width="9.88671875" style="109" customWidth="1"/>
    <col min="15710" max="15713" width="8.77734375" style="109"/>
    <col min="15714" max="15714" width="8.5546875" style="109" customWidth="1"/>
    <col min="15715" max="15715" width="30.33203125" style="109" customWidth="1"/>
    <col min="15716" max="15716" width="9" style="109" bestFit="1" customWidth="1"/>
    <col min="15717" max="15717" width="8.77734375" style="109"/>
    <col min="15718" max="15718" width="5.88671875" style="109" customWidth="1"/>
    <col min="15719" max="15719" width="6.88671875" style="109" customWidth="1"/>
    <col min="15720" max="15720" width="23.88671875" style="109" customWidth="1"/>
    <col min="15721" max="15727" width="8.77734375" style="109"/>
    <col min="15728" max="15728" width="9" style="109" bestFit="1" customWidth="1"/>
    <col min="15729" max="15730" width="8.77734375" style="109"/>
    <col min="15731" max="15731" width="32.88671875" style="109" customWidth="1"/>
    <col min="15732" max="15732" width="16.6640625" style="109" customWidth="1"/>
    <col min="15733" max="15733" width="10.21875" style="109" customWidth="1"/>
    <col min="15734" max="15734" width="12.44140625" style="109" customWidth="1"/>
    <col min="15735" max="15735" width="10" style="109" bestFit="1" customWidth="1"/>
    <col min="15736" max="15736" width="8.77734375" style="109"/>
    <col min="15737" max="15737" width="9" style="109" bestFit="1" customWidth="1"/>
    <col min="15738" max="15739" width="8.77734375" style="109"/>
    <col min="15740" max="15740" width="11.6640625" style="109" customWidth="1"/>
    <col min="15741" max="15741" width="8.77734375" style="109"/>
    <col min="15742" max="15742" width="28.77734375" style="109" customWidth="1"/>
    <col min="15743" max="15743" width="12.33203125" style="109" customWidth="1"/>
    <col min="15744" max="15744" width="11.21875" style="109" customWidth="1"/>
    <col min="15745" max="15872" width="8.77734375" style="109"/>
    <col min="15873" max="15873" width="5.6640625" style="109" customWidth="1"/>
    <col min="15874" max="15874" width="26.5546875" style="109" customWidth="1"/>
    <col min="15875" max="15875" width="11.44140625" style="109" customWidth="1"/>
    <col min="15876" max="15876" width="7.44140625" style="109" customWidth="1"/>
    <col min="15877" max="15877" width="8.5546875" style="109" customWidth="1"/>
    <col min="15878" max="15878" width="12.33203125" style="109" customWidth="1"/>
    <col min="15879" max="15879" width="11.77734375" style="109" customWidth="1"/>
    <col min="15880" max="15880" width="8.21875" style="109" customWidth="1"/>
    <col min="15881" max="15881" width="12" style="109" customWidth="1"/>
    <col min="15882" max="15882" width="8.77734375" style="109" customWidth="1"/>
    <col min="15883" max="15883" width="11.109375" style="109" customWidth="1"/>
    <col min="15884" max="15884" width="12.88671875" style="109" customWidth="1"/>
    <col min="15885" max="15885" width="12.5546875" style="109" customWidth="1"/>
    <col min="15886" max="15886" width="9.6640625" style="109" customWidth="1"/>
    <col min="15887" max="15887" width="9.88671875" style="109" customWidth="1"/>
    <col min="15888" max="15888" width="11.33203125" style="109" customWidth="1"/>
    <col min="15889" max="15889" width="11.5546875" style="109" customWidth="1"/>
    <col min="15890" max="15890" width="11.6640625" style="109" customWidth="1"/>
    <col min="15891" max="15891" width="10.33203125" style="109" customWidth="1"/>
    <col min="15892" max="15892" width="11.77734375" style="109" customWidth="1"/>
    <col min="15893" max="15893" width="12.109375" style="109" customWidth="1"/>
    <col min="15894" max="15894" width="11" style="109" customWidth="1"/>
    <col min="15895" max="15895" width="12.109375" style="109" customWidth="1"/>
    <col min="15896" max="15896" width="10.5546875" style="109" customWidth="1"/>
    <col min="15897" max="15897" width="9.88671875" style="109" customWidth="1"/>
    <col min="15898" max="15898" width="10.77734375" style="109" customWidth="1"/>
    <col min="15899" max="15899" width="9.77734375" style="109" customWidth="1"/>
    <col min="15900" max="15900" width="11.21875" style="109" customWidth="1"/>
    <col min="15901" max="15901" width="10.33203125" style="109" customWidth="1"/>
    <col min="15902" max="15902" width="11.88671875" style="109" customWidth="1"/>
    <col min="15903" max="15903" width="8.77734375" style="109"/>
    <col min="15904" max="15904" width="13.88671875" style="109" customWidth="1"/>
    <col min="15905" max="15905" width="10.88671875" style="109" customWidth="1"/>
    <col min="15906" max="15906" width="11.44140625" style="109" customWidth="1"/>
    <col min="15907" max="15907" width="11.77734375" style="109" customWidth="1"/>
    <col min="15908" max="15908" width="11.109375" style="109" customWidth="1"/>
    <col min="15909" max="15909" width="10.88671875" style="109" customWidth="1"/>
    <col min="15910" max="15913" width="8.77734375" style="109"/>
    <col min="15914" max="15914" width="11.44140625" style="109" bestFit="1" customWidth="1"/>
    <col min="15915" max="15915" width="10.21875" style="109" customWidth="1"/>
    <col min="15916" max="15916" width="11.5546875" style="109" customWidth="1"/>
    <col min="15917" max="15917" width="12.109375" style="109" customWidth="1"/>
    <col min="15918" max="15918" width="13.21875" style="109" customWidth="1"/>
    <col min="15919" max="15919" width="14.109375" style="109" customWidth="1"/>
    <col min="15920" max="15920" width="11.77734375" style="109" customWidth="1"/>
    <col min="15921" max="15921" width="9.6640625" style="109" customWidth="1"/>
    <col min="15922" max="15925" width="8.77734375" style="109"/>
    <col min="15926" max="15926" width="28.77734375" style="109" customWidth="1"/>
    <col min="15927" max="15927" width="11.77734375" style="109" customWidth="1"/>
    <col min="15928" max="15928" width="10" style="109" customWidth="1"/>
    <col min="15929" max="15929" width="10.44140625" style="109" customWidth="1"/>
    <col min="15930" max="15931" width="8.77734375" style="109"/>
    <col min="15932" max="15932" width="9.33203125" style="109" customWidth="1"/>
    <col min="15933" max="15933" width="18.44140625" style="109" customWidth="1"/>
    <col min="15934" max="15934" width="11" style="109" customWidth="1"/>
    <col min="15935" max="15935" width="9.5546875" style="109" customWidth="1"/>
    <col min="15936" max="15936" width="10.6640625" style="109" customWidth="1"/>
    <col min="15937" max="15937" width="9.88671875" style="109" customWidth="1"/>
    <col min="15938" max="15938" width="11.44140625" style="109" customWidth="1"/>
    <col min="15939" max="15939" width="9.88671875" style="109" customWidth="1"/>
    <col min="15940" max="15940" width="10" style="109" customWidth="1"/>
    <col min="15941" max="15941" width="6.77734375" style="109" customWidth="1"/>
    <col min="15942" max="15942" width="12.5546875" style="109" customWidth="1"/>
    <col min="15943" max="15943" width="9.5546875" style="109" customWidth="1"/>
    <col min="15944" max="15944" width="10.33203125" style="109" customWidth="1"/>
    <col min="15945" max="15945" width="7.77734375" style="109" customWidth="1"/>
    <col min="15946" max="15946" width="7.21875" style="109" customWidth="1"/>
    <col min="15947" max="15947" width="17.6640625" style="109" customWidth="1"/>
    <col min="15948" max="15948" width="8.77734375" style="109" customWidth="1"/>
    <col min="15949" max="15949" width="13.109375" style="109" bestFit="1" customWidth="1"/>
    <col min="15950" max="15950" width="13.77734375" style="109" customWidth="1"/>
    <col min="15951" max="15952" width="8.77734375" style="109"/>
    <col min="15953" max="15953" width="9" style="109" bestFit="1" customWidth="1"/>
    <col min="15954" max="15962" width="8.77734375" style="109"/>
    <col min="15963" max="15963" width="13.109375" style="109" customWidth="1"/>
    <col min="15964" max="15964" width="8.77734375" style="109"/>
    <col min="15965" max="15965" width="9.88671875" style="109" customWidth="1"/>
    <col min="15966" max="15969" width="8.77734375" style="109"/>
    <col min="15970" max="15970" width="8.5546875" style="109" customWidth="1"/>
    <col min="15971" max="15971" width="30.33203125" style="109" customWidth="1"/>
    <col min="15972" max="15972" width="9" style="109" bestFit="1" customWidth="1"/>
    <col min="15973" max="15973" width="8.77734375" style="109"/>
    <col min="15974" max="15974" width="5.88671875" style="109" customWidth="1"/>
    <col min="15975" max="15975" width="6.88671875" style="109" customWidth="1"/>
    <col min="15976" max="15976" width="23.88671875" style="109" customWidth="1"/>
    <col min="15977" max="15983" width="8.77734375" style="109"/>
    <col min="15984" max="15984" width="9" style="109" bestFit="1" customWidth="1"/>
    <col min="15985" max="15986" width="8.77734375" style="109"/>
    <col min="15987" max="15987" width="32.88671875" style="109" customWidth="1"/>
    <col min="15988" max="15988" width="16.6640625" style="109" customWidth="1"/>
    <col min="15989" max="15989" width="10.21875" style="109" customWidth="1"/>
    <col min="15990" max="15990" width="12.44140625" style="109" customWidth="1"/>
    <col min="15991" max="15991" width="10" style="109" bestFit="1" customWidth="1"/>
    <col min="15992" max="15992" width="8.77734375" style="109"/>
    <col min="15993" max="15993" width="9" style="109" bestFit="1" customWidth="1"/>
    <col min="15994" max="15995" width="8.77734375" style="109"/>
    <col min="15996" max="15996" width="11.6640625" style="109" customWidth="1"/>
    <col min="15997" max="15997" width="8.77734375" style="109"/>
    <col min="15998" max="15998" width="28.77734375" style="109" customWidth="1"/>
    <col min="15999" max="15999" width="12.33203125" style="109" customWidth="1"/>
    <col min="16000" max="16000" width="11.21875" style="109" customWidth="1"/>
    <col min="16001" max="16128" width="8.77734375" style="109"/>
    <col min="16129" max="16129" width="5.6640625" style="109" customWidth="1"/>
    <col min="16130" max="16130" width="26.5546875" style="109" customWidth="1"/>
    <col min="16131" max="16131" width="11.44140625" style="109" customWidth="1"/>
    <col min="16132" max="16132" width="7.44140625" style="109" customWidth="1"/>
    <col min="16133" max="16133" width="8.5546875" style="109" customWidth="1"/>
    <col min="16134" max="16134" width="12.33203125" style="109" customWidth="1"/>
    <col min="16135" max="16135" width="11.77734375" style="109" customWidth="1"/>
    <col min="16136" max="16136" width="8.21875" style="109" customWidth="1"/>
    <col min="16137" max="16137" width="12" style="109" customWidth="1"/>
    <col min="16138" max="16138" width="8.77734375" style="109" customWidth="1"/>
    <col min="16139" max="16139" width="11.109375" style="109" customWidth="1"/>
    <col min="16140" max="16140" width="12.88671875" style="109" customWidth="1"/>
    <col min="16141" max="16141" width="12.5546875" style="109" customWidth="1"/>
    <col min="16142" max="16142" width="9.6640625" style="109" customWidth="1"/>
    <col min="16143" max="16143" width="9.88671875" style="109" customWidth="1"/>
    <col min="16144" max="16144" width="11.33203125" style="109" customWidth="1"/>
    <col min="16145" max="16145" width="11.5546875" style="109" customWidth="1"/>
    <col min="16146" max="16146" width="11.6640625" style="109" customWidth="1"/>
    <col min="16147" max="16147" width="10.33203125" style="109" customWidth="1"/>
    <col min="16148" max="16148" width="11.77734375" style="109" customWidth="1"/>
    <col min="16149" max="16149" width="12.109375" style="109" customWidth="1"/>
    <col min="16150" max="16150" width="11" style="109" customWidth="1"/>
    <col min="16151" max="16151" width="12.109375" style="109" customWidth="1"/>
    <col min="16152" max="16152" width="10.5546875" style="109" customWidth="1"/>
    <col min="16153" max="16153" width="9.88671875" style="109" customWidth="1"/>
    <col min="16154" max="16154" width="10.77734375" style="109" customWidth="1"/>
    <col min="16155" max="16155" width="9.77734375" style="109" customWidth="1"/>
    <col min="16156" max="16156" width="11.21875" style="109" customWidth="1"/>
    <col min="16157" max="16157" width="10.33203125" style="109" customWidth="1"/>
    <col min="16158" max="16158" width="11.88671875" style="109" customWidth="1"/>
    <col min="16159" max="16159" width="8.77734375" style="109"/>
    <col min="16160" max="16160" width="13.88671875" style="109" customWidth="1"/>
    <col min="16161" max="16161" width="10.88671875" style="109" customWidth="1"/>
    <col min="16162" max="16162" width="11.44140625" style="109" customWidth="1"/>
    <col min="16163" max="16163" width="11.77734375" style="109" customWidth="1"/>
    <col min="16164" max="16164" width="11.109375" style="109" customWidth="1"/>
    <col min="16165" max="16165" width="10.88671875" style="109" customWidth="1"/>
    <col min="16166" max="16169" width="8.77734375" style="109"/>
    <col min="16170" max="16170" width="11.44140625" style="109" bestFit="1" customWidth="1"/>
    <col min="16171" max="16171" width="10.21875" style="109" customWidth="1"/>
    <col min="16172" max="16172" width="11.5546875" style="109" customWidth="1"/>
    <col min="16173" max="16173" width="12.109375" style="109" customWidth="1"/>
    <col min="16174" max="16174" width="13.21875" style="109" customWidth="1"/>
    <col min="16175" max="16175" width="14.109375" style="109" customWidth="1"/>
    <col min="16176" max="16176" width="11.77734375" style="109" customWidth="1"/>
    <col min="16177" max="16177" width="9.6640625" style="109" customWidth="1"/>
    <col min="16178" max="16181" width="8.77734375" style="109"/>
    <col min="16182" max="16182" width="28.77734375" style="109" customWidth="1"/>
    <col min="16183" max="16183" width="11.77734375" style="109" customWidth="1"/>
    <col min="16184" max="16184" width="10" style="109" customWidth="1"/>
    <col min="16185" max="16185" width="10.44140625" style="109" customWidth="1"/>
    <col min="16186" max="16187" width="8.77734375" style="109"/>
    <col min="16188" max="16188" width="9.33203125" style="109" customWidth="1"/>
    <col min="16189" max="16189" width="18.44140625" style="109" customWidth="1"/>
    <col min="16190" max="16190" width="11" style="109" customWidth="1"/>
    <col min="16191" max="16191" width="9.5546875" style="109" customWidth="1"/>
    <col min="16192" max="16192" width="10.6640625" style="109" customWidth="1"/>
    <col min="16193" max="16193" width="9.88671875" style="109" customWidth="1"/>
    <col min="16194" max="16194" width="11.44140625" style="109" customWidth="1"/>
    <col min="16195" max="16195" width="9.88671875" style="109" customWidth="1"/>
    <col min="16196" max="16196" width="10" style="109" customWidth="1"/>
    <col min="16197" max="16197" width="6.77734375" style="109" customWidth="1"/>
    <col min="16198" max="16198" width="12.5546875" style="109" customWidth="1"/>
    <col min="16199" max="16199" width="9.5546875" style="109" customWidth="1"/>
    <col min="16200" max="16200" width="10.33203125" style="109" customWidth="1"/>
    <col min="16201" max="16201" width="7.77734375" style="109" customWidth="1"/>
    <col min="16202" max="16202" width="7.21875" style="109" customWidth="1"/>
    <col min="16203" max="16203" width="17.6640625" style="109" customWidth="1"/>
    <col min="16204" max="16204" width="8.77734375" style="109" customWidth="1"/>
    <col min="16205" max="16205" width="13.109375" style="109" bestFit="1" customWidth="1"/>
    <col min="16206" max="16206" width="13.77734375" style="109" customWidth="1"/>
    <col min="16207" max="16208" width="8.77734375" style="109"/>
    <col min="16209" max="16209" width="9" style="109" bestFit="1" customWidth="1"/>
    <col min="16210" max="16218" width="8.77734375" style="109"/>
    <col min="16219" max="16219" width="13.109375" style="109" customWidth="1"/>
    <col min="16220" max="16220" width="8.77734375" style="109"/>
    <col min="16221" max="16221" width="9.88671875" style="109" customWidth="1"/>
    <col min="16222" max="16225" width="8.77734375" style="109"/>
    <col min="16226" max="16226" width="8.5546875" style="109" customWidth="1"/>
    <col min="16227" max="16227" width="30.33203125" style="109" customWidth="1"/>
    <col min="16228" max="16228" width="9" style="109" bestFit="1" customWidth="1"/>
    <col min="16229" max="16229" width="8.77734375" style="109"/>
    <col min="16230" max="16230" width="5.88671875" style="109" customWidth="1"/>
    <col min="16231" max="16231" width="6.88671875" style="109" customWidth="1"/>
    <col min="16232" max="16232" width="23.88671875" style="109" customWidth="1"/>
    <col min="16233" max="16239" width="8.77734375" style="109"/>
    <col min="16240" max="16240" width="9" style="109" bestFit="1" customWidth="1"/>
    <col min="16241" max="16242" width="8.77734375" style="109"/>
    <col min="16243" max="16243" width="32.88671875" style="109" customWidth="1"/>
    <col min="16244" max="16244" width="16.6640625" style="109" customWidth="1"/>
    <col min="16245" max="16245" width="10.21875" style="109" customWidth="1"/>
    <col min="16246" max="16246" width="12.44140625" style="109" customWidth="1"/>
    <col min="16247" max="16247" width="10" style="109" bestFit="1" customWidth="1"/>
    <col min="16248" max="16248" width="8.77734375" style="109"/>
    <col min="16249" max="16249" width="9" style="109" bestFit="1" customWidth="1"/>
    <col min="16250" max="16251" width="8.77734375" style="109"/>
    <col min="16252" max="16252" width="11.6640625" style="109" customWidth="1"/>
    <col min="16253" max="16253" width="8.77734375" style="109"/>
    <col min="16254" max="16254" width="28.77734375" style="109" customWidth="1"/>
    <col min="16255" max="16255" width="12.33203125" style="109" customWidth="1"/>
    <col min="16256" max="16256" width="11.21875" style="109" customWidth="1"/>
    <col min="16257" max="16384" width="8.77734375" style="109"/>
  </cols>
  <sheetData>
    <row r="1" spans="2:3" s="110" customFormat="1" x14ac:dyDescent="0.2"/>
    <row r="2" spans="2:3" s="110" customFormat="1" x14ac:dyDescent="0.2">
      <c r="B2" s="642"/>
      <c r="C2" s="639" t="s">
        <v>153</v>
      </c>
    </row>
    <row r="3" spans="2:3" s="110" customFormat="1" ht="17.25" x14ac:dyDescent="0.2">
      <c r="B3" s="643" t="s">
        <v>742</v>
      </c>
      <c r="C3" s="110" t="e">
        <f>C19</f>
        <v>#REF!</v>
      </c>
    </row>
    <row r="4" spans="2:3" s="110" customFormat="1" ht="17.25" x14ac:dyDescent="0.2">
      <c r="B4" s="643" t="s">
        <v>508</v>
      </c>
      <c r="C4" s="110" t="e">
        <f>C20</f>
        <v>#REF!</v>
      </c>
    </row>
    <row r="5" spans="2:3" s="110" customFormat="1" ht="17.25" x14ac:dyDescent="0.2">
      <c r="B5" s="643" t="s">
        <v>509</v>
      </c>
      <c r="C5" s="110" t="e">
        <f>C21</f>
        <v>#REF!</v>
      </c>
    </row>
    <row r="6" spans="2:3" s="110" customFormat="1" ht="17.25" x14ac:dyDescent="0.2">
      <c r="B6" s="643" t="s">
        <v>513</v>
      </c>
      <c r="C6" s="110" t="e">
        <f>C25</f>
        <v>#REF!</v>
      </c>
    </row>
    <row r="7" spans="2:3" s="110" customFormat="1" ht="17.25" x14ac:dyDescent="0.2">
      <c r="B7" s="643" t="s">
        <v>192</v>
      </c>
      <c r="C7" s="110" t="e">
        <f>C27+C28</f>
        <v>#REF!</v>
      </c>
    </row>
    <row r="8" spans="2:3" s="110" customFormat="1" x14ac:dyDescent="0.2"/>
    <row r="9" spans="2:3" s="110" customFormat="1" x14ac:dyDescent="0.2"/>
    <row r="10" spans="2:3" s="110" customFormat="1" x14ac:dyDescent="0.2"/>
    <row r="11" spans="2:3" s="110" customFormat="1" x14ac:dyDescent="0.2"/>
    <row r="12" spans="2:3" s="110" customFormat="1" x14ac:dyDescent="0.2"/>
    <row r="13" spans="2:3" s="110" customFormat="1" x14ac:dyDescent="0.2"/>
    <row r="14" spans="2:3" s="110" customFormat="1" x14ac:dyDescent="0.2"/>
    <row r="15" spans="2:3" s="110" customFormat="1" x14ac:dyDescent="0.2"/>
    <row r="16" spans="2:3" s="110" customFormat="1" x14ac:dyDescent="0.2"/>
    <row r="17" spans="2:3" s="110" customFormat="1" x14ac:dyDescent="0.2">
      <c r="B17" s="109"/>
      <c r="C17" s="641" t="s">
        <v>153</v>
      </c>
    </row>
    <row r="18" spans="2:3" s="110" customFormat="1" ht="17.25" x14ac:dyDescent="0.2">
      <c r="B18" s="640" t="s">
        <v>506</v>
      </c>
      <c r="C18" s="109" t="e">
        <f>#REF!/100+#REF!/100</f>
        <v>#REF!</v>
      </c>
    </row>
    <row r="19" spans="2:3" s="110" customFormat="1" ht="17.25" x14ac:dyDescent="0.2">
      <c r="B19" s="640" t="s">
        <v>507</v>
      </c>
      <c r="C19" s="109" t="e">
        <f>#REF!</f>
        <v>#REF!</v>
      </c>
    </row>
    <row r="20" spans="2:3" s="110" customFormat="1" ht="17.25" x14ac:dyDescent="0.2">
      <c r="B20" s="640" t="s">
        <v>508</v>
      </c>
      <c r="C20" s="823" t="e">
        <f>#REF!/100</f>
        <v>#REF!</v>
      </c>
    </row>
    <row r="21" spans="2:3" s="110" customFormat="1" ht="17.25" x14ac:dyDescent="0.2">
      <c r="B21" s="640" t="s">
        <v>509</v>
      </c>
      <c r="C21" s="109" t="e">
        <f>#REF!</f>
        <v>#REF!</v>
      </c>
    </row>
    <row r="22" spans="2:3" s="110" customFormat="1" ht="17.25" x14ac:dyDescent="0.2">
      <c r="B22" s="640" t="s">
        <v>510</v>
      </c>
      <c r="C22" s="109" t="e">
        <f>#REF!/100</f>
        <v>#REF!</v>
      </c>
    </row>
    <row r="23" spans="2:3" s="110" customFormat="1" ht="17.25" x14ac:dyDescent="0.2">
      <c r="B23" s="640" t="s">
        <v>511</v>
      </c>
      <c r="C23" s="109"/>
    </row>
    <row r="24" spans="2:3" s="110" customFormat="1" ht="17.25" x14ac:dyDescent="0.2">
      <c r="B24" s="640" t="s">
        <v>512</v>
      </c>
      <c r="C24" s="109" t="e">
        <f>#REF!/100</f>
        <v>#REF!</v>
      </c>
    </row>
    <row r="25" spans="2:3" s="110" customFormat="1" ht="17.25" x14ac:dyDescent="0.2">
      <c r="B25" s="640" t="s">
        <v>513</v>
      </c>
      <c r="C25" s="109" t="e">
        <f>#REF!/100</f>
        <v>#REF!</v>
      </c>
    </row>
    <row r="26" spans="2:3" s="110" customFormat="1" ht="17.25" x14ac:dyDescent="0.2">
      <c r="B26" s="640" t="s">
        <v>24</v>
      </c>
      <c r="C26" s="109" t="e">
        <f>#REF!/100</f>
        <v>#REF!</v>
      </c>
    </row>
    <row r="27" spans="2:3" s="110" customFormat="1" ht="17.25" x14ac:dyDescent="0.2">
      <c r="B27" s="640" t="s">
        <v>514</v>
      </c>
      <c r="C27" s="109" t="e">
        <f>#REF!/100</f>
        <v>#REF!</v>
      </c>
    </row>
    <row r="28" spans="2:3" s="110" customFormat="1" ht="17.25" x14ac:dyDescent="0.2">
      <c r="B28" s="640" t="s">
        <v>515</v>
      </c>
      <c r="C28" s="109" t="e">
        <f>#REF!/100</f>
        <v>#REF!</v>
      </c>
    </row>
    <row r="29" spans="2:3" s="110" customFormat="1" x14ac:dyDescent="0.2"/>
    <row r="30" spans="2:3" s="110" customFormat="1" x14ac:dyDescent="0.2"/>
    <row r="31" spans="2:3" s="110" customFormat="1" x14ac:dyDescent="0.2"/>
    <row r="32" spans="2:3" s="110" customFormat="1" x14ac:dyDescent="0.2"/>
    <row r="33" s="110" customFormat="1" x14ac:dyDescent="0.2"/>
    <row r="34" s="110" customFormat="1" x14ac:dyDescent="0.2"/>
    <row r="35" s="110" customFormat="1" x14ac:dyDescent="0.2"/>
    <row r="36" s="110" customFormat="1" x14ac:dyDescent="0.2"/>
    <row r="37" s="110" customFormat="1" x14ac:dyDescent="0.2"/>
    <row r="38" s="110" customFormat="1" x14ac:dyDescent="0.2"/>
    <row r="39" s="110" customFormat="1" x14ac:dyDescent="0.2"/>
    <row r="40" s="110" customFormat="1" x14ac:dyDescent="0.2"/>
    <row r="41" s="110" customFormat="1" x14ac:dyDescent="0.2"/>
    <row r="42" s="110" customFormat="1" x14ac:dyDescent="0.2"/>
    <row r="43" s="110" customFormat="1" x14ac:dyDescent="0.2"/>
    <row r="44" s="110" customFormat="1" x14ac:dyDescent="0.2"/>
    <row r="45" s="110" customFormat="1" x14ac:dyDescent="0.2"/>
    <row r="46" s="110" customFormat="1" x14ac:dyDescent="0.2"/>
    <row r="47" s="110" customFormat="1" x14ac:dyDescent="0.2"/>
    <row r="48" s="110" customFormat="1" x14ac:dyDescent="0.2"/>
    <row r="49" s="110" customFormat="1" x14ac:dyDescent="0.2"/>
    <row r="50" s="110" customFormat="1" x14ac:dyDescent="0.2"/>
    <row r="51" s="110" customFormat="1" x14ac:dyDescent="0.2"/>
    <row r="52" s="110" customFormat="1" x14ac:dyDescent="0.2"/>
    <row r="53" s="110" customFormat="1" x14ac:dyDescent="0.2"/>
    <row r="54" s="110" customFormat="1" x14ac:dyDescent="0.2"/>
    <row r="55" s="110" customFormat="1" x14ac:dyDescent="0.2"/>
    <row r="56" s="110" customFormat="1" x14ac:dyDescent="0.2"/>
    <row r="57" s="110" customFormat="1" x14ac:dyDescent="0.2"/>
    <row r="58" s="110" customFormat="1" x14ac:dyDescent="0.2"/>
    <row r="59" s="110" customFormat="1" x14ac:dyDescent="0.2"/>
    <row r="60" s="110" customFormat="1" x14ac:dyDescent="0.2"/>
    <row r="61" s="110" customFormat="1" x14ac:dyDescent="0.2"/>
    <row r="62" s="110" customFormat="1" x14ac:dyDescent="0.2"/>
    <row r="63" s="110" customFormat="1" x14ac:dyDescent="0.2"/>
    <row r="64" s="110" customFormat="1" x14ac:dyDescent="0.2"/>
    <row r="65" s="110" customFormat="1" x14ac:dyDescent="0.2"/>
    <row r="66" s="110" customFormat="1" x14ac:dyDescent="0.2"/>
    <row r="67" s="110" customFormat="1" x14ac:dyDescent="0.2"/>
    <row r="68" s="110" customFormat="1" x14ac:dyDescent="0.2"/>
    <row r="69" s="110" customFormat="1" x14ac:dyDescent="0.2"/>
    <row r="70" s="110" customFormat="1" x14ac:dyDescent="0.2"/>
    <row r="71" s="110" customFormat="1" x14ac:dyDescent="0.2"/>
    <row r="72" s="110" customFormat="1" x14ac:dyDescent="0.2"/>
    <row r="73" s="110" customFormat="1" x14ac:dyDescent="0.2"/>
    <row r="74" s="110" customFormat="1" x14ac:dyDescent="0.2"/>
    <row r="75" s="110" customFormat="1" x14ac:dyDescent="0.2"/>
    <row r="76" s="110" customFormat="1" x14ac:dyDescent="0.2"/>
    <row r="77" s="110" customFormat="1" x14ac:dyDescent="0.2"/>
    <row r="78" s="110" customFormat="1" x14ac:dyDescent="0.2"/>
    <row r="79" s="110" customFormat="1" x14ac:dyDescent="0.2"/>
    <row r="80" s="110" customFormat="1" x14ac:dyDescent="0.2"/>
    <row r="81" s="110" customFormat="1"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9</vt:i4>
      </vt:variant>
    </vt:vector>
  </HeadingPairs>
  <TitlesOfParts>
    <vt:vector size="22" baseType="lpstr">
      <vt:lpstr>GM</vt:lpstr>
      <vt:lpstr>cash flow</vt:lpstr>
      <vt:lpstr>FA</vt:lpstr>
      <vt:lpstr>Gross Margin</vt:lpstr>
      <vt:lpstr>CashFlow</vt:lpstr>
      <vt:lpstr>Fin. Summary</vt:lpstr>
      <vt:lpstr>MoM</vt:lpstr>
      <vt:lpstr>Pkg Cost</vt:lpstr>
      <vt:lpstr>Pie Chart</vt:lpstr>
      <vt:lpstr>CTE Rate</vt:lpstr>
      <vt:lpstr>Scope change from R1</vt:lpstr>
      <vt:lpstr>Civil scope change from R1</vt:lpstr>
      <vt:lpstr>PBER (R1)</vt:lpstr>
      <vt:lpstr>CashFlow!Print_Area</vt:lpstr>
      <vt:lpstr>'Civil scope change from R1'!Print_Area</vt:lpstr>
      <vt:lpstr>'CTE Rate'!Print_Area</vt:lpstr>
      <vt:lpstr>FA!Print_Area</vt:lpstr>
      <vt:lpstr>'Fin. Summary'!Print_Area</vt:lpstr>
      <vt:lpstr>'Gross Margin'!Print_Area</vt:lpstr>
      <vt:lpstr>MoM!Print_Area</vt:lpstr>
      <vt:lpstr>'PBER (R1)'!Print_Area</vt:lpstr>
      <vt:lpstr>'Scope change from R1'!Print_Area</vt:lpstr>
    </vt:vector>
  </TitlesOfParts>
  <Company>CET Sub Centre Bhilai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PC-3</dc:creator>
  <cp:lastModifiedBy>Manoj Mishra</cp:lastModifiedBy>
  <cp:lastPrinted>2024-10-15T07:06:30Z</cp:lastPrinted>
  <dcterms:created xsi:type="dcterms:W3CDTF">2001-02-20T07:04:51Z</dcterms:created>
  <dcterms:modified xsi:type="dcterms:W3CDTF">2026-02-09T06:41:36Z</dcterms:modified>
</cp:coreProperties>
</file>