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codeName="ThisWorkbook" defaultThemeVersion="124226"/>
  <mc:AlternateContent xmlns:mc="http://schemas.openxmlformats.org/markup-compatibility/2006">
    <mc:Choice Requires="x15">
      <x15ac:absPath xmlns:x15ac="http://schemas.microsoft.com/office/spreadsheetml/2010/11/ac" url="E:\D DRIVE\ASSIGNMENTS FILE\0 Major Projects\0 AI Data\Actual data for PBER AI\PBE for AI Work 09.02.26\"/>
    </mc:Choice>
  </mc:AlternateContent>
  <xr:revisionPtr revIDLastSave="0" documentId="13_ncr:1_{0D56E72A-F541-4007-B756-0C95F415C975}" xr6:coauthVersionLast="47" xr6:coauthVersionMax="47" xr10:uidLastSave="{00000000-0000-0000-0000-000000000000}"/>
  <bookViews>
    <workbookView xWindow="-120" yWindow="-120" windowWidth="29040" windowHeight="15720" tabRatio="775" firstSheet="11" activeTab="11" xr2:uid="{00000000-000D-0000-FFFF-FFFF00000000}"/>
  </bookViews>
  <sheets>
    <sheet name="Basic" sheetId="14" state="hidden" r:id="rId1"/>
    <sheet name="GM" sheetId="18" state="hidden" r:id="rId2"/>
    <sheet name="cash flow" sheetId="6" state="hidden" r:id="rId3"/>
    <sheet name="FA" sheetId="8" state="hidden" r:id="rId4"/>
    <sheet name="CTE Rate" sheetId="28" state="hidden" r:id="rId5"/>
    <sheet name="MoM" sheetId="12" state="hidden" r:id="rId6"/>
    <sheet name="Pkg Cost" sheetId="15" state="hidden" r:id="rId7"/>
    <sheet name="Pi Chart" sheetId="16" state="hidden" r:id="rId8"/>
    <sheet name="Pie Chart" sheetId="26" state="hidden" r:id="rId9"/>
    <sheet name="Scope change from R0" sheetId="32" state="hidden" r:id="rId10"/>
    <sheet name="Civil scope change from R0" sheetId="33" state="hidden" r:id="rId11"/>
    <sheet name="PBE_Pkg-1" sheetId="37" r:id="rId12"/>
  </sheets>
  <definedNames>
    <definedName name="_xlnm.Print_Area" localSheetId="10">'Civil scope change from R0'!$A$1:$G$34</definedName>
    <definedName name="_xlnm.Print_Area" localSheetId="4">'CTE Rate'!$A$2:$C$37</definedName>
    <definedName name="_xlnm.Print_Area" localSheetId="3">FA!$B$7:$E$22</definedName>
    <definedName name="_xlnm.Print_Area" localSheetId="5">MoM!$A$1:$Q$79</definedName>
    <definedName name="_xlnm.Print_Area" localSheetId="11">'PBE_Pkg-1'!$A$1:$S$43</definedName>
    <definedName name="_xlnm.Print_Area" localSheetId="9">'Scope change from R0'!$A$2:$F$33</definedName>
    <definedName name="_xlnm.Print_Titles" localSheetId="0">Basic!#REF!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5" i="12" l="1"/>
  <c r="B26" i="32" l="1"/>
  <c r="B25" i="32"/>
  <c r="B24" i="32"/>
  <c r="F23" i="32" l="1"/>
  <c r="F22" i="32"/>
  <c r="E19" i="32"/>
  <c r="F19" i="32" s="1"/>
  <c r="G32" i="33"/>
  <c r="G31" i="33"/>
  <c r="E10" i="32"/>
  <c r="E21" i="32"/>
  <c r="D21" i="32"/>
  <c r="B21" i="32"/>
  <c r="E20" i="32"/>
  <c r="F20" i="32" s="1"/>
  <c r="B20" i="32"/>
  <c r="F33" i="32"/>
  <c r="F21" i="32" l="1"/>
  <c r="E18" i="32" l="1"/>
  <c r="F18" i="32" s="1"/>
  <c r="G4" i="33" l="1"/>
  <c r="G6" i="33"/>
  <c r="G8" i="33"/>
  <c r="G10" i="33"/>
  <c r="G11" i="33"/>
  <c r="G12" i="33"/>
  <c r="G13" i="33"/>
  <c r="G14" i="33"/>
  <c r="G15" i="33"/>
  <c r="G16" i="33"/>
  <c r="G17" i="33"/>
  <c r="G18" i="33"/>
  <c r="G19" i="33"/>
  <c r="G20" i="33"/>
  <c r="G21" i="33"/>
  <c r="G22" i="33"/>
  <c r="G23" i="33"/>
  <c r="G24" i="33"/>
  <c r="G25" i="33"/>
  <c r="G26" i="33"/>
  <c r="G27" i="33"/>
  <c r="G28" i="33"/>
  <c r="G29" i="33"/>
  <c r="G30" i="33"/>
  <c r="G3" i="33"/>
  <c r="G9" i="33"/>
  <c r="G7" i="33"/>
  <c r="E5" i="33"/>
  <c r="G5" i="33" s="1"/>
  <c r="E16" i="32"/>
  <c r="F16" i="32" s="1"/>
  <c r="B16" i="32"/>
  <c r="F10" i="32"/>
  <c r="E11" i="32"/>
  <c r="D11" i="32"/>
  <c r="B11" i="32"/>
  <c r="E9" i="32"/>
  <c r="F9" i="32" s="1"/>
  <c r="G33" i="33" l="1"/>
  <c r="F28" i="32" s="1"/>
  <c r="F11" i="32"/>
  <c r="E25" i="32" l="1"/>
  <c r="F25" i="32" s="1"/>
  <c r="I15" i="12" l="1"/>
  <c r="I14" i="12"/>
  <c r="J14" i="12" s="1"/>
  <c r="I13" i="12" l="1"/>
  <c r="J15" i="12"/>
  <c r="C31" i="26"/>
  <c r="E17" i="32"/>
  <c r="F17" i="32" s="1"/>
  <c r="C25" i="26"/>
  <c r="C26" i="26"/>
  <c r="E15" i="32"/>
  <c r="F15" i="32" s="1"/>
  <c r="E8" i="32"/>
  <c r="F8" i="32" s="1"/>
  <c r="E26" i="32"/>
  <c r="F26" i="32" s="1"/>
  <c r="C29" i="26" l="1"/>
  <c r="J13" i="12"/>
  <c r="E24" i="32"/>
  <c r="F24" i="32" s="1"/>
  <c r="C28" i="26"/>
  <c r="E14" i="32"/>
  <c r="F14" i="32" s="1"/>
  <c r="E12" i="32"/>
  <c r="F12" i="32" s="1"/>
  <c r="E13" i="32"/>
  <c r="F13" i="32" s="1"/>
  <c r="C32" i="26"/>
  <c r="C24" i="26"/>
  <c r="F27" i="32" l="1"/>
  <c r="F30" i="32" s="1"/>
  <c r="C22" i="26"/>
  <c r="C30" i="26" l="1"/>
  <c r="C6" i="26" l="1"/>
  <c r="C10" i="26"/>
  <c r="O14" i="12" l="1"/>
  <c r="K14" i="12"/>
  <c r="K15" i="12"/>
  <c r="C9" i="26" l="1"/>
  <c r="G8" i="16" l="1"/>
  <c r="G10" i="16"/>
  <c r="G11" i="16"/>
  <c r="G13" i="16"/>
  <c r="G9" i="16"/>
  <c r="G12" i="16"/>
  <c r="C11" i="26" l="1"/>
  <c r="C8" i="26"/>
  <c r="C7" i="26"/>
  <c r="C5" i="26"/>
  <c r="C4" i="26"/>
  <c r="C2" i="12" l="1"/>
  <c r="C3" i="26" l="1"/>
  <c r="J9" i="14" l="1"/>
  <c r="J8" i="14"/>
  <c r="J48" i="14" s="1"/>
  <c r="I85" i="14"/>
  <c r="B1" i="14"/>
  <c r="E10" i="14"/>
  <c r="F10" i="14" s="1"/>
  <c r="T119" i="14"/>
  <c r="I119" i="14"/>
  <c r="T118" i="14"/>
  <c r="I118" i="14"/>
  <c r="T117" i="14"/>
  <c r="I117" i="14"/>
  <c r="T116" i="14"/>
  <c r="I116" i="14"/>
  <c r="T115" i="14"/>
  <c r="I115" i="14"/>
  <c r="T114" i="14"/>
  <c r="I114" i="14"/>
  <c r="T113" i="14"/>
  <c r="I113" i="14"/>
  <c r="T112" i="14"/>
  <c r="I112" i="14"/>
  <c r="T111" i="14"/>
  <c r="I111" i="14"/>
  <c r="T110" i="14"/>
  <c r="I110" i="14"/>
  <c r="T109" i="14"/>
  <c r="I109" i="14"/>
  <c r="T108" i="14"/>
  <c r="I108" i="14"/>
  <c r="T107" i="14"/>
  <c r="I107" i="14"/>
  <c r="T106" i="14"/>
  <c r="I106" i="14"/>
  <c r="T105" i="14"/>
  <c r="I105" i="14"/>
  <c r="T104" i="14"/>
  <c r="I104" i="14"/>
  <c r="T103" i="14"/>
  <c r="I103" i="14"/>
  <c r="P94" i="14"/>
  <c r="P66" i="14" s="1"/>
  <c r="Q66" i="14" s="1"/>
  <c r="Q73" i="14"/>
  <c r="F73" i="14"/>
  <c r="Q72" i="14"/>
  <c r="F72" i="14"/>
  <c r="Q71" i="14"/>
  <c r="Q74" i="14" s="1"/>
  <c r="F71" i="14"/>
  <c r="Q67" i="14"/>
  <c r="P65" i="14"/>
  <c r="Q65" i="14" s="1"/>
  <c r="E65" i="14"/>
  <c r="D65" i="14"/>
  <c r="P64" i="14"/>
  <c r="Q64" i="14" s="1"/>
  <c r="E64" i="14"/>
  <c r="D64" i="14"/>
  <c r="P63" i="14"/>
  <c r="Q63" i="14" s="1"/>
  <c r="E63" i="14"/>
  <c r="D63" i="14"/>
  <c r="P62" i="14"/>
  <c r="Q62" i="14" s="1"/>
  <c r="E62" i="14"/>
  <c r="D62" i="14"/>
  <c r="P61" i="14"/>
  <c r="Q61" i="14" s="1"/>
  <c r="E61" i="14"/>
  <c r="D61" i="14"/>
  <c r="P60" i="14"/>
  <c r="Q60" i="14" s="1"/>
  <c r="E60" i="14"/>
  <c r="D60" i="14"/>
  <c r="P59" i="14"/>
  <c r="Q59" i="14" s="1"/>
  <c r="E59" i="14"/>
  <c r="D59" i="14"/>
  <c r="P58" i="14"/>
  <c r="Q58" i="14" s="1"/>
  <c r="E58" i="14"/>
  <c r="D58" i="14"/>
  <c r="F58" i="14" s="1"/>
  <c r="P57" i="14"/>
  <c r="Q57" i="14" s="1"/>
  <c r="E57" i="14"/>
  <c r="D57" i="14"/>
  <c r="P56" i="14"/>
  <c r="Q56" i="14" s="1"/>
  <c r="E56" i="14"/>
  <c r="D56" i="14"/>
  <c r="P55" i="14"/>
  <c r="Q55" i="14" s="1"/>
  <c r="E55" i="14"/>
  <c r="D55" i="14"/>
  <c r="Q54" i="14"/>
  <c r="F54" i="14"/>
  <c r="P53" i="14"/>
  <c r="Q53" i="14" s="1"/>
  <c r="E53" i="14"/>
  <c r="D53" i="14"/>
  <c r="P52" i="14"/>
  <c r="Q52" i="14" s="1"/>
  <c r="E52" i="14"/>
  <c r="D52" i="14"/>
  <c r="P51" i="14"/>
  <c r="Q51" i="14" s="1"/>
  <c r="E51" i="14"/>
  <c r="D51" i="14"/>
  <c r="P50" i="14"/>
  <c r="Q50" i="14" s="1"/>
  <c r="E50" i="14"/>
  <c r="D50" i="14"/>
  <c r="U48" i="14"/>
  <c r="P48" i="14" s="1"/>
  <c r="O48" i="14"/>
  <c r="P45" i="14"/>
  <c r="Q45" i="14" s="1"/>
  <c r="E45" i="14"/>
  <c r="F45" i="14" s="1"/>
  <c r="P44" i="14"/>
  <c r="Q44" i="14" s="1"/>
  <c r="E44" i="14"/>
  <c r="F44" i="14" s="1"/>
  <c r="P43" i="14"/>
  <c r="Q43" i="14" s="1"/>
  <c r="E43" i="14"/>
  <c r="F43" i="14" s="1"/>
  <c r="P42" i="14"/>
  <c r="Q42" i="14" s="1"/>
  <c r="E42" i="14"/>
  <c r="F42" i="14" s="1"/>
  <c r="P41" i="14"/>
  <c r="Q41" i="14" s="1"/>
  <c r="E41" i="14"/>
  <c r="F41" i="14" s="1"/>
  <c r="P40" i="14"/>
  <c r="Q40" i="14" s="1"/>
  <c r="E40" i="14"/>
  <c r="F40" i="14" s="1"/>
  <c r="P39" i="14"/>
  <c r="Q39" i="14" s="1"/>
  <c r="E39" i="14"/>
  <c r="F39" i="14" s="1"/>
  <c r="P38" i="14"/>
  <c r="Q38" i="14" s="1"/>
  <c r="E38" i="14"/>
  <c r="F38" i="14" s="1"/>
  <c r="P37" i="14"/>
  <c r="Q37" i="14" s="1"/>
  <c r="E37" i="14"/>
  <c r="F37" i="14" s="1"/>
  <c r="P36" i="14"/>
  <c r="Q36" i="14" s="1"/>
  <c r="E36" i="14"/>
  <c r="F36" i="14" s="1"/>
  <c r="P35" i="14"/>
  <c r="Q35" i="14" s="1"/>
  <c r="E35" i="14"/>
  <c r="F35" i="14" s="1"/>
  <c r="Q34" i="14"/>
  <c r="D34" i="14"/>
  <c r="F34" i="14" s="1"/>
  <c r="P33" i="14"/>
  <c r="Q33" i="14" s="1"/>
  <c r="E33" i="14"/>
  <c r="D33" i="14"/>
  <c r="P32" i="14"/>
  <c r="Q32" i="14" s="1"/>
  <c r="E32" i="14"/>
  <c r="D32" i="14"/>
  <c r="P31" i="14"/>
  <c r="Q31" i="14" s="1"/>
  <c r="E31" i="14"/>
  <c r="D31" i="14"/>
  <c r="P30" i="14"/>
  <c r="Q30" i="14" s="1"/>
  <c r="E30" i="14"/>
  <c r="D30" i="14"/>
  <c r="U28" i="14"/>
  <c r="P28" i="14" s="1"/>
  <c r="O28" i="14"/>
  <c r="Q25" i="14"/>
  <c r="D25" i="14"/>
  <c r="F25" i="14" s="1"/>
  <c r="U24" i="14"/>
  <c r="P24" i="14" s="1"/>
  <c r="O24" i="14"/>
  <c r="Q22" i="14"/>
  <c r="D22" i="14"/>
  <c r="F22" i="14" s="1"/>
  <c r="U21" i="14"/>
  <c r="P21" i="14" s="1"/>
  <c r="O21" i="14"/>
  <c r="R11" i="14"/>
  <c r="G11" i="14"/>
  <c r="U10" i="14"/>
  <c r="P10" i="14" s="1"/>
  <c r="Q10" i="14" s="1"/>
  <c r="Q13" i="14" s="1"/>
  <c r="J10" i="14"/>
  <c r="U9" i="14"/>
  <c r="P9" i="14" s="1"/>
  <c r="Q9" i="14" s="1"/>
  <c r="U7" i="14"/>
  <c r="U17" i="14" s="1"/>
  <c r="P17" i="14" s="1"/>
  <c r="Q17" i="14" s="1"/>
  <c r="Q19" i="14" s="1"/>
  <c r="B9" i="8"/>
  <c r="F74" i="14" l="1"/>
  <c r="F52" i="14"/>
  <c r="J28" i="14"/>
  <c r="E28" i="14" s="1"/>
  <c r="F28" i="14" s="1"/>
  <c r="F31" i="14"/>
  <c r="F61" i="14"/>
  <c r="J17" i="14"/>
  <c r="E17" i="14" s="1"/>
  <c r="F17" i="14" s="1"/>
  <c r="F19" i="14" s="1"/>
  <c r="E9" i="14"/>
  <c r="F9" i="14" s="1"/>
  <c r="F13" i="14" s="1"/>
  <c r="J21" i="14"/>
  <c r="J24" i="14"/>
  <c r="E48" i="14"/>
  <c r="F48" i="14" s="1"/>
  <c r="F32" i="14"/>
  <c r="F53" i="14"/>
  <c r="F57" i="14"/>
  <c r="F62" i="14"/>
  <c r="F65" i="14"/>
  <c r="Q21" i="14"/>
  <c r="Q23" i="14" s="1"/>
  <c r="Q24" i="14"/>
  <c r="Q26" i="14" s="1"/>
  <c r="Q28" i="14"/>
  <c r="Q46" i="14" s="1"/>
  <c r="Q48" i="14"/>
  <c r="Q68" i="14" s="1"/>
  <c r="F30" i="14"/>
  <c r="F33" i="14"/>
  <c r="F50" i="14"/>
  <c r="F51" i="14"/>
  <c r="F55" i="14"/>
  <c r="F56" i="14"/>
  <c r="F59" i="14"/>
  <c r="F60" i="14"/>
  <c r="F63" i="14"/>
  <c r="F64" i="14"/>
  <c r="Q15" i="14"/>
  <c r="D113" i="18"/>
  <c r="L86" i="18"/>
  <c r="F46" i="14" l="1"/>
  <c r="Q75" i="14"/>
  <c r="E21" i="14"/>
  <c r="F21" i="14" s="1"/>
  <c r="F23" i="14" s="1"/>
  <c r="E24" i="14"/>
  <c r="F24" i="14" s="1"/>
  <c r="F26" i="14" s="1"/>
  <c r="F15" i="14"/>
  <c r="P123" i="14"/>
  <c r="F68" i="14"/>
  <c r="G86" i="18"/>
  <c r="D67" i="18"/>
  <c r="D66" i="18"/>
  <c r="E49" i="18"/>
  <c r="D59" i="18"/>
  <c r="D37" i="18"/>
  <c r="D36" i="18"/>
  <c r="D35" i="18"/>
  <c r="D34" i="18"/>
  <c r="E29" i="18"/>
  <c r="D33" i="18"/>
  <c r="F75" i="14" l="1"/>
  <c r="E37" i="18"/>
  <c r="E36" i="18"/>
  <c r="E35" i="18"/>
  <c r="E34" i="18"/>
  <c r="E33" i="18"/>
  <c r="F33" i="18" s="1"/>
  <c r="E32" i="18"/>
  <c r="D32" i="18" l="1"/>
  <c r="F107" i="18"/>
  <c r="E106" i="18"/>
  <c r="F106" i="18" s="1"/>
  <c r="D20" i="18"/>
  <c r="D97" i="18"/>
  <c r="D13" i="18" s="1"/>
  <c r="D58" i="18"/>
  <c r="D60" i="18" s="1"/>
  <c r="D94" i="18"/>
  <c r="F94" i="18" s="1"/>
  <c r="D93" i="18"/>
  <c r="D48" i="18"/>
  <c r="D49" i="18"/>
  <c r="E52" i="18" s="1"/>
  <c r="D14" i="18"/>
  <c r="D12" i="18"/>
  <c r="D11" i="18"/>
  <c r="D10" i="18"/>
  <c r="D8" i="18"/>
  <c r="G88" i="18"/>
  <c r="G87" i="18"/>
  <c r="D112" i="18"/>
  <c r="D114" i="18" s="1"/>
  <c r="E28" i="18" s="1"/>
  <c r="G82" i="18"/>
  <c r="G81" i="18"/>
  <c r="E80" i="18"/>
  <c r="D80" i="18"/>
  <c r="F79" i="18"/>
  <c r="G78" i="18"/>
  <c r="A68" i="18"/>
  <c r="A69" i="18" s="1"/>
  <c r="A70" i="18" s="1"/>
  <c r="A71" i="18" s="1"/>
  <c r="D68" i="18"/>
  <c r="A66" i="18"/>
  <c r="D55" i="18"/>
  <c r="C55" i="18"/>
  <c r="F37" i="18"/>
  <c r="F36" i="18"/>
  <c r="F35" i="18"/>
  <c r="F34" i="18"/>
  <c r="A9" i="18"/>
  <c r="A10" i="18" s="1"/>
  <c r="A11" i="18" s="1"/>
  <c r="A12" i="18" s="1"/>
  <c r="A13" i="18" s="1"/>
  <c r="A14" i="18" s="1"/>
  <c r="A15" i="18" s="1"/>
  <c r="A16" i="18" s="1"/>
  <c r="A17" i="18" s="1"/>
  <c r="A18" i="18" s="1"/>
  <c r="A19" i="18" s="1"/>
  <c r="A20" i="18" s="1"/>
  <c r="A21" i="18" s="1"/>
  <c r="A22" i="18" s="1"/>
  <c r="A23" i="18" s="1"/>
  <c r="A24" i="18" s="1"/>
  <c r="F53" i="18" l="1"/>
  <c r="F52" i="18"/>
  <c r="D22" i="18"/>
  <c r="G80" i="18"/>
  <c r="D9" i="18"/>
  <c r="G55" i="18" s="1"/>
  <c r="D47" i="18"/>
  <c r="G54" i="18" s="1"/>
  <c r="D61" i="18"/>
  <c r="F55" i="18" s="1"/>
  <c r="G79" i="18"/>
  <c r="D92" i="18"/>
  <c r="D99" i="18"/>
  <c r="F32" i="18"/>
  <c r="E93" i="18"/>
  <c r="F93" i="18" s="1"/>
  <c r="F49" i="18"/>
  <c r="H54" i="18" s="1"/>
  <c r="D100" i="18"/>
  <c r="F54" i="18"/>
  <c r="G52" i="18" l="1"/>
  <c r="H55" i="18"/>
  <c r="G53" i="18"/>
  <c r="G56" i="18" s="1"/>
  <c r="E47" i="18" s="1"/>
  <c r="D21" i="18"/>
  <c r="D23" i="18" s="1"/>
  <c r="D24" i="18" s="1"/>
  <c r="D16" i="18"/>
  <c r="H52" i="18"/>
  <c r="F56" i="18"/>
  <c r="E48" i="18" s="1"/>
  <c r="E92" i="18"/>
  <c r="F92" i="18" s="1"/>
  <c r="D15" i="18" s="1"/>
  <c r="D65" i="18"/>
  <c r="D69" i="18" s="1"/>
  <c r="H53" i="18" l="1"/>
  <c r="H47" i="18" s="1"/>
  <c r="D70" i="18"/>
  <c r="D71" i="18" s="1"/>
  <c r="F48" i="18"/>
  <c r="F47" i="18"/>
  <c r="D17" i="18"/>
  <c r="D18" i="18" s="1"/>
  <c r="D19" i="18" l="1"/>
  <c r="D28" i="18" s="1"/>
  <c r="F28" i="18" s="1"/>
  <c r="D29" i="18"/>
  <c r="F29" i="18" s="1"/>
  <c r="F30" i="18" l="1"/>
  <c r="AT9" i="6" l="1"/>
  <c r="AS9" i="6"/>
  <c r="AR9" i="6"/>
  <c r="AT6" i="6" l="1"/>
  <c r="L11" i="12" l="1"/>
  <c r="L15" i="12" s="1"/>
  <c r="L14" i="12" l="1"/>
  <c r="P14" i="12" s="1"/>
  <c r="Q14" i="12" s="1"/>
  <c r="P15" i="12"/>
  <c r="Q15" i="12" s="1"/>
  <c r="D62" i="15"/>
  <c r="D61" i="15"/>
  <c r="D60" i="15"/>
  <c r="D58" i="15"/>
  <c r="D55" i="15" l="1"/>
  <c r="D56" i="15" l="1"/>
  <c r="L13" i="12" l="1"/>
  <c r="C53" i="15" l="1"/>
  <c r="B53" i="15"/>
  <c r="A8" i="15"/>
  <c r="A7" i="15"/>
  <c r="F62" i="15"/>
  <c r="I62" i="15" s="1"/>
  <c r="E59" i="15"/>
  <c r="G58" i="15"/>
  <c r="E57" i="15"/>
  <c r="C57" i="15"/>
  <c r="G56" i="15"/>
  <c r="C56" i="15"/>
  <c r="H86" i="15"/>
  <c r="H91" i="15" s="1"/>
  <c r="C33" i="15"/>
  <c r="AJ27" i="15"/>
  <c r="C13" i="15"/>
  <c r="C12" i="15"/>
  <c r="G57" i="15" l="1"/>
  <c r="I57" i="15" s="1"/>
  <c r="D53" i="15"/>
  <c r="E58" i="15"/>
  <c r="I58" i="15" s="1"/>
  <c r="D65" i="15"/>
  <c r="E56" i="15"/>
  <c r="I56" i="15" s="1"/>
  <c r="G59" i="15"/>
  <c r="D64" i="15"/>
  <c r="F60" i="15"/>
  <c r="D20" i="15" s="1"/>
  <c r="E20" i="15" s="1"/>
  <c r="I60" i="15" l="1"/>
  <c r="F65" i="15"/>
  <c r="I65" i="15" s="1"/>
  <c r="D17" i="15"/>
  <c r="E17" i="15" s="1"/>
  <c r="F64" i="15"/>
  <c r="I64" i="15" s="1"/>
  <c r="D18" i="15"/>
  <c r="F61" i="15" l="1"/>
  <c r="I61" i="15" s="1"/>
  <c r="E55" i="15" l="1"/>
  <c r="E72" i="15" s="1"/>
  <c r="G55" i="15"/>
  <c r="D19" i="15"/>
  <c r="E19" i="15" s="1"/>
  <c r="E73" i="15" l="1"/>
  <c r="D16" i="15"/>
  <c r="V11" i="6" l="1"/>
  <c r="G8" i="12" l="1"/>
  <c r="A47" i="12"/>
  <c r="A48" i="12" s="1"/>
  <c r="A49" i="12" s="1"/>
  <c r="A50" i="12" s="1"/>
  <c r="A51" i="12" s="1"/>
  <c r="A52" i="12" s="1"/>
  <c r="A53" i="12" s="1"/>
  <c r="A54" i="12" s="1"/>
  <c r="O25" i="12"/>
  <c r="J25" i="12"/>
  <c r="P25" i="12" s="1"/>
  <c r="N18" i="12"/>
  <c r="J18" i="12"/>
  <c r="A55" i="12" l="1"/>
  <c r="A56" i="12"/>
  <c r="A57" i="12" s="1"/>
  <c r="Q25" i="12"/>
  <c r="K13" i="12"/>
  <c r="A58" i="12" l="1"/>
  <c r="P13" i="12"/>
  <c r="D27" i="6" l="1"/>
  <c r="D28" i="6" s="1"/>
  <c r="D29" i="6" s="1"/>
  <c r="D30" i="6" s="1"/>
  <c r="D31" i="6" s="1"/>
  <c r="D32" i="6" s="1"/>
  <c r="D33" i="6" s="1"/>
  <c r="D34" i="6" s="1"/>
  <c r="D35" i="6" s="1"/>
  <c r="D36" i="6" s="1"/>
  <c r="D37" i="6" s="1"/>
  <c r="D38" i="6" s="1"/>
  <c r="D39" i="6" s="1"/>
  <c r="D40" i="6" s="1"/>
  <c r="D41" i="6" s="1"/>
  <c r="D42" i="6" s="1"/>
  <c r="D43" i="6" s="1"/>
  <c r="D44" i="6" s="1"/>
  <c r="D45" i="6" s="1"/>
  <c r="D46" i="6" s="1"/>
  <c r="D47" i="6" s="1"/>
  <c r="D48" i="6" s="1"/>
  <c r="E8" i="12" l="1"/>
  <c r="E16" i="12" s="1"/>
  <c r="F16" i="12" s="1"/>
  <c r="P16" i="12" s="1"/>
  <c r="I4" i="14"/>
  <c r="J11" i="14" s="1"/>
  <c r="T4" i="14"/>
  <c r="U11" i="14" s="1"/>
  <c r="H11" i="14"/>
  <c r="E25" i="12"/>
  <c r="E13" i="12" l="1"/>
  <c r="S11" i="14"/>
  <c r="C68" i="15"/>
  <c r="C23" i="15" s="1"/>
  <c r="F13" i="12" l="1"/>
  <c r="H13" i="12" s="1"/>
  <c r="O13" i="12" s="1"/>
  <c r="O18" i="12" s="1"/>
  <c r="C46" i="12" s="1"/>
  <c r="C59" i="15"/>
  <c r="I68" i="15"/>
  <c r="E23" i="15"/>
  <c r="F18" i="12" l="1"/>
  <c r="C18" i="15"/>
  <c r="E18" i="15" s="1"/>
  <c r="D66" i="15"/>
  <c r="F66" i="15" s="1"/>
  <c r="I66" i="15" s="1"/>
  <c r="I59" i="15"/>
  <c r="C55" i="15"/>
  <c r="Q13" i="12"/>
  <c r="N17" i="12" l="1"/>
  <c r="P17" i="12" s="1"/>
  <c r="C69" i="15"/>
  <c r="G69" i="15"/>
  <c r="H70" i="15"/>
  <c r="I70" i="15" s="1"/>
  <c r="C16" i="15"/>
  <c r="D63" i="15"/>
  <c r="I55" i="15"/>
  <c r="P18" i="12" l="1"/>
  <c r="Q17" i="12"/>
  <c r="Q18" i="12" s="1"/>
  <c r="D27" i="12" s="1"/>
  <c r="D24" i="15"/>
  <c r="G72" i="15"/>
  <c r="G73" i="15"/>
  <c r="C24" i="15"/>
  <c r="I69" i="15"/>
  <c r="F63" i="15"/>
  <c r="I63" i="15" s="1"/>
  <c r="C54" i="15"/>
  <c r="D54" i="15"/>
  <c r="E16" i="15"/>
  <c r="S23" i="12" l="1"/>
  <c r="D46" i="12"/>
  <c r="R23" i="12"/>
  <c r="E24" i="15"/>
  <c r="D28" i="15"/>
  <c r="E28" i="15" s="1"/>
  <c r="D72" i="15"/>
  <c r="F54" i="15"/>
  <c r="D15" i="15" s="1"/>
  <c r="C15" i="15"/>
  <c r="D21" i="15"/>
  <c r="E21" i="15" s="1"/>
  <c r="F10" i="6"/>
  <c r="D29" i="15" l="1"/>
  <c r="E29" i="15" s="1"/>
  <c r="D26" i="15"/>
  <c r="I54" i="15"/>
  <c r="F73" i="15"/>
  <c r="F72" i="15"/>
  <c r="E15" i="15"/>
  <c r="AT58" i="6"/>
  <c r="AT57" i="6"/>
  <c r="AT55" i="6"/>
  <c r="AT54" i="6"/>
  <c r="AT19" i="6"/>
  <c r="D30" i="15" l="1"/>
  <c r="E30" i="15" s="1"/>
  <c r="P46" i="6"/>
  <c r="C50" i="12" l="1"/>
  <c r="C48" i="12"/>
  <c r="D50" i="12" l="1"/>
  <c r="F50" i="12" l="1"/>
  <c r="G50" i="12" s="1"/>
  <c r="C55" i="12"/>
  <c r="C49" i="12" l="1"/>
  <c r="F55" i="12"/>
  <c r="G55" i="12" s="1"/>
  <c r="D49" i="12"/>
  <c r="D48" i="12" l="1"/>
  <c r="F48" i="12" s="1"/>
  <c r="G48" i="12" s="1"/>
  <c r="F49" i="12"/>
  <c r="G49" i="12" s="1"/>
  <c r="G46" i="12" l="1"/>
  <c r="C53" i="12" l="1"/>
  <c r="P44" i="6" l="1"/>
  <c r="W2" i="6"/>
  <c r="W3" i="6"/>
  <c r="J11" i="6"/>
  <c r="X19" i="6"/>
  <c r="Y19" i="6"/>
  <c r="Z19" i="6"/>
  <c r="AA19" i="6"/>
  <c r="AB19" i="6"/>
  <c r="AC19" i="6"/>
  <c r="AD19" i="6"/>
  <c r="AE19" i="6"/>
  <c r="AF19" i="6"/>
  <c r="AG19" i="6"/>
  <c r="AH19" i="6"/>
  <c r="AI19" i="6"/>
  <c r="AJ19" i="6"/>
  <c r="AK19" i="6"/>
  <c r="AL19" i="6"/>
  <c r="AM19" i="6"/>
  <c r="AN19" i="6"/>
  <c r="AO19" i="6"/>
  <c r="AP19" i="6"/>
  <c r="AQ19" i="6"/>
  <c r="AR19" i="6"/>
  <c r="AS19" i="6"/>
  <c r="AA27" i="6"/>
  <c r="AA28" i="6"/>
  <c r="X32" i="6"/>
  <c r="A34" i="6"/>
  <c r="AB44" i="6"/>
  <c r="AC44" i="6"/>
  <c r="AD44" i="6"/>
  <c r="AE44" i="6"/>
  <c r="AF44" i="6"/>
  <c r="AG44" i="6"/>
  <c r="AH44" i="6"/>
  <c r="AI44" i="6"/>
  <c r="AJ44" i="6"/>
  <c r="AK44" i="6"/>
  <c r="AL44" i="6"/>
  <c r="AM44" i="6"/>
  <c r="AN44" i="6"/>
  <c r="AO44" i="6"/>
  <c r="AP44" i="6"/>
  <c r="AQ44" i="6"/>
  <c r="AR44" i="6"/>
  <c r="AA44" i="6" l="1"/>
  <c r="B11" i="8" l="1"/>
  <c r="B3" i="14"/>
  <c r="B10" i="8"/>
  <c r="B2" i="14"/>
  <c r="D51" i="12" l="1"/>
  <c r="F51" i="12" l="1"/>
  <c r="G51" i="12" s="1"/>
  <c r="AS54" i="6" l="1"/>
  <c r="AS57" i="6"/>
  <c r="AS55" i="6" l="1"/>
  <c r="AS58" i="6"/>
  <c r="D47" i="12"/>
  <c r="F47" i="12" l="1"/>
  <c r="G47" i="12" s="1"/>
  <c r="D52" i="12" l="1"/>
  <c r="C52" i="12"/>
  <c r="F52" i="12" l="1"/>
  <c r="G52" i="12" s="1"/>
  <c r="C67" i="15" l="1"/>
  <c r="C72" i="15" l="1"/>
  <c r="C22" i="15"/>
  <c r="I67" i="15"/>
  <c r="C54" i="12"/>
  <c r="E22" i="15" l="1"/>
  <c r="C26" i="15"/>
  <c r="D31" i="15"/>
  <c r="D32" i="15" s="1"/>
  <c r="F54" i="12"/>
  <c r="G54" i="12" s="1"/>
  <c r="C57" i="12"/>
  <c r="C60" i="12" s="1"/>
  <c r="E32" i="15" l="1"/>
  <c r="H73" i="15"/>
  <c r="I73" i="15" s="1"/>
  <c r="D35" i="15" s="1"/>
  <c r="E35" i="15" s="1"/>
  <c r="E31" i="15"/>
  <c r="D33" i="15"/>
  <c r="E26" i="15"/>
  <c r="C34" i="15"/>
  <c r="C36" i="15" s="1"/>
  <c r="E33" i="15" l="1"/>
  <c r="D34" i="15"/>
  <c r="D36" i="15" s="1"/>
  <c r="D56" i="12" l="1"/>
  <c r="G56" i="12" s="1"/>
  <c r="E34" i="15"/>
  <c r="E36" i="15" s="1"/>
  <c r="H71" i="15"/>
  <c r="D53" i="12" l="1"/>
  <c r="F53" i="12" s="1"/>
  <c r="G53" i="12" s="1"/>
  <c r="I71" i="15"/>
  <c r="I72" i="15" s="1"/>
  <c r="I74" i="15" s="1"/>
  <c r="H72" i="15"/>
  <c r="C12" i="6" l="1"/>
  <c r="D16" i="6" s="1"/>
  <c r="D57" i="12" l="1"/>
  <c r="F57" i="12" s="1"/>
  <c r="G57" i="12" s="1"/>
  <c r="Y48" i="6"/>
  <c r="Z48" i="6"/>
  <c r="D59" i="12" l="1"/>
  <c r="G59" i="12" l="1"/>
  <c r="C6" i="6" l="1"/>
  <c r="D6" i="6" s="1"/>
  <c r="C8" i="6" l="1"/>
  <c r="C9" i="6"/>
  <c r="D8" i="6"/>
  <c r="C10" i="6"/>
  <c r="D10" i="6"/>
  <c r="D9" i="6"/>
  <c r="E6" i="6"/>
  <c r="C7" i="6"/>
  <c r="X44" i="6" s="1"/>
  <c r="D7" i="6"/>
  <c r="Y44" i="6" l="1"/>
  <c r="E27" i="6"/>
  <c r="Z44" i="6"/>
  <c r="U44" i="6" s="1"/>
  <c r="E8" i="6"/>
  <c r="D11" i="6"/>
  <c r="E10" i="6"/>
  <c r="G10" i="6" s="1"/>
  <c r="I10" i="6" s="1"/>
  <c r="K10" i="6" s="1"/>
  <c r="E7" i="6"/>
  <c r="E9" i="6"/>
  <c r="C11" i="6"/>
  <c r="E26" i="6"/>
  <c r="G26" i="6" s="1"/>
  <c r="AS44" i="6"/>
  <c r="AT44" i="6" l="1"/>
  <c r="F7" i="6"/>
  <c r="G7" i="6" s="1"/>
  <c r="H10" i="6"/>
  <c r="E11" i="6"/>
  <c r="F8" i="6"/>
  <c r="G8" i="6" s="1"/>
  <c r="H8" i="6" s="1"/>
  <c r="Y21" i="6" s="1"/>
  <c r="Y27" i="6" s="1"/>
  <c r="F9" i="6"/>
  <c r="G9" i="6" s="1"/>
  <c r="H9" i="6" s="1"/>
  <c r="I8" i="6" l="1"/>
  <c r="Y22" i="6" s="1"/>
  <c r="Y28" i="6" s="1"/>
  <c r="Z21" i="6"/>
  <c r="Z27" i="6" s="1"/>
  <c r="F11" i="6"/>
  <c r="I9" i="6"/>
  <c r="Z22" i="6" s="1"/>
  <c r="Z28" i="6" s="1"/>
  <c r="G11" i="6"/>
  <c r="D15" i="6" s="1"/>
  <c r="D17" i="6" s="1"/>
  <c r="H7" i="6"/>
  <c r="I7" i="6"/>
  <c r="K8" i="6" l="1"/>
  <c r="K9" i="6"/>
  <c r="I75" i="14"/>
  <c r="I11" i="6"/>
  <c r="X22" i="6"/>
  <c r="K7" i="6"/>
  <c r="AZ12" i="6"/>
  <c r="AZ8" i="6"/>
  <c r="AZ9" i="6" s="1"/>
  <c r="X65" i="6"/>
  <c r="AV9" i="6"/>
  <c r="H11" i="6"/>
  <c r="X21" i="6"/>
  <c r="D58" i="12" l="1"/>
  <c r="D60" i="12" s="1"/>
  <c r="K11" i="6"/>
  <c r="M11" i="6" s="1"/>
  <c r="M13" i="6" s="1"/>
  <c r="Y9" i="6"/>
  <c r="X27" i="6"/>
  <c r="V21" i="6"/>
  <c r="X28" i="6"/>
  <c r="Y30" i="6" s="1"/>
  <c r="V22" i="6"/>
  <c r="G58" i="12" l="1"/>
  <c r="G60" i="12" s="1"/>
  <c r="F65" i="12" s="1"/>
  <c r="AI32" i="6"/>
  <c r="AG32" i="6"/>
  <c r="AE32" i="6"/>
  <c r="AC32" i="6"/>
  <c r="AA32" i="6"/>
  <c r="AJ32" i="6"/>
  <c r="AH32" i="6"/>
  <c r="AF32" i="6"/>
  <c r="AD32" i="6"/>
  <c r="AB32" i="6"/>
  <c r="Z30" i="6"/>
  <c r="X30" i="6"/>
  <c r="X8" i="6" s="1"/>
  <c r="V23" i="6"/>
  <c r="AZ10" i="6"/>
  <c r="BA8" i="6" s="1"/>
  <c r="F38" i="18" l="1"/>
  <c r="F39" i="18" s="1"/>
  <c r="F40" i="18" s="1"/>
  <c r="E15" i="8"/>
  <c r="AK30" i="6"/>
  <c r="AK8" i="6" s="1"/>
  <c r="AA30" i="6"/>
  <c r="V32" i="6"/>
  <c r="X67" i="6"/>
  <c r="Y8" i="6"/>
  <c r="AB30" i="6"/>
  <c r="AT30" i="6"/>
  <c r="AT8" i="6" s="1"/>
  <c r="AN30" i="6"/>
  <c r="AN8" i="6" s="1"/>
  <c r="AP30" i="6"/>
  <c r="AP8" i="6" s="1"/>
  <c r="AE30" i="6"/>
  <c r="AC30" i="6"/>
  <c r="AL30" i="6"/>
  <c r="AL8" i="6" s="1"/>
  <c r="AQ30" i="6"/>
  <c r="AQ8" i="6" s="1"/>
  <c r="BA9" i="6"/>
  <c r="Z9" i="6" s="1"/>
  <c r="Z8" i="6"/>
  <c r="AD30" i="6"/>
  <c r="AM30" i="6"/>
  <c r="AM8" i="6" s="1"/>
  <c r="AR30" i="6"/>
  <c r="AR8" i="6" s="1"/>
  <c r="AO30" i="6"/>
  <c r="AO8" i="6" s="1"/>
  <c r="AJ30" i="6"/>
  <c r="AS30" i="6"/>
  <c r="AS8" i="6" s="1"/>
  <c r="AF30" i="6"/>
  <c r="AI30" i="6"/>
  <c r="AH30" i="6"/>
  <c r="AG30" i="6"/>
  <c r="E17" i="8" l="1"/>
  <c r="D14" i="6"/>
  <c r="BA10" i="6"/>
  <c r="BB8" i="6" s="1"/>
  <c r="BB9" i="6" s="1"/>
  <c r="AA9" i="6" s="1"/>
  <c r="AG8" i="6"/>
  <c r="AG67" i="6" s="1"/>
  <c r="AH8" i="6"/>
  <c r="AH67" i="6" s="1"/>
  <c r="AF8" i="6"/>
  <c r="AF67" i="6" s="1"/>
  <c r="AJ8" i="6"/>
  <c r="AD8" i="6"/>
  <c r="AD67" i="6" s="1"/>
  <c r="Z67" i="6"/>
  <c r="AE8" i="6"/>
  <c r="AE67" i="6" s="1"/>
  <c r="AB8" i="6"/>
  <c r="AB67" i="6" s="1"/>
  <c r="Y67" i="6"/>
  <c r="AA8" i="6"/>
  <c r="AA67" i="6" s="1"/>
  <c r="AI8" i="6"/>
  <c r="AC8" i="6"/>
  <c r="AC67" i="6" s="1"/>
  <c r="F47" i="6" l="1"/>
  <c r="G47" i="6" s="1"/>
  <c r="Y7" i="6"/>
  <c r="AR7" i="6"/>
  <c r="AR20" i="6" s="1"/>
  <c r="AE7" i="6"/>
  <c r="AQ7" i="6"/>
  <c r="AQ20" i="6" s="1"/>
  <c r="AK7" i="6"/>
  <c r="AK20" i="6" s="1"/>
  <c r="AL7" i="6"/>
  <c r="AL20" i="6" s="1"/>
  <c r="Z7" i="6"/>
  <c r="AI7" i="6"/>
  <c r="AA7" i="6"/>
  <c r="AA10" i="6" s="1"/>
  <c r="AA11" i="6" s="1"/>
  <c r="H29" i="6" s="1"/>
  <c r="AH7" i="6"/>
  <c r="AO7" i="6"/>
  <c r="AO20" i="6" s="1"/>
  <c r="F48" i="6"/>
  <c r="G48" i="6" s="1"/>
  <c r="AP7" i="6"/>
  <c r="AP20" i="6" s="1"/>
  <c r="AB7" i="6"/>
  <c r="F27" i="6"/>
  <c r="G27" i="6" s="1"/>
  <c r="AF7" i="6"/>
  <c r="AN7" i="6"/>
  <c r="AN20" i="6" s="1"/>
  <c r="AC7" i="6"/>
  <c r="AG7" i="6"/>
  <c r="AT7" i="6"/>
  <c r="AM7" i="6"/>
  <c r="AM20" i="6" s="1"/>
  <c r="AJ7" i="6"/>
  <c r="AS7" i="6"/>
  <c r="X7" i="6"/>
  <c r="AD7" i="6"/>
  <c r="BB10" i="6"/>
  <c r="BC8" i="6" s="1"/>
  <c r="AG74" i="6" l="1"/>
  <c r="AG66" i="6"/>
  <c r="AG20" i="6"/>
  <c r="Z74" i="6"/>
  <c r="Z66" i="6"/>
  <c r="Z20" i="6"/>
  <c r="Z10" i="6"/>
  <c r="Z11" i="6" s="1"/>
  <c r="Z13" i="6" s="1"/>
  <c r="F28" i="6"/>
  <c r="G28" i="6" s="1"/>
  <c r="AJ20" i="6"/>
  <c r="AJ74" i="6"/>
  <c r="AC66" i="6"/>
  <c r="AC74" i="6"/>
  <c r="AC20" i="6"/>
  <c r="AB66" i="6"/>
  <c r="AB74" i="6"/>
  <c r="AB20" i="6"/>
  <c r="AH66" i="6"/>
  <c r="AH20" i="6"/>
  <c r="AH74" i="6"/>
  <c r="AL23" i="6"/>
  <c r="AL47" i="6"/>
  <c r="AL51" i="6" s="1"/>
  <c r="AR47" i="6"/>
  <c r="AR51" i="6" s="1"/>
  <c r="AR23" i="6"/>
  <c r="AE66" i="6"/>
  <c r="AE74" i="6"/>
  <c r="AE20" i="6"/>
  <c r="AD20" i="6"/>
  <c r="AD66" i="6"/>
  <c r="AD74" i="6"/>
  <c r="AM23" i="6"/>
  <c r="AM47" i="6"/>
  <c r="AM51" i="6" s="1"/>
  <c r="AN47" i="6"/>
  <c r="AN51" i="6" s="1"/>
  <c r="AN23" i="6"/>
  <c r="AP47" i="6"/>
  <c r="AP51" i="6" s="1"/>
  <c r="AP23" i="6"/>
  <c r="F44" i="6"/>
  <c r="G44" i="6" s="1"/>
  <c r="F45" i="6"/>
  <c r="G45" i="6" s="1"/>
  <c r="F29" i="6"/>
  <c r="G29" i="6" s="1"/>
  <c r="I29" i="6" s="1"/>
  <c r="F38" i="6"/>
  <c r="G38" i="6" s="1"/>
  <c r="F39" i="6"/>
  <c r="G39" i="6" s="1"/>
  <c r="F33" i="6"/>
  <c r="G33" i="6" s="1"/>
  <c r="F43" i="6"/>
  <c r="G43" i="6" s="1"/>
  <c r="AA74" i="6"/>
  <c r="F40" i="6"/>
  <c r="G40" i="6" s="1"/>
  <c r="F41" i="6"/>
  <c r="G41" i="6" s="1"/>
  <c r="AA20" i="6"/>
  <c r="F34" i="6"/>
  <c r="G34" i="6" s="1"/>
  <c r="F35" i="6"/>
  <c r="G35" i="6" s="1"/>
  <c r="F36" i="6"/>
  <c r="G36" i="6" s="1"/>
  <c r="F37" i="6"/>
  <c r="G37" i="6" s="1"/>
  <c r="F46" i="6"/>
  <c r="G46" i="6" s="1"/>
  <c r="F30" i="6"/>
  <c r="G30" i="6" s="1"/>
  <c r="F31" i="6"/>
  <c r="G31" i="6" s="1"/>
  <c r="F32" i="6"/>
  <c r="G32" i="6" s="1"/>
  <c r="F42" i="6"/>
  <c r="G42" i="6" s="1"/>
  <c r="AA66" i="6"/>
  <c r="AK47" i="6"/>
  <c r="AK51" i="6" s="1"/>
  <c r="AK23" i="6"/>
  <c r="Y66" i="6"/>
  <c r="Y20" i="6"/>
  <c r="Y10" i="6"/>
  <c r="Y77" i="6"/>
  <c r="AS20" i="6"/>
  <c r="AS10" i="6"/>
  <c r="AO23" i="6"/>
  <c r="AO47" i="6"/>
  <c r="AO51" i="6" s="1"/>
  <c r="X10" i="6"/>
  <c r="X20" i="6"/>
  <c r="X66" i="6"/>
  <c r="AT20" i="6"/>
  <c r="AT10" i="6"/>
  <c r="AF66" i="6"/>
  <c r="AF20" i="6"/>
  <c r="AF74" i="6"/>
  <c r="AI20" i="6"/>
  <c r="AI74" i="6"/>
  <c r="AQ23" i="6"/>
  <c r="AQ47" i="6"/>
  <c r="AQ51" i="6" s="1"/>
  <c r="AA33" i="6"/>
  <c r="AA34" i="6" s="1"/>
  <c r="AA68" i="6"/>
  <c r="AA45" i="6"/>
  <c r="AA13" i="6"/>
  <c r="BC9" i="6"/>
  <c r="AB9" i="6" s="1"/>
  <c r="AB10" i="6" s="1"/>
  <c r="AB11" i="6" s="1"/>
  <c r="AA69" i="6" l="1"/>
  <c r="Z33" i="6"/>
  <c r="Z34" i="6" s="1"/>
  <c r="AT23" i="6"/>
  <c r="AT47" i="6"/>
  <c r="AT51" i="6" s="1"/>
  <c r="AH23" i="6"/>
  <c r="AH47" i="6"/>
  <c r="AH51" i="6" s="1"/>
  <c r="AF47" i="6"/>
  <c r="AF51" i="6" s="1"/>
  <c r="AF23" i="6"/>
  <c r="Y11" i="6"/>
  <c r="Y13" i="6" s="1"/>
  <c r="Y14" i="6" s="1"/>
  <c r="Z14" i="6" s="1"/>
  <c r="AA14" i="6" s="1"/>
  <c r="AC47" i="6"/>
  <c r="AC51" i="6" s="1"/>
  <c r="AC23" i="6"/>
  <c r="AJ47" i="6"/>
  <c r="AJ51" i="6" s="1"/>
  <c r="AJ23" i="6"/>
  <c r="Z47" i="6"/>
  <c r="Z51" i="6" s="1"/>
  <c r="Z23" i="6"/>
  <c r="AA47" i="6"/>
  <c r="AA51" i="6" s="1"/>
  <c r="AA52" i="6" s="1"/>
  <c r="AA23" i="6"/>
  <c r="AA36" i="6" s="1"/>
  <c r="AG23" i="6"/>
  <c r="AG47" i="6"/>
  <c r="AG51" i="6" s="1"/>
  <c r="X47" i="6"/>
  <c r="X51" i="6" s="1"/>
  <c r="X23" i="6"/>
  <c r="AS11" i="6"/>
  <c r="AS13" i="6" s="1"/>
  <c r="Y47" i="6"/>
  <c r="Y51" i="6" s="1"/>
  <c r="Y23" i="6"/>
  <c r="AB47" i="6"/>
  <c r="AB51" i="6" s="1"/>
  <c r="AB23" i="6"/>
  <c r="AE47" i="6"/>
  <c r="AE51" i="6" s="1"/>
  <c r="AE23" i="6"/>
  <c r="Z45" i="6"/>
  <c r="H28" i="6"/>
  <c r="I28" i="6" s="1"/>
  <c r="Z68" i="6"/>
  <c r="Z69" i="6" s="1"/>
  <c r="AI47" i="6"/>
  <c r="AI51" i="6" s="1"/>
  <c r="AI23" i="6"/>
  <c r="AT11" i="6"/>
  <c r="AT13" i="6" s="1"/>
  <c r="X11" i="6"/>
  <c r="X13" i="6" s="1"/>
  <c r="AS23" i="6"/>
  <c r="AS47" i="6"/>
  <c r="AS51" i="6" s="1"/>
  <c r="AD47" i="6"/>
  <c r="AD51" i="6" s="1"/>
  <c r="AD23" i="6"/>
  <c r="G50" i="6"/>
  <c r="G49" i="6"/>
  <c r="AB13" i="6"/>
  <c r="AB68" i="6"/>
  <c r="AB69" i="6" s="1"/>
  <c r="AB45" i="6"/>
  <c r="AB33" i="6"/>
  <c r="AB34" i="6" s="1"/>
  <c r="H30" i="6"/>
  <c r="I30" i="6" s="1"/>
  <c r="BC10" i="6"/>
  <c r="BD8" i="6" s="1"/>
  <c r="Z36" i="6" l="1"/>
  <c r="AB36" i="6"/>
  <c r="AB52" i="6"/>
  <c r="H48" i="6"/>
  <c r="I48" i="6" s="1"/>
  <c r="AT45" i="6"/>
  <c r="AT52" i="6" s="1"/>
  <c r="AT33" i="6"/>
  <c r="AT34" i="6" s="1"/>
  <c r="AT36" i="6" s="1"/>
  <c r="X57" i="6"/>
  <c r="X54" i="6"/>
  <c r="Z52" i="6"/>
  <c r="H47" i="6"/>
  <c r="I47" i="6" s="1"/>
  <c r="AS45" i="6"/>
  <c r="AS52" i="6" s="1"/>
  <c r="AS33" i="6"/>
  <c r="AS34" i="6" s="1"/>
  <c r="AS36" i="6" s="1"/>
  <c r="Y68" i="6"/>
  <c r="Y69" i="6" s="1"/>
  <c r="H27" i="6"/>
  <c r="I27" i="6" s="1"/>
  <c r="Y33" i="6"/>
  <c r="Y34" i="6" s="1"/>
  <c r="Y36" i="6" s="1"/>
  <c r="Y45" i="6"/>
  <c r="Y52" i="6" s="1"/>
  <c r="X68" i="6"/>
  <c r="X69" i="6" s="1"/>
  <c r="X45" i="6"/>
  <c r="X52" i="6" s="1"/>
  <c r="H26" i="6"/>
  <c r="I26" i="6" s="1"/>
  <c r="X33" i="6"/>
  <c r="X34" i="6" s="1"/>
  <c r="X36" i="6" s="1"/>
  <c r="AB14" i="6"/>
  <c r="BD9" i="6"/>
  <c r="AC9" i="6" s="1"/>
  <c r="AC10" i="6" s="1"/>
  <c r="X37" i="6" l="1"/>
  <c r="AA37" i="6"/>
  <c r="Z37" i="6"/>
  <c r="AB37" i="6"/>
  <c r="Y37" i="6"/>
  <c r="X70" i="6"/>
  <c r="Y65" i="6" s="1"/>
  <c r="X71" i="6"/>
  <c r="AC11" i="6"/>
  <c r="BD10" i="6"/>
  <c r="BE8" i="6" s="1"/>
  <c r="Y71" i="6" l="1"/>
  <c r="Y70" i="6"/>
  <c r="Z65" i="6" s="1"/>
  <c r="BE9" i="6"/>
  <c r="AD9" i="6" s="1"/>
  <c r="AD10" i="6" s="1"/>
  <c r="AC68" i="6"/>
  <c r="AC69" i="6" s="1"/>
  <c r="AC33" i="6"/>
  <c r="AC34" i="6" s="1"/>
  <c r="AC36" i="6" s="1"/>
  <c r="H31" i="6"/>
  <c r="I31" i="6" s="1"/>
  <c r="AC45" i="6"/>
  <c r="AC52" i="6" s="1"/>
  <c r="AC13" i="6"/>
  <c r="AC14" i="6" s="1"/>
  <c r="Z70" i="6" l="1"/>
  <c r="AA65" i="6" s="1"/>
  <c r="Z71" i="6"/>
  <c r="AD11" i="6"/>
  <c r="AC37" i="6"/>
  <c r="BE10" i="6"/>
  <c r="BF8" i="6" s="1"/>
  <c r="AA71" i="6" l="1"/>
  <c r="AA70" i="6"/>
  <c r="AB65" i="6" s="1"/>
  <c r="AD68" i="6"/>
  <c r="AD69" i="6" s="1"/>
  <c r="AD33" i="6"/>
  <c r="AD34" i="6" s="1"/>
  <c r="AD36" i="6" s="1"/>
  <c r="H32" i="6"/>
  <c r="I32" i="6" s="1"/>
  <c r="AD45" i="6"/>
  <c r="AD52" i="6" s="1"/>
  <c r="BF9" i="6"/>
  <c r="AE9" i="6" s="1"/>
  <c r="AE10" i="6" s="1"/>
  <c r="AE11" i="6" s="1"/>
  <c r="AD13" i="6"/>
  <c r="AD14" i="6" s="1"/>
  <c r="AB71" i="6" l="1"/>
  <c r="AB70" i="6"/>
  <c r="AC65" i="6" s="1"/>
  <c r="AE13" i="6"/>
  <c r="AE14" i="6" s="1"/>
  <c r="AE45" i="6"/>
  <c r="AE52" i="6" s="1"/>
  <c r="AE33" i="6"/>
  <c r="AE34" i="6" s="1"/>
  <c r="AE36" i="6" s="1"/>
  <c r="AE68" i="6"/>
  <c r="AE69" i="6" s="1"/>
  <c r="H33" i="6"/>
  <c r="I33" i="6" s="1"/>
  <c r="AD37" i="6"/>
  <c r="BF10" i="6"/>
  <c r="BG8" i="6" s="1"/>
  <c r="AC70" i="6" l="1"/>
  <c r="AD65" i="6" s="1"/>
  <c r="AC71" i="6"/>
  <c r="BG9" i="6"/>
  <c r="AF9" i="6" s="1"/>
  <c r="AF10" i="6" s="1"/>
  <c r="AE37" i="6"/>
  <c r="AD70" i="6" l="1"/>
  <c r="AE65" i="6" s="1"/>
  <c r="AD71" i="6"/>
  <c r="AF11" i="6"/>
  <c r="BG10" i="6"/>
  <c r="BH8" i="6" s="1"/>
  <c r="AE71" i="6" l="1"/>
  <c r="AE70" i="6"/>
  <c r="AF65" i="6" s="1"/>
  <c r="BH9" i="6"/>
  <c r="AG9" i="6" s="1"/>
  <c r="AG10" i="6" s="1"/>
  <c r="AG11" i="6" s="1"/>
  <c r="AG68" i="6" s="1"/>
  <c r="AG69" i="6" s="1"/>
  <c r="AF45" i="6"/>
  <c r="AF52" i="6" s="1"/>
  <c r="AF33" i="6"/>
  <c r="AF34" i="6" s="1"/>
  <c r="AF36" i="6" s="1"/>
  <c r="H34" i="6"/>
  <c r="I34" i="6" s="1"/>
  <c r="AF68" i="6"/>
  <c r="AF69" i="6" s="1"/>
  <c r="AF13" i="6"/>
  <c r="AF14" i="6" s="1"/>
  <c r="AG13" i="6" l="1"/>
  <c r="AG14" i="6" s="1"/>
  <c r="AG45" i="6"/>
  <c r="AG52" i="6" s="1"/>
  <c r="H35" i="6"/>
  <c r="I35" i="6" s="1"/>
  <c r="AG33" i="6"/>
  <c r="AG34" i="6" s="1"/>
  <c r="AG36" i="6" s="1"/>
  <c r="AG37" i="6" s="1"/>
  <c r="AF71" i="6"/>
  <c r="AF70" i="6"/>
  <c r="AG65" i="6" s="1"/>
  <c r="AF37" i="6"/>
  <c r="BH10" i="6"/>
  <c r="BI8" i="6" s="1"/>
  <c r="AG70" i="6" l="1"/>
  <c r="AH65" i="6" s="1"/>
  <c r="AG71" i="6"/>
  <c r="X72" i="6" s="1"/>
  <c r="BI9" i="6"/>
  <c r="AR10" i="6"/>
  <c r="AH9" i="6" l="1"/>
  <c r="BI10" i="6"/>
  <c r="BJ8" i="6" s="1"/>
  <c r="AR11" i="6"/>
  <c r="AH10" i="6" l="1"/>
  <c r="BJ9" i="6"/>
  <c r="H46" i="6"/>
  <c r="I46" i="6" s="1"/>
  <c r="AR33" i="6"/>
  <c r="AR34" i="6" s="1"/>
  <c r="AR36" i="6" s="1"/>
  <c r="AR45" i="6"/>
  <c r="AR13" i="6"/>
  <c r="AI9" i="6" l="1"/>
  <c r="AH11" i="6"/>
  <c r="BJ10" i="6"/>
  <c r="BK8" i="6" s="1"/>
  <c r="AR52" i="6"/>
  <c r="AH13" i="6" l="1"/>
  <c r="AH14" i="6" s="1"/>
  <c r="AH68" i="6"/>
  <c r="AH69" i="6" s="1"/>
  <c r="BK9" i="6"/>
  <c r="AI10" i="6"/>
  <c r="H36" i="6"/>
  <c r="I36" i="6" s="1"/>
  <c r="AH45" i="6"/>
  <c r="AH33" i="6"/>
  <c r="AH34" i="6" s="1"/>
  <c r="AH36" i="6" s="1"/>
  <c r="AH71" i="6" l="1"/>
  <c r="AH70" i="6"/>
  <c r="AI11" i="6"/>
  <c r="AJ9" i="6"/>
  <c r="AH37" i="6"/>
  <c r="AH52" i="6"/>
  <c r="BK10" i="6"/>
  <c r="BL8" i="6" s="1"/>
  <c r="BL9" i="6" l="1"/>
  <c r="AJ10" i="6"/>
  <c r="AJ11" i="6" s="1"/>
  <c r="AI45" i="6"/>
  <c r="AI33" i="6"/>
  <c r="AI34" i="6" s="1"/>
  <c r="AI36" i="6" s="1"/>
  <c r="H37" i="6"/>
  <c r="I37" i="6" s="1"/>
  <c r="AI13" i="6"/>
  <c r="AI14" i="6" s="1"/>
  <c r="AJ13" i="6" l="1"/>
  <c r="AJ14" i="6" s="1"/>
  <c r="AJ33" i="6"/>
  <c r="AJ34" i="6" s="1"/>
  <c r="AJ36" i="6" s="1"/>
  <c r="AJ37" i="6" s="1"/>
  <c r="H38" i="6"/>
  <c r="I38" i="6" s="1"/>
  <c r="AJ45" i="6"/>
  <c r="AJ52" i="6" s="1"/>
  <c r="AK9" i="6"/>
  <c r="AI52" i="6"/>
  <c r="AI37" i="6"/>
  <c r="BL10" i="6"/>
  <c r="BM8" i="6" s="1"/>
  <c r="AK10" i="6" l="1"/>
  <c r="AK11" i="6" s="1"/>
  <c r="BM9" i="6"/>
  <c r="AL9" i="6" l="1"/>
  <c r="AK13" i="6"/>
  <c r="AK14" i="6" s="1"/>
  <c r="AK45" i="6"/>
  <c r="H39" i="6"/>
  <c r="I39" i="6" s="1"/>
  <c r="AK33" i="6"/>
  <c r="AK34" i="6" s="1"/>
  <c r="AK36" i="6" s="1"/>
  <c r="BM10" i="6"/>
  <c r="BN8" i="6" s="1"/>
  <c r="AL10" i="6" l="1"/>
  <c r="AK37" i="6"/>
  <c r="AK52" i="6"/>
  <c r="BN9" i="6"/>
  <c r="AM9" i="6" s="1"/>
  <c r="AM10" i="6" s="1"/>
  <c r="AM11" i="6" s="1"/>
  <c r="BN10" i="6" l="1"/>
  <c r="BO8" i="6" s="1"/>
  <c r="BO9" i="6" s="1"/>
  <c r="AN9" i="6" s="1"/>
  <c r="AN10" i="6" s="1"/>
  <c r="AL11" i="6"/>
  <c r="AM13" i="6"/>
  <c r="H41" i="6"/>
  <c r="I41" i="6" s="1"/>
  <c r="AM33" i="6"/>
  <c r="AM34" i="6" s="1"/>
  <c r="AM36" i="6" s="1"/>
  <c r="AM45" i="6"/>
  <c r="AM52" i="6" s="1"/>
  <c r="AL33" i="6" l="1"/>
  <c r="AL34" i="6" s="1"/>
  <c r="AL36" i="6" s="1"/>
  <c r="AM37" i="6" s="1"/>
  <c r="H40" i="6"/>
  <c r="I40" i="6" s="1"/>
  <c r="AL45" i="6"/>
  <c r="AN11" i="6"/>
  <c r="BO10" i="6"/>
  <c r="BP8" i="6" s="1"/>
  <c r="AL13" i="6"/>
  <c r="AL14" i="6" s="1"/>
  <c r="AM14" i="6" s="1"/>
  <c r="AL37" i="6" l="1"/>
  <c r="AN33" i="6"/>
  <c r="AN34" i="6" s="1"/>
  <c r="AN36" i="6" s="1"/>
  <c r="AN37" i="6" s="1"/>
  <c r="AN45" i="6"/>
  <c r="AN52" i="6" s="1"/>
  <c r="H42" i="6"/>
  <c r="I42" i="6" s="1"/>
  <c r="AL52" i="6"/>
  <c r="BP9" i="6"/>
  <c r="AO9" i="6" s="1"/>
  <c r="AO10" i="6" s="1"/>
  <c r="AO11" i="6" s="1"/>
  <c r="AN13" i="6"/>
  <c r="AN14" i="6" s="1"/>
  <c r="BP10" i="6" l="1"/>
  <c r="BQ8" i="6" s="1"/>
  <c r="BQ9" i="6" s="1"/>
  <c r="AO13" i="6"/>
  <c r="AO14" i="6" s="1"/>
  <c r="H43" i="6"/>
  <c r="I43" i="6" s="1"/>
  <c r="AO45" i="6"/>
  <c r="AO33" i="6"/>
  <c r="AO34" i="6" s="1"/>
  <c r="AO36" i="6" s="1"/>
  <c r="AO37" i="6" s="1"/>
  <c r="AO52" i="6" l="1"/>
  <c r="AP9" i="6"/>
  <c r="AP10" i="6" s="1"/>
  <c r="AP11" i="6" s="1"/>
  <c r="BR9" i="6"/>
  <c r="BQ10" i="6"/>
  <c r="BR8" i="6" s="1"/>
  <c r="AP13" i="6" l="1"/>
  <c r="AP14" i="6" s="1"/>
  <c r="AP45" i="6"/>
  <c r="AP52" i="6" s="1"/>
  <c r="AP33" i="6"/>
  <c r="AP34" i="6" s="1"/>
  <c r="AP36" i="6" s="1"/>
  <c r="AP37" i="6" s="1"/>
  <c r="H44" i="6"/>
  <c r="I44" i="6" s="1"/>
  <c r="BR10" i="6"/>
  <c r="BS8" i="6" s="1"/>
  <c r="BS10" i="6" s="1"/>
  <c r="AQ9" i="6"/>
  <c r="BF12" i="6"/>
  <c r="AQ10" i="6" l="1"/>
  <c r="AQ11" i="6" s="1"/>
  <c r="AU9" i="6"/>
  <c r="AQ13" i="6" l="1"/>
  <c r="AQ14" i="6" s="1"/>
  <c r="AR14" i="6" s="1"/>
  <c r="AS14" i="6" s="1"/>
  <c r="AT14" i="6" s="1"/>
  <c r="H45" i="6"/>
  <c r="I45" i="6" s="1"/>
  <c r="AQ45" i="6"/>
  <c r="AQ33" i="6"/>
  <c r="AQ34" i="6" s="1"/>
  <c r="AQ36" i="6" s="1"/>
  <c r="I49" i="6" l="1"/>
  <c r="I50" i="6"/>
  <c r="AQ52" i="6"/>
  <c r="X61" i="6"/>
  <c r="AQ37" i="6"/>
  <c r="AT37" i="6"/>
  <c r="AS37" i="6"/>
  <c r="AR37" i="6"/>
  <c r="X55" i="6" l="1"/>
  <c r="E19" i="8" s="1"/>
  <c r="X58" i="6"/>
  <c r="E21" i="8" s="1"/>
  <c r="D37" i="8" l="1"/>
  <c r="D33" i="8"/>
</calcChain>
</file>

<file path=xl/sharedStrings.xml><?xml version="1.0" encoding="utf-8"?>
<sst xmlns="http://schemas.openxmlformats.org/spreadsheetml/2006/main" count="1614" uniqueCount="846">
  <si>
    <t xml:space="preserve"> </t>
  </si>
  <si>
    <t>S T E E L   A U T H O R I T Y   OF   I N D I A    L I M I T E D</t>
  </si>
  <si>
    <t>-</t>
  </si>
  <si>
    <t>Item</t>
  </si>
  <si>
    <t>Total</t>
  </si>
  <si>
    <t>IDC</t>
  </si>
  <si>
    <t>Years</t>
  </si>
  <si>
    <t>Plant</t>
  </si>
  <si>
    <t>Total fund</t>
  </si>
  <si>
    <t>cost</t>
  </si>
  <si>
    <t>Loan</t>
  </si>
  <si>
    <t>incl.IDC</t>
  </si>
  <si>
    <t>LC</t>
  </si>
  <si>
    <t>1st.</t>
  </si>
  <si>
    <t>FC</t>
  </si>
  <si>
    <t>t</t>
  </si>
  <si>
    <t>Equipment</t>
  </si>
  <si>
    <t>b</t>
  </si>
  <si>
    <t>c</t>
  </si>
  <si>
    <t>d</t>
  </si>
  <si>
    <t>e</t>
  </si>
  <si>
    <t>v</t>
  </si>
  <si>
    <t>x</t>
  </si>
  <si>
    <t>Spares</t>
  </si>
  <si>
    <t>Refractories</t>
  </si>
  <si>
    <t>Sl.No</t>
  </si>
  <si>
    <t>A</t>
  </si>
  <si>
    <t>B</t>
  </si>
  <si>
    <t>C</t>
  </si>
  <si>
    <t>Structure</t>
  </si>
  <si>
    <t>Dismantling</t>
  </si>
  <si>
    <t>PI</t>
  </si>
  <si>
    <t>IRR</t>
  </si>
  <si>
    <t>%</t>
  </si>
  <si>
    <t>a</t>
  </si>
  <si>
    <t>Unit</t>
  </si>
  <si>
    <t>Equity</t>
  </si>
  <si>
    <t>Annexure-1</t>
  </si>
  <si>
    <t>CD</t>
  </si>
  <si>
    <t>Internal</t>
  </si>
  <si>
    <t>External</t>
  </si>
  <si>
    <t>Total fund incl. IDC</t>
  </si>
  <si>
    <t>Resources</t>
  </si>
  <si>
    <t>Borrowing</t>
  </si>
  <si>
    <t>MM</t>
  </si>
  <si>
    <t>Loan+MM</t>
  </si>
  <si>
    <t xml:space="preserve">Start of prod. </t>
  </si>
  <si>
    <t>Profitability Projections</t>
  </si>
  <si>
    <t>Item/Year</t>
  </si>
  <si>
    <t>Yr 1</t>
  </si>
  <si>
    <t>Yr 2</t>
  </si>
  <si>
    <t>Yr 3</t>
  </si>
  <si>
    <t>Yr 4</t>
  </si>
  <si>
    <t>Yr 5</t>
  </si>
  <si>
    <t>Yr 6</t>
  </si>
  <si>
    <t>Yr 7</t>
  </si>
  <si>
    <t>Yr 8</t>
  </si>
  <si>
    <t>Yr 9</t>
  </si>
  <si>
    <t>Yr 10</t>
  </si>
  <si>
    <t>Yr 11</t>
  </si>
  <si>
    <t>Yr 12</t>
  </si>
  <si>
    <t>Yr 13</t>
  </si>
  <si>
    <t>Yr 14</t>
  </si>
  <si>
    <t>Yr 15</t>
  </si>
  <si>
    <t>Yr 16</t>
  </si>
  <si>
    <t>Yr 17</t>
  </si>
  <si>
    <t>Yr 18</t>
  </si>
  <si>
    <t>Yr 19</t>
  </si>
  <si>
    <t>Yr 20</t>
  </si>
  <si>
    <t>Yr 21</t>
  </si>
  <si>
    <t>Yr 22</t>
  </si>
  <si>
    <t>Calculation of depreciation</t>
  </si>
  <si>
    <t>Capacity Utilisation</t>
  </si>
  <si>
    <t>Rate of depreciation</t>
  </si>
  <si>
    <t>Gross Margin  from operation</t>
  </si>
  <si>
    <t>Year of production</t>
  </si>
  <si>
    <t>PC</t>
  </si>
  <si>
    <t>Check</t>
  </si>
  <si>
    <t>Profit Before Tax (PBT)</t>
  </si>
  <si>
    <t>Profit After Tax (PAT)</t>
  </si>
  <si>
    <t>Cumulative PAT</t>
  </si>
  <si>
    <t>Working Capital</t>
  </si>
  <si>
    <t>Start of prod.</t>
  </si>
  <si>
    <t>Cash flow statement</t>
  </si>
  <si>
    <t>Cash-Inflows :</t>
  </si>
  <si>
    <t>A. Cash from operations</t>
  </si>
  <si>
    <t>B. Equity/ Internal accruals</t>
  </si>
  <si>
    <t>(B) Cash out-flow :</t>
  </si>
  <si>
    <t>Capital expenditure</t>
  </si>
  <si>
    <t xml:space="preserve">        Equity/ Internal accruals</t>
  </si>
  <si>
    <t xml:space="preserve">        Loan</t>
  </si>
  <si>
    <t>Interest payment</t>
  </si>
  <si>
    <t>Term loan</t>
  </si>
  <si>
    <t>WC loan</t>
  </si>
  <si>
    <t>Principal repayment</t>
  </si>
  <si>
    <t>Corporate Income Tax</t>
  </si>
  <si>
    <t xml:space="preserve">Cash surplus </t>
  </si>
  <si>
    <t>Cash surplus (Cummulative)</t>
  </si>
  <si>
    <t>Sensitivity factor</t>
  </si>
  <si>
    <t>NPV &amp; IRR CALCULATIONS:</t>
  </si>
  <si>
    <t>Cap . Cost</t>
  </si>
  <si>
    <t>GM</t>
  </si>
  <si>
    <t>Outflow</t>
  </si>
  <si>
    <t>Capital Cost (excl. IDC)</t>
  </si>
  <si>
    <t>Inflow</t>
  </si>
  <si>
    <t>Gross margin</t>
  </si>
  <si>
    <t>Net flow</t>
  </si>
  <si>
    <t>Pre-tax</t>
  </si>
  <si>
    <t>Post Tax</t>
  </si>
  <si>
    <t>D</t>
  </si>
  <si>
    <t>Post-tax</t>
  </si>
  <si>
    <t>E</t>
  </si>
  <si>
    <t>Capital cost</t>
  </si>
  <si>
    <t>Rs crore</t>
  </si>
  <si>
    <t>Rs.crore</t>
  </si>
  <si>
    <t>IRR (Post-Tax)</t>
  </si>
  <si>
    <t>SENSITIVITY  ANALYSIS</t>
  </si>
  <si>
    <t>Parameter</t>
  </si>
  <si>
    <t>(Post-tax)</t>
  </si>
  <si>
    <t>Gross margin less by 10%</t>
  </si>
  <si>
    <t>Combined effect of above two factors</t>
  </si>
  <si>
    <t xml:space="preserve">Depreciation </t>
  </si>
  <si>
    <t>Description</t>
  </si>
  <si>
    <t>Gross Margin</t>
  </si>
  <si>
    <t>Rs cr</t>
  </si>
  <si>
    <t xml:space="preserve">FINANCIAL ANALYSIS </t>
  </si>
  <si>
    <t>i</t>
  </si>
  <si>
    <t>Gross Block</t>
  </si>
  <si>
    <t>Depreciation</t>
  </si>
  <si>
    <t>Net Block</t>
  </si>
  <si>
    <t>95% 0f CC</t>
  </si>
  <si>
    <t>2nd</t>
  </si>
  <si>
    <t>Rs. in crore</t>
  </si>
  <si>
    <t xml:space="preserve">Loan </t>
  </si>
  <si>
    <t xml:space="preserve">Long term loan </t>
  </si>
  <si>
    <t>Foreign Supervision</t>
  </si>
  <si>
    <t>Qty.</t>
  </si>
  <si>
    <t>Annexure-6.6.2-1</t>
  </si>
  <si>
    <t>Sl. No.</t>
  </si>
  <si>
    <t>Value</t>
  </si>
  <si>
    <t xml:space="preserve">Phasing of expenditure-Beneficiation Plant </t>
  </si>
  <si>
    <t>PTC</t>
  </si>
  <si>
    <t>Cut off.</t>
  </si>
  <si>
    <t xml:space="preserve">Capital cost up by 10% </t>
  </si>
  <si>
    <t>Base Case</t>
  </si>
  <si>
    <t>FE Parity +7.5%</t>
  </si>
  <si>
    <t>FE Parity</t>
  </si>
  <si>
    <t>Cap Cost</t>
  </si>
  <si>
    <t>Production loss during addl. s/d period</t>
  </si>
  <si>
    <t xml:space="preserve">Corporate Income Tax </t>
  </si>
  <si>
    <t xml:space="preserve">Interest </t>
  </si>
  <si>
    <t>Structural</t>
  </si>
  <si>
    <t>Remarks</t>
  </si>
  <si>
    <t>Rs. Cr.</t>
  </si>
  <si>
    <t>3rd</t>
  </si>
  <si>
    <t>Yr 23</t>
  </si>
  <si>
    <t xml:space="preserve">Record notes of meeting of the Cost Review Committee </t>
  </si>
  <si>
    <t>1. Name of the Project</t>
  </si>
  <si>
    <t xml:space="preserve">2. Subject </t>
  </si>
  <si>
    <t>3. Assignment No.</t>
  </si>
  <si>
    <t>4. Date of cost review</t>
  </si>
  <si>
    <t>Name</t>
  </si>
  <si>
    <t>Designation</t>
  </si>
  <si>
    <t>Signature</t>
  </si>
  <si>
    <t>ii</t>
  </si>
  <si>
    <t>iii</t>
  </si>
  <si>
    <t>iv</t>
  </si>
  <si>
    <t>vi</t>
  </si>
  <si>
    <t>vii</t>
  </si>
  <si>
    <t>Name of the Supplier/Contractor</t>
  </si>
  <si>
    <t>Scope of supply</t>
  </si>
  <si>
    <t>Imported Supply</t>
  </si>
  <si>
    <t>Indigenous Supply</t>
  </si>
  <si>
    <t xml:space="preserve">Total cost </t>
  </si>
  <si>
    <t>Quoted Price</t>
  </si>
  <si>
    <t>Normalised value (Adjusted for Cap., Escl. and excl. D&amp;E, erection, supv. etc. if any )</t>
  </si>
  <si>
    <t>Factor for location</t>
  </si>
  <si>
    <t>Price trend considered (Knocked off by)</t>
  </si>
  <si>
    <t>Normalised value (Adjusted for Cap., Escal. and excl. any scope like D&amp;E, erection, Civil, Strl. etc. if any)</t>
  </si>
  <si>
    <t>FC (in FE)</t>
  </si>
  <si>
    <t>FC (Equivalent Rs. In Crore)</t>
  </si>
  <si>
    <t>LC (Rs. in Crore)</t>
  </si>
  <si>
    <t>2) Details of earlier POs considered</t>
  </si>
  <si>
    <t>(Rs. in Crore.)</t>
  </si>
  <si>
    <t xml:space="preserve">     ii) </t>
  </si>
  <si>
    <t xml:space="preserve">     iii)</t>
  </si>
  <si>
    <t>Reasons for selecting above cost:</t>
  </si>
  <si>
    <t xml:space="preserve">     iv)</t>
  </si>
  <si>
    <t xml:space="preserve">Basic Cost </t>
  </si>
  <si>
    <t>Factor for location/ Area of difficulty</t>
  </si>
  <si>
    <t>FC (Eq Rs. in Crore)</t>
  </si>
  <si>
    <t>LC (Rs. In crore)</t>
  </si>
  <si>
    <t>Civil</t>
  </si>
  <si>
    <t>Refarctories</t>
  </si>
  <si>
    <t>Erection and Commissioning</t>
  </si>
  <si>
    <t>Foreign Training</t>
  </si>
  <si>
    <t>The committee deliberated on the above issues and found the same in order.</t>
  </si>
  <si>
    <t>NPV (@ 10%), Rs Cr</t>
  </si>
  <si>
    <t>NPV @ 10% discount rate (Post-tax)</t>
  </si>
  <si>
    <t>@10%</t>
  </si>
  <si>
    <r>
      <t xml:space="preserve">i.        </t>
    </r>
    <r>
      <rPr>
        <b/>
        <u/>
        <sz val="16"/>
        <color indexed="8"/>
        <rFont val="Times New Roman"/>
        <family val="1"/>
      </rPr>
      <t>Basis for equipment only</t>
    </r>
  </si>
  <si>
    <t>Engineering estimate for additional scope of supply other than BQ/ PO</t>
  </si>
  <si>
    <t>FC         (Equivalent Rs. Crore)</t>
  </si>
  <si>
    <t>LC (Rs. Crore)</t>
  </si>
  <si>
    <t>FC            (Equivt Rs. Cr)</t>
  </si>
  <si>
    <t>Sub total</t>
  </si>
  <si>
    <t>NA</t>
  </si>
  <si>
    <t>Engineering &amp; Construction</t>
  </si>
  <si>
    <t>Taxes &amp; Duties incl. Frt</t>
  </si>
  <si>
    <t>Other (IDC)</t>
  </si>
  <si>
    <t>@5%</t>
  </si>
  <si>
    <t>Net</t>
  </si>
  <si>
    <t>Cor. Tax</t>
  </si>
  <si>
    <t>Pay-back period:</t>
  </si>
  <si>
    <t>Operating year -----&gt;</t>
  </si>
  <si>
    <t>Yr1</t>
  </si>
  <si>
    <t>Yr2</t>
  </si>
  <si>
    <t>Yr3</t>
  </si>
  <si>
    <t>Yr4</t>
  </si>
  <si>
    <t>Yr5</t>
  </si>
  <si>
    <t>Yr6</t>
  </si>
  <si>
    <t>Yr7</t>
  </si>
  <si>
    <t>Yr8</t>
  </si>
  <si>
    <t>Capital cost net of cenvat, Rs Cr</t>
  </si>
  <si>
    <t>Gross margin, Rs Cr</t>
  </si>
  <si>
    <t>Interest on loan, Rs Cr</t>
  </si>
  <si>
    <t>Corporate tax, Rs Cr</t>
  </si>
  <si>
    <t>Profit after int. &amp; tax, Rs Cr</t>
  </si>
  <si>
    <t>Balance loan, Rs Cr</t>
  </si>
  <si>
    <t>Payback period, Yrs</t>
  </si>
  <si>
    <t>DSCR, Year-wise</t>
  </si>
  <si>
    <t>Minimum DSCR</t>
  </si>
  <si>
    <t>Maximum DSCR</t>
  </si>
  <si>
    <t>Avg. DSCR</t>
  </si>
  <si>
    <t>Input Tax Credit (ITC)</t>
  </si>
  <si>
    <t xml:space="preserve">Capital Cost (Net of ITC) </t>
  </si>
  <si>
    <t>CC net of ITC</t>
  </si>
  <si>
    <t>ITC</t>
  </si>
  <si>
    <t>5. Proceedings of meeting:</t>
  </si>
  <si>
    <t>1EURO=</t>
  </si>
  <si>
    <t>(Forward Premium Rates)</t>
  </si>
  <si>
    <t>Total cost considered (Rs in Crore): Engg. Est.</t>
  </si>
  <si>
    <t xml:space="preserve">1) Details of BQs &amp; POs considered </t>
  </si>
  <si>
    <t>Complete scope:</t>
  </si>
  <si>
    <t>brought from the above</t>
  </si>
  <si>
    <t>6. Following officials were present:</t>
  </si>
  <si>
    <t>Contingency</t>
  </si>
  <si>
    <t>Based on the above considerations, capital cost estimate net of ITC for the subject project =</t>
  </si>
  <si>
    <t>Annexure 6.6.2-1</t>
  </si>
  <si>
    <t>CONFIDENTIAL</t>
  </si>
  <si>
    <t xml:space="preserve">Ref. No.: CET-17(4)/4004/  31       </t>
  </si>
  <si>
    <t>Date: 04.02.2015</t>
  </si>
  <si>
    <t>STEEL AUTHORITY OF INDIA LIMITED</t>
  </si>
  <si>
    <t>Augmentation of facilities to supply rails for Iran export order</t>
  </si>
  <si>
    <t>PACKAGE COST ESTIMATE</t>
  </si>
  <si>
    <t>TS NO.: CET/01/BH/4004/TS/ME/01/R=1</t>
  </si>
  <si>
    <t>1 EURO=Rs.</t>
  </si>
  <si>
    <t>Rs. Crore</t>
  </si>
  <si>
    <t>1 USD=Rs.</t>
  </si>
  <si>
    <t>Sl.No.</t>
  </si>
  <si>
    <t>Description of Item</t>
  </si>
  <si>
    <t xml:space="preserve">Design &amp; Engineering incl. drgs. &amp; doc. </t>
  </si>
  <si>
    <t>Supply of Plant &amp; Equipment Incl. Technological Structures</t>
  </si>
  <si>
    <t xml:space="preserve">Supply of Building steel structures including sheeting and glazing </t>
  </si>
  <si>
    <t>Supply of Refractories</t>
  </si>
  <si>
    <t>Civil Engineering Work including all related supplies- for equipment foundation</t>
  </si>
  <si>
    <t>Civil Engineering Work including all related supplies- Others including dismantling</t>
  </si>
  <si>
    <t xml:space="preserve">Storage, handling, Erection of Plant &amp; eqpt, Bldg. steel structure &amp; Refractories incl. Comm. &amp; PG tests of the facilities </t>
  </si>
  <si>
    <t>Foreign supervision charges in India during erection, startup, commissioning &amp; PG test for _____mandays</t>
  </si>
  <si>
    <t>Foreign Training charges for _____mandays</t>
  </si>
  <si>
    <t>Ocean Freight, Custom, port clearance &amp; inland transport for imported items</t>
  </si>
  <si>
    <t>Comprehensive Marine / transit &amp; Storage-cum-erection insurance</t>
  </si>
  <si>
    <t xml:space="preserve">Included above </t>
  </si>
  <si>
    <t>Sub-total (1 to 11)</t>
  </si>
  <si>
    <t>Purchaser's Scope:</t>
  </si>
  <si>
    <t>BCD @7.5%  on CIF</t>
  </si>
  <si>
    <t xml:space="preserve">Social welfare surcharge @ 10% on BCD </t>
  </si>
  <si>
    <t xml:space="preserve">GST @ 18 % on imported supply </t>
  </si>
  <si>
    <t>Income Tax  @ 10 % grossed-up on imported services</t>
  </si>
  <si>
    <t>GST @ 18 % on imported Services &amp; IT</t>
  </si>
  <si>
    <t>Sub-total (13)</t>
  </si>
  <si>
    <t xml:space="preserve">Total Package Cost </t>
  </si>
  <si>
    <t>Input tax credit (ITC) on GST</t>
  </si>
  <si>
    <t>Package cost net of ITC on GST</t>
  </si>
  <si>
    <t>SAIL/CET</t>
  </si>
  <si>
    <t>13.05.2016</t>
  </si>
  <si>
    <t>-do</t>
  </si>
  <si>
    <t>Erection for imported supply</t>
  </si>
  <si>
    <t>Erection for plant &amp; equipt</t>
  </si>
  <si>
    <t xml:space="preserve">Erection for structure </t>
  </si>
  <si>
    <t xml:space="preserve">Erection for refractory </t>
  </si>
  <si>
    <t>Basic cost</t>
  </si>
  <si>
    <t xml:space="preserve">                  Indigenous supplies &amp; services</t>
  </si>
  <si>
    <t>Imp. Items</t>
  </si>
  <si>
    <t>Indg. Items</t>
  </si>
  <si>
    <t>GST Ind. supply</t>
  </si>
  <si>
    <t>GST Ind. services</t>
  </si>
  <si>
    <t xml:space="preserve">Inland Frt &amp; Ins </t>
  </si>
  <si>
    <t>Purchaser's scope</t>
  </si>
  <si>
    <t>Design &amp; Engineering</t>
  </si>
  <si>
    <t xml:space="preserve">Supply of Plant &amp; eqpt  </t>
  </si>
  <si>
    <t>Supply of  SW</t>
  </si>
  <si>
    <t xml:space="preserve">Supply of  Tech Strs </t>
  </si>
  <si>
    <t>Building structures</t>
  </si>
  <si>
    <t>Civil work incl. all related supplies -Others</t>
  </si>
  <si>
    <t>Civil work incl. all related supplies - Equipment foundation</t>
  </si>
  <si>
    <t xml:space="preserve">Erection of Plant &amp; eqpt </t>
  </si>
  <si>
    <t xml:space="preserve">Erection of Tech Strs, </t>
  </si>
  <si>
    <t xml:space="preserve">Erection of  build. strs </t>
  </si>
  <si>
    <t>Erection of  Refractories</t>
  </si>
  <si>
    <t>Training</t>
  </si>
  <si>
    <t>a) Ocean Freight</t>
  </si>
  <si>
    <t>b) Custom, port clearance &amp; inland trasport</t>
  </si>
  <si>
    <t>(P. K. Mishra)</t>
  </si>
  <si>
    <t>AGM (Projects-CTEB)</t>
  </si>
  <si>
    <t>All other items except above</t>
  </si>
  <si>
    <r>
      <rPr>
        <b/>
        <sz val="16"/>
        <rFont val="Times New Roman"/>
        <family val="1"/>
      </rPr>
      <t>v. </t>
    </r>
    <r>
      <rPr>
        <sz val="16"/>
        <rFont val="Times New Roman"/>
        <family val="1"/>
      </rPr>
      <t xml:space="preserve">       TFL confirmed that the BOQ considered for preparing capital cost is for the total scope of work for the subject project. </t>
    </r>
  </si>
  <si>
    <t>Lot</t>
  </si>
  <si>
    <t>Estimate considered for the Equipment of the Project=</t>
  </si>
  <si>
    <t xml:space="preserve">CIVIL </t>
  </si>
  <si>
    <t>Mr. Manoj Mishra</t>
  </si>
  <si>
    <t>Refractory</t>
  </si>
  <si>
    <t>Price trend considered (BQ is already Knocked off by 10%)</t>
  </si>
  <si>
    <t>viii</t>
  </si>
  <si>
    <t xml:space="preserve">Gross Margin </t>
  </si>
  <si>
    <t>LS</t>
  </si>
  <si>
    <t>Excavation</t>
  </si>
  <si>
    <t>13.16.1</t>
  </si>
  <si>
    <t>13.60.1</t>
  </si>
  <si>
    <t>11.3.1</t>
  </si>
  <si>
    <t>Mandays</t>
  </si>
  <si>
    <t>1 USD=</t>
  </si>
  <si>
    <t>days</t>
  </si>
  <si>
    <t>tpd</t>
  </si>
  <si>
    <t>tpa</t>
  </si>
  <si>
    <t xml:space="preserve">Equivalent Pig Production </t>
  </si>
  <si>
    <t>kg/tHM</t>
  </si>
  <si>
    <t>Proposed</t>
  </si>
  <si>
    <t>2019-20</t>
  </si>
  <si>
    <t>2018-19</t>
  </si>
  <si>
    <t>Average</t>
  </si>
  <si>
    <t>Productivity</t>
  </si>
  <si>
    <t>Loss of contribution during addl. s/d period of 120 days</t>
  </si>
  <si>
    <t>HM prodn.in Base Case</t>
  </si>
  <si>
    <t>Duration of BF shutdown envisaged</t>
  </si>
  <si>
    <t xml:space="preserve">Addl. shutdown period reqd </t>
  </si>
  <si>
    <t>HM production loss during addl S/D</t>
  </si>
  <si>
    <t>tonnes</t>
  </si>
  <si>
    <t>Contribuion loss from hot metal</t>
  </si>
  <si>
    <t>Rs Cr.</t>
  </si>
  <si>
    <t>Base case</t>
  </si>
  <si>
    <t>Incr/ Decr</t>
  </si>
  <si>
    <t>Production</t>
  </si>
  <si>
    <t>Base Data</t>
  </si>
  <si>
    <t>2020-21</t>
  </si>
  <si>
    <t>Avg. 3 years</t>
  </si>
  <si>
    <t>HM production, tpd</t>
  </si>
  <si>
    <t>Coke Rate, kg/thm</t>
  </si>
  <si>
    <t>Kg/tHM</t>
  </si>
  <si>
    <t>NSR for PIG Iron (Rs./t)</t>
  </si>
  <si>
    <t>Rs./t</t>
  </si>
  <si>
    <t>t/m3/d (WV)</t>
  </si>
  <si>
    <t>In Proposed Case:</t>
  </si>
  <si>
    <t>Additional power consumption(net) :</t>
  </si>
  <si>
    <t>kW</t>
  </si>
  <si>
    <t>Additional nitrogen consumption:</t>
  </si>
  <si>
    <t>Nm3/h</t>
  </si>
  <si>
    <t>m3/h</t>
  </si>
  <si>
    <t>Mr. S Joardar</t>
  </si>
  <si>
    <t>Dismantling &amp; Re-erection</t>
  </si>
  <si>
    <t>DATA REQUIRED FOR GROSS  MARGIN  CALCULATIONS (Assgn No. 02/DE/4906)</t>
  </si>
  <si>
    <t>Hot Blast Temp.</t>
  </si>
  <si>
    <t xml:space="preserve"> oC</t>
  </si>
  <si>
    <t>Top Pressure, kg/cm2</t>
  </si>
  <si>
    <t>kg/cm2</t>
  </si>
  <si>
    <t>Steam, tph</t>
  </si>
  <si>
    <t>tph</t>
  </si>
  <si>
    <t>BF gas consumption in stoves, Nm3/h</t>
  </si>
  <si>
    <t>CO gas consumption in stoves, Nm3/h</t>
  </si>
  <si>
    <t>--</t>
  </si>
  <si>
    <r>
      <t>DM water in close loop for stoves valves (3 nos.), m</t>
    </r>
    <r>
      <rPr>
        <vertAlign val="superscript"/>
        <sz val="11"/>
        <color indexed="8"/>
        <rFont val="Arial"/>
        <family val="2"/>
      </rPr>
      <t>3</t>
    </r>
    <r>
      <rPr>
        <sz val="11"/>
        <color indexed="8"/>
        <rFont val="Arial"/>
        <family val="2"/>
      </rPr>
      <t>/h (Hot Blast Valve)</t>
    </r>
  </si>
  <si>
    <t>Received from BSL on whatsapp</t>
  </si>
  <si>
    <t>VC for PIG Iron (Rs./t)</t>
  </si>
  <si>
    <t>Actual cost data from BSL</t>
  </si>
  <si>
    <t>Benefits to be considered on account of  HBT rise:</t>
  </si>
  <si>
    <t>2% increase in production for every 100 oC HBT increase</t>
  </si>
  <si>
    <t>Coke Rate</t>
  </si>
  <si>
    <t>3.3% decrease in coke rate for every 100 oC HBT increase</t>
  </si>
  <si>
    <t>HBT</t>
  </si>
  <si>
    <t>Deg C</t>
  </si>
  <si>
    <t>Increase in HBT due to upgradation of stoves by globally reputed design</t>
  </si>
  <si>
    <t>Effect of top pressure</t>
  </si>
  <si>
    <t>Top Pressure (Base Case)</t>
  </si>
  <si>
    <t>Kg/cm2g</t>
  </si>
  <si>
    <t>Top Pressure (Proposed case)</t>
  </si>
  <si>
    <t>kg/cm2g</t>
  </si>
  <si>
    <t>Increase in productivity due to top pressure change</t>
  </si>
  <si>
    <t>1.1% increase in production for every 0.1 kg/cm2 increase in top pressure</t>
  </si>
  <si>
    <t>Decrease in coke rate due to top pressure change</t>
  </si>
  <si>
    <t>0.5% decrease in coke rate for every 0.1 kg/cm2 increase in top pressure</t>
  </si>
  <si>
    <t xml:space="preserve"> Additional secondary industrial water: </t>
  </si>
  <si>
    <t>Total Steam Consumption in proposed case</t>
  </si>
  <si>
    <t>Total BF gas consumption in stoves in proposed case</t>
  </si>
  <si>
    <t>Total CO gas consumption in stoves in proposed case</t>
  </si>
  <si>
    <r>
      <t xml:space="preserve">Total DM water in close loop for stoves valves (3 nos.) </t>
    </r>
    <r>
      <rPr>
        <sz val="11"/>
        <color indexed="8"/>
        <rFont val="Arial"/>
        <family val="2"/>
      </rPr>
      <t xml:space="preserve"> (Hot Blast Valve)</t>
    </r>
  </si>
  <si>
    <t>Year</t>
  </si>
  <si>
    <t>NSR(Rs/t)</t>
  </si>
  <si>
    <t xml:space="preserve">NSR of Pig iron </t>
  </si>
  <si>
    <t>3 years average Received from BSL on whatsapp</t>
  </si>
  <si>
    <t xml:space="preserve">VC of PI </t>
  </si>
  <si>
    <t>Rs/t</t>
  </si>
  <si>
    <t>Budgeted Contribution of PI</t>
  </si>
  <si>
    <t xml:space="preserve">VC of BF Coke </t>
  </si>
  <si>
    <t>Actual cost data from BSL Sept'21</t>
  </si>
  <si>
    <t>BF gas</t>
  </si>
  <si>
    <t>Rs/Gcal</t>
  </si>
  <si>
    <t>CO Gas</t>
  </si>
  <si>
    <t>DM Water (make-up Water)(Rs. 1000 extra to be added over Industrial water)</t>
  </si>
  <si>
    <r>
      <t>ThM</t>
    </r>
    <r>
      <rPr>
        <vertAlign val="superscript"/>
        <sz val="11"/>
        <rFont val="Arial"/>
        <family val="2"/>
      </rPr>
      <t>3</t>
    </r>
  </si>
  <si>
    <t>Power</t>
  </si>
  <si>
    <t>MW</t>
  </si>
  <si>
    <t>Secondary Industrial Water (Water Circ Cost)</t>
  </si>
  <si>
    <t>TC</t>
  </si>
  <si>
    <t>Secondary Industrial Water (Make up)</t>
  </si>
  <si>
    <t>Nitrogen</t>
  </si>
  <si>
    <t>Yield of Pig Iron from HM</t>
  </si>
  <si>
    <t>Actual data from BSL based on 3 years average</t>
  </si>
  <si>
    <t>Steam</t>
  </si>
  <si>
    <t>Sheduled Shutdown</t>
  </si>
  <si>
    <t>Working volume of the Furnace</t>
  </si>
  <si>
    <t>Cum</t>
  </si>
  <si>
    <t>Duration of Furnace operation/ year</t>
  </si>
  <si>
    <t>Note: Production loss due to shutdown will not be considered</t>
  </si>
  <si>
    <r>
      <rPr>
        <sz val="12"/>
        <rFont val="Calibri"/>
        <family val="2"/>
      </rPr>
      <t>°</t>
    </r>
    <r>
      <rPr>
        <sz val="12"/>
        <rFont val="Arial"/>
        <family val="2"/>
      </rPr>
      <t>C</t>
    </r>
  </si>
  <si>
    <t>Hot Blast Temp.(Proposed Case)</t>
  </si>
  <si>
    <t>Increase in Hot Metal production on account of increase in HBT</t>
  </si>
  <si>
    <t>Eqvt. Addl. Pig Iron (93% yield)</t>
  </si>
  <si>
    <t>Redn. in coke rate on account of increase in HBT</t>
  </si>
  <si>
    <t>Annexure -6.5.1-1</t>
  </si>
  <si>
    <t>GROSS  MARGIN  CALCULATIONS</t>
  </si>
  <si>
    <t>Technical Parameters:</t>
  </si>
  <si>
    <t>Days</t>
  </si>
  <si>
    <r>
      <t>Kg/cm</t>
    </r>
    <r>
      <rPr>
        <vertAlign val="superscript"/>
        <sz val="12"/>
        <rFont val="Arial"/>
        <family val="2"/>
      </rPr>
      <t>2</t>
    </r>
    <r>
      <rPr>
        <sz val="12"/>
        <rFont val="Arial"/>
        <family val="2"/>
      </rPr>
      <t>g</t>
    </r>
  </si>
  <si>
    <t>High Top Pressure (Proposed Case)</t>
  </si>
  <si>
    <t>Increase in Hot Metal production on account of increase in HTP</t>
  </si>
  <si>
    <t>Hot Metal Production (Proposed)</t>
  </si>
  <si>
    <t>Addl. Hot Metal prodn</t>
  </si>
  <si>
    <t>Tonne</t>
  </si>
  <si>
    <t>Redn. in coke rate on account of increase in HTP</t>
  </si>
  <si>
    <t>Avg. Coke Rate (Proposed Case)</t>
  </si>
  <si>
    <t>Redn. in Coke Rate</t>
  </si>
  <si>
    <t>Benefits :</t>
  </si>
  <si>
    <t>Quantity (t)</t>
  </si>
  <si>
    <t>Rate (Rs/t)</t>
  </si>
  <si>
    <t>Amount (Rs. Cr)</t>
  </si>
  <si>
    <t>Sub-total (B)</t>
  </si>
  <si>
    <t>Expenditure:</t>
  </si>
  <si>
    <t>Power @ 50kWh</t>
  </si>
  <si>
    <t>Sub-total (C)</t>
  </si>
  <si>
    <t>Gross  Margin (B-C)</t>
  </si>
  <si>
    <t>Basis for benefits considered due to HBT rise:</t>
  </si>
  <si>
    <t>Hot Blast Temp. Increase</t>
  </si>
  <si>
    <t>incr. in BF productivity for every 100 deg rise in HBT</t>
  </si>
  <si>
    <t>decr. in coke rate for every 100 deg rise in HBT</t>
  </si>
  <si>
    <t>Temp. Increase</t>
  </si>
  <si>
    <t>900-1000C</t>
  </si>
  <si>
    <t>1000-1100C</t>
  </si>
  <si>
    <t>My calculation</t>
  </si>
  <si>
    <t>1100-1200C</t>
  </si>
  <si>
    <t>Top Pressure Effect</t>
  </si>
  <si>
    <t>Resultant Value</t>
  </si>
  <si>
    <t>Existing</t>
  </si>
  <si>
    <t xml:space="preserve">Addl. Steam (6 tph) </t>
  </si>
  <si>
    <t>Addl. BF Gas (20000 Nm3/h)</t>
  </si>
  <si>
    <t xml:space="preserve">CO gas </t>
  </si>
  <si>
    <t>1NM3</t>
  </si>
  <si>
    <t>kCal</t>
  </si>
  <si>
    <t>1GCal=</t>
  </si>
  <si>
    <t>4.18*10^6</t>
  </si>
  <si>
    <t>KJ</t>
  </si>
  <si>
    <t>BF Gas</t>
  </si>
  <si>
    <t>Gcal</t>
  </si>
  <si>
    <t>Hot metal production (Base Case: 2020-21)</t>
  </si>
  <si>
    <t>Hot Blast Temp.(Base Case: 2020-21)</t>
  </si>
  <si>
    <t>High Top Pressure (Base Case: 2020-21)</t>
  </si>
  <si>
    <t>Avg. Coke Rate (Base Case: 2020-21)</t>
  </si>
  <si>
    <t>Contribution from Addl. Pig Iron (Avg NSR 2018-21 &amp; VC-H1, 2021-22)</t>
  </si>
  <si>
    <t>Savings in coke consumption (VC- H1, 2021-22)</t>
  </si>
  <si>
    <t>BOKARO STEEL PLANT</t>
  </si>
  <si>
    <t>Installation of 4th Stove and Revamping of existing  3 nos. of Stoves in BF#2</t>
  </si>
  <si>
    <t>CIVIL WORKS</t>
  </si>
  <si>
    <t>Reinforcement</t>
  </si>
  <si>
    <t>Sub-Total (Civil-Eqpt. Fdn.)</t>
  </si>
  <si>
    <t xml:space="preserve">Dismantling </t>
  </si>
  <si>
    <t>F</t>
  </si>
  <si>
    <t>Expenditure towards Corporate Environmental Responsibility (CER) (Guideline)</t>
  </si>
  <si>
    <t>Cost for engagement of NABET accredited Consultant for environmental clearance</t>
  </si>
  <si>
    <t>NSR of Pig Iron for the period Apr'21 to Sept'21</t>
  </si>
  <si>
    <t>Actual variable cost of pig iron for the period of Apr'21 to Sep'21</t>
  </si>
  <si>
    <t>Data Received from mail dated 12.01.2022 from TFL</t>
  </si>
  <si>
    <t>average actual cost data from BSL  for Apr'21 to Sep'21</t>
  </si>
  <si>
    <t>Also committee decided to discount recent BQs by 5%. In addition to above, committee decided to load 10% of Equipment cost on equipment for Risks, Financial Charges, and Overheads of contractor.</t>
  </si>
  <si>
    <t>CER &amp; Env. Clearance</t>
  </si>
  <si>
    <r>
      <t>DM water make up for stove @ 73 M</t>
    </r>
    <r>
      <rPr>
        <vertAlign val="superscript"/>
        <sz val="12"/>
        <color rgb="FFFF0000"/>
        <rFont val="Arial"/>
        <family val="2"/>
      </rPr>
      <t>3</t>
    </r>
    <r>
      <rPr>
        <sz val="12"/>
        <color rgb="FFFF0000"/>
        <rFont val="Arial"/>
        <family val="2"/>
      </rPr>
      <t>/hr</t>
    </r>
  </si>
  <si>
    <r>
      <t>ThM</t>
    </r>
    <r>
      <rPr>
        <vertAlign val="superscript"/>
        <sz val="12"/>
        <color rgb="FFFF0000"/>
        <rFont val="Arial"/>
        <family val="2"/>
      </rPr>
      <t>3</t>
    </r>
  </si>
  <si>
    <r>
      <t>Secondary Industrial Water Make up @ 5M</t>
    </r>
    <r>
      <rPr>
        <vertAlign val="superscript"/>
        <sz val="12"/>
        <color rgb="FFFF0000"/>
        <rFont val="Arial"/>
        <family val="2"/>
      </rPr>
      <t>3</t>
    </r>
    <r>
      <rPr>
        <sz val="12"/>
        <color rgb="FFFF0000"/>
        <rFont val="Arial"/>
        <family val="2"/>
      </rPr>
      <t>/hr</t>
    </r>
  </si>
  <si>
    <r>
      <t>Nitrogen @ 25 NM</t>
    </r>
    <r>
      <rPr>
        <vertAlign val="superscript"/>
        <sz val="12"/>
        <color rgb="FFFF0000"/>
        <rFont val="Arial"/>
        <family val="2"/>
      </rPr>
      <t>3</t>
    </r>
    <r>
      <rPr>
        <sz val="12"/>
        <color rgb="FFFF0000"/>
        <rFont val="Arial"/>
        <family val="2"/>
      </rPr>
      <t>/hr</t>
    </r>
  </si>
  <si>
    <r>
      <t>ThNM</t>
    </r>
    <r>
      <rPr>
        <vertAlign val="superscript"/>
        <sz val="12"/>
        <color rgb="FFFF0000"/>
        <rFont val="Arial"/>
        <family val="2"/>
      </rPr>
      <t>3</t>
    </r>
  </si>
  <si>
    <t>Mr. Sanjay Kumar</t>
  </si>
  <si>
    <t>Repair &amp; Maint. @ 2.5% of CC net of ITC</t>
  </si>
  <si>
    <t>Estimate as per Primemetal BQ</t>
  </si>
  <si>
    <t>Estimate as per BQ of Paul Wurth</t>
  </si>
  <si>
    <t>ASSIGN. NO.- 01/DE/4904</t>
  </si>
  <si>
    <t>Euro=</t>
  </si>
  <si>
    <t>Observations:</t>
  </si>
  <si>
    <t>Sl. No,</t>
  </si>
  <si>
    <t>Unit Rate (LC)- Rs.</t>
  </si>
  <si>
    <t xml:space="preserve">Amt. (Rs. L) LC </t>
  </si>
  <si>
    <t>Rate  (FC)</t>
  </si>
  <si>
    <t xml:space="preserve">Amt. (Rs. L) FC </t>
  </si>
  <si>
    <t>Basis / Remarks</t>
  </si>
  <si>
    <t>Quote</t>
  </si>
  <si>
    <t>Equpment</t>
  </si>
  <si>
    <t>Technological equipment</t>
  </si>
  <si>
    <t>As per BQ of M/S PW</t>
  </si>
  <si>
    <t>1(a)</t>
  </si>
  <si>
    <t>Installation of 4th Stove at B.F 8, BSP including mechanical, refractory, utility &amp; services, civil &amp; structural and associted electrics &amp; Instrumentation &amp; Automation.</t>
  </si>
  <si>
    <r>
      <t xml:space="preserve">BQ </t>
    </r>
    <r>
      <rPr>
        <b/>
        <sz val="11"/>
        <color rgb="FF0000FF"/>
        <rFont val="Arial"/>
        <family val="2"/>
      </rPr>
      <t>Paul Wurth (PW)</t>
    </r>
    <r>
      <rPr>
        <sz val="11"/>
        <color indexed="8"/>
        <rFont val="Arial"/>
        <family val="2"/>
      </rPr>
      <t xml:space="preserve"> dtd 30.12.2021 validity of BQ upto March 2022  dated 25.01.2022 (D&amp;E @7.5% and Erec @12% deducted)</t>
    </r>
  </si>
  <si>
    <t>1(b)</t>
  </si>
  <si>
    <t>Installation of 4th Stove at B.F 8, BSP including mechanical, refractory, utility &amp; services and associted electrics &amp; Instrumentation &amp; Automation.</t>
  </si>
  <si>
    <r>
      <t xml:space="preserve">BQ </t>
    </r>
    <r>
      <rPr>
        <b/>
        <sz val="11"/>
        <color rgb="FF0000FF"/>
        <rFont val="Arial"/>
        <family val="2"/>
      </rPr>
      <t>PRIMETALS (PM)</t>
    </r>
    <r>
      <rPr>
        <sz val="11"/>
        <color indexed="8"/>
        <rFont val="Arial"/>
        <family val="2"/>
      </rPr>
      <t xml:space="preserve"> Technologies dtd 21.01.2022 (D&amp;E @7.5% deducted)</t>
    </r>
  </si>
  <si>
    <t>As per BQ of M/S PM</t>
  </si>
  <si>
    <t>1 (c )</t>
  </si>
  <si>
    <r>
      <t xml:space="preserve">BQ </t>
    </r>
    <r>
      <rPr>
        <b/>
        <sz val="11"/>
        <color rgb="FF0000FF"/>
        <rFont val="Arial"/>
        <family val="2"/>
      </rPr>
      <t>M/s DC</t>
    </r>
    <r>
      <rPr>
        <sz val="11"/>
        <color indexed="8"/>
        <rFont val="Arial"/>
        <family val="2"/>
      </rPr>
      <t xml:space="preserve"> dtd 16.12.2021 (presumption-D&amp;E @7.5% and Erec @12% deducted)</t>
    </r>
  </si>
  <si>
    <t>As per BQ of M/S DC</t>
  </si>
  <si>
    <t>Equipments Which are not Included in respective BQ (1(b), 1(b), 1(c ))</t>
  </si>
  <si>
    <t>Equipment has been taken by all the 3 parties.</t>
  </si>
  <si>
    <t>Sub-total (Equipment)</t>
  </si>
  <si>
    <t>2 Year O&amp;M Spares</t>
  </si>
  <si>
    <t>Spares (@ 3% of Indigenous Ept &amp; @5% of Imported Eqpt.</t>
  </si>
  <si>
    <t xml:space="preserve">Common data for 1(a), 1(b), 1(c) </t>
  </si>
  <si>
    <t xml:space="preserve">REFRACTORY  </t>
  </si>
  <si>
    <t>Rafractory which are Included in respective BQ (1(a), 1(b), 1(c ))</t>
  </si>
  <si>
    <t>30% of BQ cost - M/s PW (1 (a)),(D&amp;E @7.5% and Erec @12% deducted)</t>
  </si>
  <si>
    <t>30% of the BQ cost is only for M/s Paul Wurth &amp; M/s Primetals. No data for M/s DC</t>
  </si>
  <si>
    <t>30% of BQ cost - M/s PM (1 (b)),(D&amp;E @7.5%  deducted)</t>
  </si>
  <si>
    <t>Refractory which are not Included in respective BQ (1(a), 1(b), 1(c ))</t>
  </si>
  <si>
    <t>No exclusion for Refractory by all the 3 parties</t>
  </si>
  <si>
    <t>Refractory cost in included in BQ cost by all parties.</t>
  </si>
  <si>
    <t>Sub-total (Refractory)</t>
  </si>
  <si>
    <t>STRUCTURES</t>
  </si>
  <si>
    <t>Technological Structure which are Included in respective BQ (1(a), 1(c ))</t>
  </si>
  <si>
    <r>
      <rPr>
        <sz val="11"/>
        <color rgb="FF0000FF"/>
        <rFont val="Arial"/>
        <family val="2"/>
      </rPr>
      <t>5% of BQ cost - M/s PW (1 (a))</t>
    </r>
    <r>
      <rPr>
        <sz val="11"/>
        <color rgb="FFFF0000"/>
        <rFont val="Arial"/>
        <family val="2"/>
      </rPr>
      <t>, (D&amp;E @7.5% and Erec @20% deducted)</t>
    </r>
  </si>
  <si>
    <t xml:space="preserve">This is only for M/s Paul Wurth 1(a). No data for M/s DC 1(c) </t>
  </si>
  <si>
    <t>Technological Structure which are not Included in BQ 1(b)</t>
  </si>
  <si>
    <t>Structural jobs excluded in the offer of M/s PM 1(b). Estimated quantity based on 4th stove of B.F 5, RSP</t>
  </si>
  <si>
    <t>This is only for M/s Primetals as they have taken exclusions 1(b)</t>
  </si>
  <si>
    <t>Sub-total (Tech. Str.)</t>
  </si>
  <si>
    <t>Building Structure which are Included in respective BQ (1(a), 1(c ))</t>
  </si>
  <si>
    <t>Building Structure which are not Included in BQ 1(b)</t>
  </si>
  <si>
    <t>Structural jobs excluded in the offer of M/s PM 1(b). Estimated quantity based on 4th stove of B.F 5, RSP.</t>
  </si>
  <si>
    <t>Sub-total (Bldg. Str.)</t>
  </si>
  <si>
    <t>Civil Works for Equipment Foundation which are Included in respective BQ (1(a), 1(c ))</t>
  </si>
  <si>
    <r>
      <rPr>
        <sz val="11"/>
        <color rgb="FF0000FF"/>
        <rFont val="Arial"/>
        <family val="2"/>
      </rPr>
      <t>5% of BQ cost - M/s PW (1 (a))</t>
    </r>
    <r>
      <rPr>
        <sz val="11"/>
        <color rgb="FFFF0000"/>
        <rFont val="Arial"/>
        <family val="2"/>
      </rPr>
      <t>, (D&amp;E @7.5% deducted)</t>
    </r>
  </si>
  <si>
    <t>Civil Works for Equipment Foundation which are not Included in BQ 1(b)</t>
  </si>
  <si>
    <t>Civil jobs excluded in the offer of M/s PM 1(b). Estimated quantity given below.</t>
  </si>
  <si>
    <r>
      <t>m</t>
    </r>
    <r>
      <rPr>
        <vertAlign val="superscript"/>
        <sz val="11"/>
        <rFont val="Arial"/>
        <family val="2"/>
      </rPr>
      <t>3</t>
    </r>
  </si>
  <si>
    <t>2.6+2.25x(0.9)</t>
  </si>
  <si>
    <t xml:space="preserve">PCC M-10 </t>
  </si>
  <si>
    <t>4.1.6+1*4.3.1</t>
  </si>
  <si>
    <t>RCC M-25C</t>
  </si>
  <si>
    <t>0.39x5.33.1+0.61x5.332+5x5.9.1</t>
  </si>
  <si>
    <t>5.22.6</t>
  </si>
  <si>
    <t xml:space="preserve">Insert </t>
  </si>
  <si>
    <t>Brick on edge Soiling for Apron</t>
  </si>
  <si>
    <r>
      <t>m</t>
    </r>
    <r>
      <rPr>
        <vertAlign val="superscript"/>
        <sz val="11"/>
        <rFont val="Arial"/>
        <family val="2"/>
      </rPr>
      <t>2</t>
    </r>
  </si>
  <si>
    <t>11.1.2</t>
  </si>
  <si>
    <t>Boulder Soiling for grade floor</t>
  </si>
  <si>
    <t>16.11/0.225</t>
  </si>
  <si>
    <t>Brick Work</t>
  </si>
  <si>
    <t>6.4.2</t>
  </si>
  <si>
    <t>Outside Plater-20 thk</t>
  </si>
  <si>
    <t>13.3.2</t>
  </si>
  <si>
    <t>Inside Plaster-15 thk.</t>
  </si>
  <si>
    <t>13.2.2.</t>
  </si>
  <si>
    <t>Ceiling Plaster-6 thk.</t>
  </si>
  <si>
    <t>Roof Teatment</t>
  </si>
  <si>
    <t>14.91.1x(4/3)</t>
  </si>
  <si>
    <t>Doors, windows, Ventilators</t>
  </si>
  <si>
    <t>10.5.1</t>
  </si>
  <si>
    <t>Exterior Emulsion</t>
  </si>
  <si>
    <t>13.46.1</t>
  </si>
  <si>
    <t>Interior Emulsion</t>
  </si>
  <si>
    <t>Floor Finish-IPS</t>
  </si>
  <si>
    <t>Civil Works for other than Equipment Foundation which are Included in respective BQ (1(a), 1(c ))</t>
  </si>
  <si>
    <t>Civil Works for other than Equipment Foundation which are not Included in BQ 1(b)</t>
  </si>
  <si>
    <t>Grout</t>
  </si>
  <si>
    <t>Misc. Jobs</t>
  </si>
  <si>
    <t>Sub-Total (Civil-Other)</t>
  </si>
  <si>
    <t>Civil works</t>
  </si>
  <si>
    <t>In general dismantling not required.</t>
  </si>
  <si>
    <t xml:space="preserve">Common data for 1(a), 1(b) &amp; 1(c) </t>
  </si>
  <si>
    <t>Dismantling of structures(Lumsum)</t>
  </si>
  <si>
    <t xml:space="preserve">t </t>
  </si>
  <si>
    <t>Hot blast main dished end + Thrust collar + tie rods</t>
  </si>
  <si>
    <t>Expansion joint</t>
  </si>
  <si>
    <t>Sub-Total (Dismtl.)</t>
  </si>
  <si>
    <t>Special Erection (Crane Cost) if any</t>
  </si>
  <si>
    <t>Not required as per cost committee meeting of 4th stove of B.F 5, RSP dt. 16.10.2021</t>
  </si>
  <si>
    <t>Foregn Supervision</t>
  </si>
  <si>
    <t>Not required.</t>
  </si>
  <si>
    <t>Foreign Traling</t>
  </si>
  <si>
    <t>Not required</t>
  </si>
  <si>
    <t>Not applicable as only 3 stoves at a time will run in cylcic mode.</t>
  </si>
  <si>
    <t>Note: as per guidelines given by CTE vide e-mail dated 30.01.2022, letters given to all the 3 parties for comply vide mail dt 31.01.2022. Reply from M/s Paul Wurth has only received till date.</t>
  </si>
  <si>
    <t>Civil works under exclusion (M/s PM 1(b))</t>
  </si>
  <si>
    <r>
      <t>1)</t>
    </r>
    <r>
      <rPr>
        <b/>
        <sz val="11"/>
        <color rgb="FF0000FF"/>
        <rFont val="Times New Roman"/>
        <family val="1"/>
      </rPr>
      <t xml:space="preserve">      </t>
    </r>
    <r>
      <rPr>
        <b/>
        <sz val="11"/>
        <color rgb="FF0000FF"/>
        <rFont val="Calibri"/>
        <family val="2"/>
      </rPr>
      <t>Grout = 6.0 Cum,</t>
    </r>
  </si>
  <si>
    <t>DSR Code= item no. 1219 page -19</t>
  </si>
  <si>
    <t>Basic cost of material =                                  Rs. 28/ kg.</t>
  </si>
  <si>
    <t>Consumption of material as per datasheet of Sika, Fosroc etc. is about 2000kg/cum</t>
  </si>
  <si>
    <t>Cost of material for 1 cum =                                        Rs. 56000</t>
  </si>
  <si>
    <t>Add 11% toward labour, machinery etc.                =             Rs.6160</t>
  </si>
  <si>
    <t>Water charges @ 1%=                                                    Rs.560</t>
  </si>
  <si>
    <t>Total=                                                                                   Rs. 62720</t>
  </si>
  <si>
    <t>CPOH @ 15% =                                                                  Rs. 9408</t>
  </si>
  <si>
    <r>
      <t xml:space="preserve">Total =                                                                                  Rs. 72128/ Cum SAY Rs. </t>
    </r>
    <r>
      <rPr>
        <b/>
        <sz val="11"/>
        <color rgb="FF0000FF"/>
        <rFont val="Calibri"/>
        <family val="2"/>
      </rPr>
      <t>73000/cum.</t>
    </r>
    <r>
      <rPr>
        <sz val="11"/>
        <color rgb="FF0000FF"/>
        <rFont val="Calibri"/>
        <family val="2"/>
      </rPr>
      <t xml:space="preserve"> </t>
    </r>
  </si>
  <si>
    <t>(analysis is done in line with DAR of DSR and hence is inclusive of GST)</t>
  </si>
  <si>
    <r>
      <t>2)</t>
    </r>
    <r>
      <rPr>
        <sz val="11"/>
        <color rgb="FF0000FF"/>
        <rFont val="Times New Roman"/>
        <family val="1"/>
      </rPr>
      <t xml:space="preserve">      </t>
    </r>
    <r>
      <rPr>
        <sz val="11"/>
        <color rgb="FF0000FF"/>
        <rFont val="Calibri"/>
        <family val="2"/>
      </rPr>
      <t xml:space="preserve">Miscl. Jobs </t>
    </r>
    <r>
      <rPr>
        <b/>
        <sz val="11"/>
        <color rgb="FF0000FF"/>
        <rFont val="Calibri"/>
        <family val="2"/>
      </rPr>
      <t>= Rs. 5 Lakhs (LS)- Engineering estimate</t>
    </r>
    <r>
      <rPr>
        <sz val="11"/>
        <color rgb="FF0000FF"/>
        <rFont val="Calibri"/>
        <family val="2"/>
      </rPr>
      <t xml:space="preserve"> </t>
    </r>
  </si>
  <si>
    <t>(cleaning &amp; clearing the site, drilling hole &amp; fixing stub bars for RCC pedestals, any unforeseen RCC foundations, if required.)</t>
  </si>
  <si>
    <t>3) New Hydraulic room (size 10mX7mX4m(h))</t>
  </si>
  <si>
    <t>Total Qty</t>
  </si>
  <si>
    <t>Equip.</t>
  </si>
  <si>
    <t>DSR-2018 Code</t>
  </si>
  <si>
    <t>DSR Rate</t>
  </si>
  <si>
    <t>Qty</t>
  </si>
  <si>
    <t>=</t>
  </si>
  <si>
    <r>
      <t>m</t>
    </r>
    <r>
      <rPr>
        <vertAlign val="superscript"/>
        <sz val="11"/>
        <color rgb="FF0000FF"/>
        <rFont val="Calibri"/>
        <family val="2"/>
      </rPr>
      <t>3</t>
    </r>
  </si>
  <si>
    <t>0.39x5.33.1+</t>
  </si>
  <si>
    <t>0.61x5.332+5x5.9.1</t>
  </si>
  <si>
    <r>
      <t>m</t>
    </r>
    <r>
      <rPr>
        <vertAlign val="superscript"/>
        <sz val="11"/>
        <color rgb="FF0000FF"/>
        <rFont val="Calibri"/>
        <family val="2"/>
      </rPr>
      <t>2</t>
    </r>
  </si>
  <si>
    <r>
      <t xml:space="preserve">BQ </t>
    </r>
    <r>
      <rPr>
        <b/>
        <sz val="11"/>
        <color rgb="FF0000FF"/>
        <rFont val="Arial"/>
        <family val="2"/>
      </rPr>
      <t>Paul Wurth (PW)</t>
    </r>
    <r>
      <rPr>
        <sz val="11"/>
        <color indexed="8"/>
        <rFont val="Arial"/>
        <family val="2"/>
      </rPr>
      <t xml:space="preserve"> dtd 30.12.2021 validity of BQ upto March 2022  dated 25.01.2022 (D&amp;E @7.5% and Erec @12% deducted), Discounted by 25%</t>
    </r>
  </si>
  <si>
    <r>
      <t>2.</t>
    </r>
    <r>
      <rPr>
        <sz val="11"/>
        <color rgb="FF0000FF"/>
        <rFont val="Arial"/>
        <family val="2"/>
      </rPr>
      <t>5% of BQ cost - M/s PW (1 (a))</t>
    </r>
    <r>
      <rPr>
        <sz val="11"/>
        <color rgb="FFFF0000"/>
        <rFont val="Arial"/>
        <family val="2"/>
      </rPr>
      <t>, (D&amp;E @7.5% deducted)</t>
    </r>
  </si>
  <si>
    <t>Cap Cost=</t>
  </si>
  <si>
    <t>Boulder Soling</t>
  </si>
  <si>
    <t>Sqm</t>
  </si>
  <si>
    <t>Nos</t>
  </si>
  <si>
    <t>Nos.</t>
  </si>
  <si>
    <t>a.</t>
  </si>
  <si>
    <t>b.</t>
  </si>
  <si>
    <t xml:space="preserve">2.5% for owner, 5.0% for contractor </t>
  </si>
  <si>
    <t>Mechanical</t>
  </si>
  <si>
    <t>Technological Equipments</t>
  </si>
  <si>
    <t>Utilities</t>
  </si>
  <si>
    <t>Electrical</t>
  </si>
  <si>
    <t>Process Control and Automation</t>
  </si>
  <si>
    <t>C&amp;IT</t>
  </si>
  <si>
    <t>Technological Structure</t>
  </si>
  <si>
    <t>Building Structure</t>
  </si>
  <si>
    <t>Civil Eq Foundation</t>
  </si>
  <si>
    <t>Civil others</t>
  </si>
  <si>
    <t>2) Details of  POs referred</t>
  </si>
  <si>
    <t>Contract of Acme automation at BSL-T&amp;C(M)/A6171/PP/476 for installation of 33 Electronic WF at Sinter plant dt. 17.01.2020</t>
  </si>
  <si>
    <t>33 electronic weigh feeder of different capacity. Individual cost of BWF of different capacity is not provided in contract.</t>
  </si>
  <si>
    <t>Not considered</t>
  </si>
  <si>
    <t>PO of M/s Schenk for beltweigh scale of 1000 TPH with PO no. 313103061140/0001 dt: 19.04.2014</t>
  </si>
  <si>
    <t>Beltweigh scale of 1000 TPH</t>
  </si>
  <si>
    <t>GM &amp; I/c (CTE)-Convenor</t>
  </si>
  <si>
    <t>ix</t>
  </si>
  <si>
    <t>Mr. R. Kashyap</t>
  </si>
  <si>
    <t>Sr. Mgr. (Proj-CTE)</t>
  </si>
  <si>
    <t>DURGAPUR STEEL PLANT</t>
  </si>
  <si>
    <t>Bench Vice</t>
  </si>
  <si>
    <t>M</t>
  </si>
  <si>
    <t>Naphthalene Recovery Plant</t>
  </si>
  <si>
    <t>Tech. Structure</t>
  </si>
  <si>
    <t>PCC M10</t>
  </si>
  <si>
    <t>RCC-M25</t>
  </si>
  <si>
    <t>MT</t>
  </si>
  <si>
    <t>Inserts</t>
  </si>
  <si>
    <t>RCC/PCC Dismantling</t>
  </si>
  <si>
    <t>Rm</t>
  </si>
  <si>
    <t>Piling (600 dia)</t>
  </si>
  <si>
    <t>Non-Shrink Grout</t>
  </si>
  <si>
    <t>IPS Flooring</t>
  </si>
  <si>
    <t>Brickwork -full brick</t>
  </si>
  <si>
    <t>20mm thk plaster</t>
  </si>
  <si>
    <t>15mm thk plaster</t>
  </si>
  <si>
    <t>6mm thk plaster</t>
  </si>
  <si>
    <t>Weatherproof paint</t>
  </si>
  <si>
    <t>Whitewashing</t>
  </si>
  <si>
    <t>APP</t>
  </si>
  <si>
    <t>Steel Doors</t>
  </si>
  <si>
    <t>Windows</t>
  </si>
  <si>
    <t>False floor</t>
  </si>
  <si>
    <t>DPC</t>
  </si>
  <si>
    <t>Plinth Protection</t>
  </si>
  <si>
    <t>False Ceiling</t>
  </si>
  <si>
    <t>Diamond Wire Saw cutting</t>
  </si>
  <si>
    <t>Vibration Isolation System (Spring)</t>
  </si>
  <si>
    <t>Rupees</t>
  </si>
  <si>
    <t>PVC tiles</t>
  </si>
  <si>
    <t>SS inserts</t>
  </si>
  <si>
    <t>refrractory</t>
  </si>
  <si>
    <t>Rail</t>
  </si>
  <si>
    <t>HR casting</t>
  </si>
  <si>
    <t>Utility</t>
  </si>
  <si>
    <t>MS Pipe (gas)</t>
  </si>
  <si>
    <t xml:space="preserve">MS Pipe (water) </t>
  </si>
  <si>
    <t>CI Pipe</t>
  </si>
  <si>
    <t>Steam Pipe</t>
  </si>
  <si>
    <t>Structure, support</t>
  </si>
  <si>
    <t>MS compensator, water seal</t>
  </si>
  <si>
    <t>Fabricated MS Item</t>
  </si>
  <si>
    <t>SS Item</t>
  </si>
  <si>
    <t>Quantity</t>
  </si>
  <si>
    <t>Rate</t>
  </si>
  <si>
    <t>Hydrojet Cleaner</t>
  </si>
  <si>
    <t>Battery operated vehicle</t>
  </si>
  <si>
    <t>Rail tracks Laying</t>
  </si>
  <si>
    <t>Rail tracks Dismantling</t>
  </si>
  <si>
    <t>Roughing and grinding machine</t>
  </si>
  <si>
    <t>Drilling Machine</t>
  </si>
  <si>
    <t>Pusher side &amp; Coke side service platform of Refractory Paving in place of Cast Iron Paving</t>
  </si>
  <si>
    <t>HRC M30</t>
  </si>
  <si>
    <t xml:space="preserve">Civil works </t>
  </si>
  <si>
    <t>Coveyor galleries  new fabrication</t>
  </si>
  <si>
    <t xml:space="preserve">NRU basis changed to BQ from Engg estimate resulting in differnce </t>
  </si>
  <si>
    <t xml:space="preserve">Conveyor galleries dismantling  </t>
  </si>
  <si>
    <t>Underslung crane inplace of manual winch</t>
  </si>
  <si>
    <t xml:space="preserve">Upgradation of rail </t>
  </si>
  <si>
    <t>Scope Change from R0 to R1</t>
  </si>
  <si>
    <t>Electrical Addition</t>
  </si>
  <si>
    <t>Electrical Deletion</t>
  </si>
  <si>
    <t>Sub Total (Equ.+ Structure + Refractory)</t>
  </si>
  <si>
    <t>Heating up &amp; commisioning (3600 mandays)</t>
  </si>
  <si>
    <t>Equipment erection</t>
  </si>
  <si>
    <t>Inspection (1940 mandays) ,</t>
  </si>
  <si>
    <t xml:space="preserve"> Post Commisioning(3600 mandays)</t>
  </si>
  <si>
    <t>Erection/Ton</t>
  </si>
  <si>
    <t>: 18.05.2022</t>
  </si>
  <si>
    <t>: 04/DE/4747</t>
  </si>
  <si>
    <t>DSR 2021</t>
  </si>
  <si>
    <t>CGM &amp; I/ c (Projects and C&amp; S) -Chairman</t>
  </si>
  <si>
    <t>CGM (PC&amp;A, Elec., C&amp; IT)</t>
  </si>
  <si>
    <t>Mr. Anup Kumar</t>
  </si>
  <si>
    <t>Mr. M. Choudhary</t>
  </si>
  <si>
    <t xml:space="preserve">CGM  (I&amp;S, Steel, Rolling Mills and C.C &amp;C) </t>
  </si>
  <si>
    <t>Mr. Shalabh Sharma</t>
  </si>
  <si>
    <t>CGM (Projects-PFC, BE, CTE, C&amp;C &amp; IPSS)</t>
  </si>
  <si>
    <t>Mr. S. Bhattacharjee</t>
  </si>
  <si>
    <t>GM &amp; I/c (C.C.&amp;C.)</t>
  </si>
  <si>
    <t>Ms. Jyoti Dayal</t>
  </si>
  <si>
    <t>GM (C.C.&amp;C.)</t>
  </si>
  <si>
    <t>AGM (Proj-CTE)</t>
  </si>
  <si>
    <t>Equipment + Tech structure</t>
  </si>
  <si>
    <t xml:space="preserve"> Committee discussed on BOQ along with cost &amp; supporting documents submitted by TFL and concerned TFM members .</t>
  </si>
  <si>
    <t>a)</t>
  </si>
  <si>
    <t>b)</t>
  </si>
  <si>
    <t>c)</t>
  </si>
  <si>
    <t>d)</t>
  </si>
  <si>
    <t>e)</t>
  </si>
  <si>
    <t>Capital cost estimate net of ITC for the subject project during previous issue of capital cost (base date 3rd Quarter 2020) =</t>
  </si>
  <si>
    <t>(Rs. in Crore)</t>
  </si>
  <si>
    <t>Estimate considered during previous issue of capital cost (base date 3rd Quarter 2020)=</t>
  </si>
  <si>
    <t>Amount (Rs. in Lakh)</t>
  </si>
  <si>
    <t>Total (Rs. In Cr)</t>
  </si>
  <si>
    <t>Amt (Rs. in Lakh)</t>
  </si>
  <si>
    <t>Electrical exhauster of Howden make</t>
  </si>
  <si>
    <t>Spares for electrical exhauster</t>
  </si>
  <si>
    <t>BQ of M/s paul worth  dated 27.01.2022</t>
  </si>
  <si>
    <t>10% to civil</t>
  </si>
  <si>
    <t>BQ of M/s Hutni Projekt Frydek Mistek (HPFM) and HPIL dtd 18.11.2021</t>
  </si>
  <si>
    <t>BQ of M/s Hutni Projeckt India Ltd.  dtd 15.03.2023</t>
  </si>
  <si>
    <t>BQ of M/s Hutni Projeckt India Ltd.  dtd 15.03.2022</t>
  </si>
  <si>
    <t>12000000 Euro</t>
  </si>
  <si>
    <t>f)</t>
  </si>
  <si>
    <t>g)</t>
  </si>
  <si>
    <t>h)</t>
  </si>
  <si>
    <t>i)</t>
  </si>
  <si>
    <r>
      <rPr>
        <b/>
        <sz val="16"/>
        <rFont val="Times New Roman"/>
        <family val="1"/>
      </rPr>
      <t>vi. </t>
    </r>
    <r>
      <rPr>
        <sz val="16"/>
        <rFont val="Times New Roman"/>
        <family val="1"/>
      </rPr>
      <t>       Implementation schedule : 37 months (from stage-II approval). Cost committee noted that implementation schedule was 30 months from stage-II during previous capital cost estimation</t>
    </r>
  </si>
  <si>
    <t>Civil works cost has been prepared on the basis of DSR 2021. Cost committee noted that cost of civil works in previous capital cost estimation was based on DSR 2018.</t>
  </si>
  <si>
    <t>Refractory cost is based on various latest BQs with escalation for time lapse. Cost committee delibrated to knockdown  Silica bricks &amp; Mortar cost by 15% which is based on BQ of M/s OCL Dalmia Refractories dated 31.12.2021 as it's cost appeared on higher side.</t>
  </si>
  <si>
    <t xml:space="preserve">The committee noted that the previous Capital cost estimate for subject project was Rs. 390.46 Cr net of ITC ( base date of 3rd Quarter 2020) which was based primarily on Engineering estimates,  BQs/POs.  However, a large part of the engineering estimate was based on previous projects of rebuilding of COB with suitable escalations. </t>
  </si>
  <si>
    <t>Engineering Estimate /BQs/POs</t>
  </si>
  <si>
    <t xml:space="preserve"> For supply cost of equipment, BQ, PO &amp; engg estimates for the equipment mentioned at Sl. No. a ,b,c &amp; e have been considered.  Cost review committee noted that as per practice for coke oven battery, capital cost estimate for the subject project has been prepared primarily on the basis of engineering estimate. However, a large part of the engg est is based on recently ordered values of COB#2, RSP and capital cost estimate for COB#6 at BSL ( 02/4099, Cost Committee  on 08.09.2021) with suitable escalations. </t>
  </si>
  <si>
    <t>Erection cost of refractory is based on engineering estimate instead of normative provisions. Rate of Inspection of refractory is considered as Rs.10000/Manday for 1940 mandays and rate of refractory erection is considered Rs. 6500/Ton.</t>
  </si>
  <si>
    <t>J)</t>
  </si>
  <si>
    <t>k)</t>
  </si>
  <si>
    <t>Oven machines (Pkg-2) cost are based on  discussion of TFM (Mech.) held with M/s BEC. It concluded that rate should be about 35% raised over order price for COB#2, RSP Oven machines. As the order price of RSP is above 10% more than estimate hence, the cost committee decided to increase basic rate  for subject project  by 45%  over rate considered for  COB#2 RSP.</t>
  </si>
  <si>
    <t>l)</t>
  </si>
  <si>
    <t>m)</t>
  </si>
  <si>
    <t>Cost committee considered structure/pipes rate as prevailing market rate. Rate for Heat resistant casting is based on lead section discussion with M/s Mecon.</t>
  </si>
  <si>
    <t>Electrical cost estimation is based on engg estimate based on  BQs/Pos  and M/s. Havells price list of DEC-2021(with 20 % discount).</t>
  </si>
  <si>
    <t>P.C.&amp;A. cost estimation considered engg. Estimate , recent BQs with 10% discount and previous BQs/POs with suitable escalation on the basis of WPI (all commodities).</t>
  </si>
  <si>
    <t>Cost committee noted that  after accounting for change in scope and its associated cost, basic cost escalation due to time lapse is about 43% considering the current market scenario and location fator from previous issue of capital cost (base date 3rd Quarter 2020).</t>
  </si>
  <si>
    <t>Annexure to MOM dated 18.05.2021</t>
  </si>
  <si>
    <r>
      <t xml:space="preserve">vii.        </t>
    </r>
    <r>
      <rPr>
        <b/>
        <u/>
        <sz val="16"/>
        <color indexed="8"/>
        <rFont val="Times New Roman"/>
        <family val="1"/>
      </rPr>
      <t>Capital cost estimate:</t>
    </r>
  </si>
  <si>
    <t xml:space="preserve"> Based on BQs</t>
  </si>
  <si>
    <t>Mr. Ajay Kumar</t>
  </si>
  <si>
    <t>CGM (Mechanical and U&amp;S)</t>
  </si>
  <si>
    <t>Normative+add. Prov. for heating etc</t>
  </si>
  <si>
    <t>Impact on total basic cost due to change in scope of subject project from previous estimate of capital cost is Rs. 60.58 Cr. Details of change in scope and its impact on basic cost is attached.</t>
  </si>
  <si>
    <t>Rs. 5.04 Cr over and above normative provisions has been considered towards equipment erection for heating up, commissioning and post commissioning charges.</t>
  </si>
  <si>
    <t xml:space="preserve">Technological Structure </t>
  </si>
  <si>
    <t>: Revised Capital Cost Estimate &amp; Techno-Economics (R1)</t>
  </si>
  <si>
    <t xml:space="preserve">Design &amp; Engineering </t>
  </si>
  <si>
    <t>Civil Engineering Work including all related supplies- Others</t>
  </si>
  <si>
    <t xml:space="preserve">Storage, Handling, Erection (including dismantling ) of Plant &amp; Equipments &amp; Refractories including Commisioning and PG tests of the facilities </t>
  </si>
  <si>
    <t>Storage, Handling and Erection of Building Steel Structures</t>
  </si>
  <si>
    <r>
      <rPr>
        <b/>
        <u/>
        <sz val="12"/>
        <rFont val="Arial"/>
        <family val="2"/>
      </rPr>
      <t>Foreign</t>
    </r>
    <r>
      <rPr>
        <sz val="12"/>
        <rFont val="Arial"/>
        <family val="2"/>
      </rPr>
      <t xml:space="preserve"> Supervision charges in India during erection, startup, commissioning and PG test </t>
    </r>
    <r>
      <rPr>
        <b/>
        <sz val="12"/>
        <rFont val="Arial"/>
        <family val="2"/>
      </rPr>
      <t>for ____mandays</t>
    </r>
  </si>
  <si>
    <t>Training charges:                                                                    (a) For ___________ Foreign mandays,                                                   (b) For ___________Indian mandays</t>
  </si>
  <si>
    <t xml:space="preserve">Customs, Port clearance (excluding duties &amp; cess to be paid by Employer) and Inland transportation (for all items quoted in foreign currency) </t>
  </si>
  <si>
    <t>Supply of 2 years O &amp; M spares</t>
  </si>
  <si>
    <t>Sub-total (15)</t>
  </si>
  <si>
    <t xml:space="preserve">PRICE BID EVALUATION </t>
  </si>
  <si>
    <t>Comparative statement of the quoted prices w.r.t. estimate</t>
  </si>
  <si>
    <t>Estimate</t>
  </si>
  <si>
    <t>Original Price</t>
  </si>
  <si>
    <t>Variation w.r.t. Estimate (in %)</t>
  </si>
  <si>
    <t xml:space="preserve">Ranking </t>
  </si>
  <si>
    <t>M/s GPK</t>
  </si>
  <si>
    <t>FC (Euro)</t>
  </si>
  <si>
    <t>M/s CUI</t>
  </si>
  <si>
    <t>M/s BEC</t>
  </si>
  <si>
    <t>Equivalent ₹ (Crore)</t>
  </si>
  <si>
    <t>LC ₹ (Crore)</t>
  </si>
  <si>
    <t>FC+LC (₹ Crore)</t>
  </si>
  <si>
    <t>Total (₹ Crore)</t>
  </si>
  <si>
    <t>Included</t>
  </si>
  <si>
    <t>Total Evaluated Price (14 to 15)</t>
  </si>
  <si>
    <t>Total Evaluated Price net of ITC on GST</t>
  </si>
  <si>
    <t>Consortium decrement (Euro)</t>
  </si>
  <si>
    <t>L1</t>
  </si>
  <si>
    <t>L2</t>
  </si>
  <si>
    <t>Consortium decrement (₹ Crore)</t>
  </si>
  <si>
    <t>Mecon decrement (₹ Crore)</t>
  </si>
  <si>
    <t>LC (₹ Crore)</t>
  </si>
  <si>
    <t>BEC &amp; Consortium</t>
  </si>
  <si>
    <t>Final Price after decrement</t>
  </si>
  <si>
    <t>Rebuilding of COB#4 (Package-1, Battery Proper)</t>
  </si>
  <si>
    <t xml:space="preserve"> MECON Limited</t>
  </si>
  <si>
    <t xml:space="preserve">Final Price after decrement </t>
  </si>
  <si>
    <t>1 Euro=</t>
  </si>
  <si>
    <t>Total Quoted Price (1 to 13)</t>
  </si>
  <si>
    <t>Ref. No.: CET-17(4)/4747/159</t>
  </si>
  <si>
    <t>Date: 14.07.2023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</si>
</sst>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3" formatCode="_ * #,##0.00_ ;_ * \-#,##0.00_ ;_ * &quot;-&quot;??_ ;_ @_ "/>
    <numFmt numFmtId="164" formatCode="&quot;$&quot;#,##0_);[Red]\(&quot;$&quot;#,##0\)"/>
    <numFmt numFmtId="165" formatCode="_(* #,##0.00_);_(* \(#,##0.00\);_(* &quot;-&quot;??_);_(@_)"/>
    <numFmt numFmtId="166" formatCode="0.00_)"/>
    <numFmt numFmtId="167" formatCode="0_)"/>
    <numFmt numFmtId="168" formatCode="0.0%"/>
    <numFmt numFmtId="169" formatCode="0.000_)"/>
    <numFmt numFmtId="170" formatCode="0.0_)"/>
    <numFmt numFmtId="171" formatCode="0.0000_)"/>
    <numFmt numFmtId="172" formatCode="&quot;Rs&quot;#,##0.00_);[Red]\(&quot;Rs&quot;#,##0.00\)"/>
    <numFmt numFmtId="173" formatCode="0.00000_)"/>
    <numFmt numFmtId="174" formatCode="&quot;₹&quot;\ #,##0.00"/>
    <numFmt numFmtId="175" formatCode="[$€-2]\ #,##0"/>
    <numFmt numFmtId="176" formatCode="[$$-409]#,##0"/>
    <numFmt numFmtId="177" formatCode="0.000000_)"/>
    <numFmt numFmtId="178" formatCode="_-* #,##0_-;\-* #,##0_-;_-* &quot;-&quot;??_-;_-@_-"/>
    <numFmt numFmtId="179" formatCode="0.0"/>
    <numFmt numFmtId="180" formatCode="[$CAD]\ #,##0;\-[$CAD]\ #,##0"/>
    <numFmt numFmtId="181" formatCode="0.000"/>
    <numFmt numFmtId="182" formatCode="_ * #,##0_ ;_ * \-#,##0_ ;_ * &quot;-&quot;??_ ;_ @_ "/>
    <numFmt numFmtId="183" formatCode="0.0000"/>
    <numFmt numFmtId="184" formatCode="#,##0.0000"/>
    <numFmt numFmtId="185" formatCode="_(* #,##0.0000_);_(* \(#,##0.0000\);_(* &quot;-&quot;????_);_(@_)"/>
    <numFmt numFmtId="186" formatCode="0.0000000_)"/>
    <numFmt numFmtId="187" formatCode="0.0000000"/>
    <numFmt numFmtId="188" formatCode="[$₹-4009]\ #,##0.0000"/>
    <numFmt numFmtId="189" formatCode="0.00000000000"/>
  </numFmts>
  <fonts count="126"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2"/>
      <name val="Arial"/>
      <family val="2"/>
    </font>
    <font>
      <b/>
      <sz val="12"/>
      <name val="Arial"/>
      <family val="2"/>
    </font>
    <font>
      <b/>
      <sz val="12"/>
      <name val="Arial"/>
      <family val="2"/>
    </font>
    <font>
      <sz val="14"/>
      <name val="Arial"/>
      <family val="2"/>
    </font>
    <font>
      <sz val="12"/>
      <name val="Arial"/>
      <family val="2"/>
    </font>
    <font>
      <b/>
      <sz val="10"/>
      <name val="Arial"/>
      <family val="2"/>
    </font>
    <font>
      <b/>
      <u/>
      <sz val="12"/>
      <name val="Arial"/>
      <family val="2"/>
    </font>
    <font>
      <b/>
      <sz val="14"/>
      <name val="Arial"/>
      <family val="2"/>
    </font>
    <font>
      <b/>
      <sz val="12"/>
      <name val="Times New Roman"/>
      <family val="1"/>
    </font>
    <font>
      <sz val="12"/>
      <name val="Times New Roman"/>
      <family val="1"/>
    </font>
    <font>
      <b/>
      <i/>
      <sz val="12"/>
      <name val="Arial"/>
      <family val="2"/>
    </font>
    <font>
      <sz val="14"/>
      <color indexed="8"/>
      <name val="Arial"/>
      <family val="2"/>
    </font>
    <font>
      <b/>
      <sz val="10"/>
      <color indexed="8"/>
      <name val="Arial"/>
      <family val="2"/>
    </font>
    <font>
      <b/>
      <sz val="14"/>
      <color indexed="8"/>
      <name val="Arial"/>
      <family val="2"/>
    </font>
    <font>
      <sz val="12"/>
      <color indexed="8"/>
      <name val="Arial"/>
      <family val="2"/>
    </font>
    <font>
      <b/>
      <sz val="12"/>
      <color indexed="8"/>
      <name val="Arial"/>
      <family val="2"/>
    </font>
    <font>
      <sz val="8"/>
      <name val="Arial"/>
      <family val="2"/>
    </font>
    <font>
      <b/>
      <sz val="14"/>
      <name val="Times New Roman"/>
      <family val="1"/>
    </font>
    <font>
      <sz val="12"/>
      <name val="Arial"/>
      <family val="2"/>
    </font>
    <font>
      <sz val="12"/>
      <color rgb="FF00B050"/>
      <name val="Arial"/>
      <family val="2"/>
    </font>
    <font>
      <sz val="16"/>
      <name val="Times New Roman"/>
      <family val="1"/>
    </font>
    <font>
      <b/>
      <u/>
      <sz val="16"/>
      <name val="Times New Roman"/>
      <family val="1"/>
    </font>
    <font>
      <b/>
      <sz val="16"/>
      <name val="Times New Roman"/>
      <family val="1"/>
    </font>
    <font>
      <b/>
      <sz val="16"/>
      <color rgb="FF000000"/>
      <name val="Times New Roman"/>
      <family val="1"/>
    </font>
    <font>
      <b/>
      <u/>
      <sz val="16"/>
      <color indexed="8"/>
      <name val="Times New Roman"/>
      <family val="1"/>
    </font>
    <font>
      <b/>
      <sz val="12"/>
      <color rgb="FF000000"/>
      <name val="Times New Roman"/>
      <family val="1"/>
    </font>
    <font>
      <sz val="16"/>
      <color rgb="FF000000"/>
      <name val="Times New Roman"/>
      <family val="1"/>
    </font>
    <font>
      <sz val="10"/>
      <color theme="1"/>
      <name val="Arial"/>
      <family val="2"/>
    </font>
    <font>
      <sz val="14"/>
      <color rgb="FF000000"/>
      <name val="Times New Roman"/>
      <family val="1"/>
    </font>
    <font>
      <b/>
      <u/>
      <sz val="16"/>
      <color rgb="FF000000"/>
      <name val="Times New Roman"/>
      <family val="1"/>
    </font>
    <font>
      <sz val="11"/>
      <name val="Arial"/>
      <family val="2"/>
    </font>
    <font>
      <b/>
      <sz val="11"/>
      <name val="Arial"/>
      <family val="2"/>
    </font>
    <font>
      <sz val="16"/>
      <name val="Arial"/>
      <family val="2"/>
    </font>
    <font>
      <sz val="14"/>
      <color theme="1"/>
      <name val="Times New Roman"/>
      <family val="1"/>
    </font>
    <font>
      <sz val="14"/>
      <name val="Times New Roman"/>
      <family val="1"/>
    </font>
    <font>
      <sz val="10"/>
      <color theme="1"/>
      <name val="Times New Roman"/>
      <family val="1"/>
    </font>
    <font>
      <sz val="12"/>
      <color theme="1"/>
      <name val="Arial"/>
      <family val="2"/>
    </font>
    <font>
      <sz val="11"/>
      <color rgb="FFFF0000"/>
      <name val="Calibri"/>
      <family val="2"/>
      <scheme val="minor"/>
    </font>
    <font>
      <b/>
      <sz val="11"/>
      <color theme="1"/>
      <name val="Calibri"/>
      <family val="2"/>
      <scheme val="minor"/>
    </font>
    <font>
      <b/>
      <sz val="10"/>
      <color indexed="56"/>
      <name val="Arial"/>
      <family val="2"/>
    </font>
    <font>
      <sz val="10"/>
      <color indexed="10"/>
      <name val="Arial"/>
      <family val="2"/>
    </font>
    <font>
      <sz val="10"/>
      <name val="Times New Roman"/>
      <family val="1"/>
    </font>
    <font>
      <b/>
      <sz val="10"/>
      <name val="Times New Roman"/>
      <family val="1"/>
    </font>
    <font>
      <sz val="10"/>
      <color indexed="56"/>
      <name val="Arial"/>
      <family val="2"/>
    </font>
    <font>
      <sz val="11"/>
      <color theme="1"/>
      <name val="Arial"/>
      <family val="2"/>
    </font>
    <font>
      <sz val="11"/>
      <color indexed="8"/>
      <name val="Arial"/>
      <family val="2"/>
    </font>
    <font>
      <sz val="11"/>
      <color rgb="FFFF0000"/>
      <name val="Arial"/>
      <family val="2"/>
    </font>
    <font>
      <b/>
      <sz val="11"/>
      <color rgb="FF000000"/>
      <name val="Arial"/>
      <family val="2"/>
    </font>
    <font>
      <b/>
      <sz val="11"/>
      <color rgb="FFFF0000"/>
      <name val="Arial"/>
      <family val="2"/>
    </font>
    <font>
      <vertAlign val="superscript"/>
      <sz val="11"/>
      <name val="Arial"/>
      <family val="2"/>
    </font>
    <font>
      <sz val="11"/>
      <color rgb="FF000000"/>
      <name val="Arial"/>
      <family val="2"/>
    </font>
    <font>
      <sz val="10"/>
      <name val="Comic Sans MS"/>
      <family val="4"/>
    </font>
    <font>
      <sz val="12"/>
      <color rgb="FF000000"/>
      <name val="Arial"/>
      <family val="2"/>
    </font>
    <font>
      <b/>
      <sz val="11"/>
      <color theme="1"/>
      <name val="Arial"/>
      <family val="2"/>
    </font>
    <font>
      <vertAlign val="superscript"/>
      <sz val="12"/>
      <name val="Arial"/>
      <family val="2"/>
    </font>
    <font>
      <b/>
      <u/>
      <sz val="14"/>
      <name val="Arial"/>
      <family val="2"/>
    </font>
    <font>
      <b/>
      <u/>
      <sz val="11"/>
      <color theme="1"/>
      <name val="Arial"/>
      <family val="2"/>
    </font>
    <font>
      <u/>
      <sz val="11"/>
      <name val="Arial"/>
      <family val="2"/>
    </font>
    <font>
      <sz val="12"/>
      <color rgb="FFFF0000"/>
      <name val="Arial"/>
      <family val="2"/>
    </font>
    <font>
      <sz val="12"/>
      <name val="Arial"/>
      <family val="2"/>
    </font>
    <font>
      <vertAlign val="superscript"/>
      <sz val="11"/>
      <color indexed="8"/>
      <name val="Arial"/>
      <family val="2"/>
    </font>
    <font>
      <sz val="11"/>
      <color rgb="FF1F497D"/>
      <name val="Arial"/>
      <family val="2"/>
    </font>
    <font>
      <sz val="12"/>
      <name val="Calibri"/>
      <family val="2"/>
    </font>
    <font>
      <u/>
      <sz val="12"/>
      <name val="Arial"/>
      <family val="2"/>
    </font>
    <font>
      <b/>
      <sz val="12"/>
      <color rgb="FFFF0000"/>
      <name val="Arial"/>
      <family val="2"/>
    </font>
    <font>
      <sz val="12"/>
      <color rgb="FF000000"/>
      <name val="Times New Roman"/>
      <family val="1"/>
    </font>
    <font>
      <vertAlign val="superscript"/>
      <sz val="12"/>
      <color rgb="FFFF0000"/>
      <name val="Arial"/>
      <family val="2"/>
    </font>
    <font>
      <b/>
      <u/>
      <sz val="11"/>
      <name val="Arial"/>
      <family val="2"/>
    </font>
    <font>
      <b/>
      <sz val="11"/>
      <color rgb="FF0000FF"/>
      <name val="Arial"/>
      <family val="2"/>
    </font>
    <font>
      <sz val="11"/>
      <color rgb="FF0000FF"/>
      <name val="Arial"/>
      <family val="2"/>
    </font>
    <font>
      <b/>
      <sz val="11"/>
      <color rgb="FF0000FF"/>
      <name val="Calibri"/>
      <family val="2"/>
    </font>
    <font>
      <b/>
      <sz val="11"/>
      <color rgb="FF0000FF"/>
      <name val="Times New Roman"/>
      <family val="1"/>
    </font>
    <font>
      <sz val="11"/>
      <color rgb="FF0000FF"/>
      <name val="Calibri"/>
      <family val="2"/>
    </font>
    <font>
      <sz val="11"/>
      <color rgb="FF0000FF"/>
      <name val="Times New Roman"/>
      <family val="1"/>
    </font>
    <font>
      <vertAlign val="superscript"/>
      <sz val="11"/>
      <color rgb="FF0000FF"/>
      <name val="Calibri"/>
      <family val="2"/>
    </font>
    <font>
      <b/>
      <sz val="22"/>
      <name val="Arial"/>
      <family val="2"/>
    </font>
    <font>
      <sz val="12"/>
      <name val="Segoe UI"/>
      <family val="2"/>
    </font>
    <font>
      <sz val="12"/>
      <color theme="1"/>
      <name val="Times New Roman"/>
      <family val="1"/>
    </font>
    <font>
      <b/>
      <sz val="9"/>
      <color rgb="FF000000"/>
      <name val="Times New Roman"/>
      <family val="1"/>
    </font>
    <font>
      <b/>
      <sz val="12"/>
      <name val="Calibri"/>
      <family val="2"/>
      <scheme val="minor"/>
    </font>
    <font>
      <sz val="12"/>
      <name val="Calibri"/>
      <family val="2"/>
      <scheme val="minor"/>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1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10"/>
      <name val="Calibri"/>
      <family val="2"/>
    </font>
    <font>
      <sz val="11"/>
      <color indexed="19"/>
      <name val="Calibri"/>
      <family val="2"/>
    </font>
    <font>
      <b/>
      <sz val="11"/>
      <color indexed="63"/>
      <name val="Calibri"/>
      <family val="2"/>
    </font>
    <font>
      <b/>
      <sz val="18"/>
      <color indexed="62"/>
      <name val="Cambria"/>
      <family val="2"/>
    </font>
    <font>
      <b/>
      <sz val="11"/>
      <color indexed="8"/>
      <name val="Calibri"/>
      <family val="2"/>
    </font>
    <font>
      <b/>
      <u/>
      <sz val="16"/>
      <name val="Arial"/>
      <family val="2"/>
    </font>
    <font>
      <b/>
      <sz val="18"/>
      <name val="Arial"/>
      <family val="2"/>
    </font>
    <font>
      <sz val="11"/>
      <color rgb="FF000000"/>
      <name val="Times New Roman"/>
      <family val="1"/>
    </font>
    <font>
      <b/>
      <sz val="13"/>
      <color theme="1"/>
      <name val="Arial"/>
      <family val="2"/>
    </font>
    <font>
      <b/>
      <sz val="13"/>
      <color theme="1"/>
      <name val="Calibri"/>
      <family val="2"/>
      <scheme val="minor"/>
    </font>
    <font>
      <sz val="11"/>
      <color rgb="FF000000"/>
      <name val="Calibri"/>
      <family val="2"/>
      <charset val="1"/>
    </font>
    <font>
      <u/>
      <sz val="12"/>
      <color theme="10"/>
      <name val="Arial"/>
      <family val="2"/>
    </font>
    <font>
      <u/>
      <sz val="11"/>
      <color rgb="FF0000FF"/>
      <name val="Calibri"/>
      <family val="2"/>
      <scheme val="minor"/>
    </font>
    <font>
      <sz val="14"/>
      <color theme="1"/>
      <name val="Arial"/>
      <family val="2"/>
    </font>
    <font>
      <sz val="10"/>
      <name val="Courier"/>
      <family val="3"/>
    </font>
  </fonts>
  <fills count="26">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theme="0"/>
        <bgColor indexed="64"/>
      </patternFill>
    </fill>
    <fill>
      <patternFill patternType="solid">
        <fgColor rgb="FFFFFFFF"/>
        <bgColor indexed="64"/>
      </patternFill>
    </fill>
    <fill>
      <patternFill patternType="solid">
        <fgColor rgb="FFFF0000"/>
        <bgColor indexed="64"/>
      </patternFill>
    </fill>
    <fill>
      <patternFill patternType="solid">
        <fgColor theme="9" tint="0.59999389629810485"/>
        <bgColor indexed="64"/>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46"/>
      </patternFill>
    </fill>
    <fill>
      <patternFill patternType="solid">
        <fgColor indexed="9"/>
      </patternFill>
    </fill>
    <fill>
      <patternFill patternType="solid">
        <fgColor indexed="55"/>
      </patternFill>
    </fill>
    <fill>
      <patternFill patternType="solid">
        <fgColor theme="4" tint="0.59999389629810485"/>
        <bgColor indexed="64"/>
      </patternFill>
    </fill>
  </fills>
  <borders count="43">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style="medium">
        <color indexed="8"/>
      </left>
      <right/>
      <top/>
      <bottom style="medium">
        <color indexed="8"/>
      </bottom>
      <diagonal/>
    </border>
    <border>
      <left/>
      <right/>
      <top/>
      <bottom style="medium">
        <color indexed="8"/>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s>
  <cellStyleXfs count="739">
    <xf numFmtId="166" fontId="0" fillId="0" borderId="0"/>
    <xf numFmtId="166" fontId="36" fillId="0" borderId="0"/>
    <xf numFmtId="9" fontId="1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9" fontId="17" fillId="0" borderId="0" applyFont="0" applyFill="0" applyBorder="0" applyAlignment="0" applyProtection="0"/>
    <xf numFmtId="0" fontId="15" fillId="0" borderId="0"/>
    <xf numFmtId="165" fontId="22" fillId="0" borderId="0"/>
    <xf numFmtId="0" fontId="14" fillId="0" borderId="0"/>
    <xf numFmtId="166" fontId="22" fillId="0" borderId="0"/>
    <xf numFmtId="0" fontId="13" fillId="0" borderId="0"/>
    <xf numFmtId="0" fontId="13" fillId="0" borderId="0"/>
    <xf numFmtId="166" fontId="22" fillId="0" borderId="0"/>
    <xf numFmtId="178" fontId="22" fillId="0" borderId="0"/>
    <xf numFmtId="180" fontId="17" fillId="0" borderId="0"/>
    <xf numFmtId="166" fontId="22" fillId="0" borderId="0"/>
    <xf numFmtId="0" fontId="17" fillId="0" borderId="0"/>
    <xf numFmtId="0" fontId="11" fillId="0" borderId="0"/>
    <xf numFmtId="166" fontId="22" fillId="0" borderId="0"/>
    <xf numFmtId="165" fontId="17" fillId="0" borderId="0" applyFont="0" applyFill="0" applyBorder="0" applyAlignment="0" applyProtection="0"/>
    <xf numFmtId="0" fontId="10" fillId="0" borderId="0"/>
    <xf numFmtId="0" fontId="10"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166" fontId="77" fillId="0" borderId="0"/>
    <xf numFmtId="9" fontId="1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4" fillId="0" borderId="0"/>
    <xf numFmtId="0" fontId="4" fillId="0" borderId="0"/>
    <xf numFmtId="0" fontId="4" fillId="0" borderId="0"/>
    <xf numFmtId="0" fontId="4" fillId="0" borderId="0"/>
    <xf numFmtId="0" fontId="4" fillId="0" borderId="0"/>
    <xf numFmtId="165" fontId="22" fillId="0" borderId="0" applyFont="0" applyFill="0" applyBorder="0" applyAlignment="0" applyProtection="0"/>
    <xf numFmtId="9" fontId="17" fillId="0" borderId="0" applyFont="0" applyFill="0" applyBorder="0" applyAlignment="0" applyProtection="0"/>
    <xf numFmtId="0" fontId="100" fillId="9" borderId="0" applyNumberFormat="0" applyBorder="0" applyAlignment="0" applyProtection="0"/>
    <xf numFmtId="0" fontId="100" fillId="10" borderId="0" applyNumberFormat="0" applyBorder="0" applyAlignment="0" applyProtection="0"/>
    <xf numFmtId="0" fontId="100" fillId="11" borderId="0" applyNumberFormat="0" applyBorder="0" applyAlignment="0" applyProtection="0"/>
    <xf numFmtId="0" fontId="100" fillId="12" borderId="0" applyNumberFormat="0" applyBorder="0" applyAlignment="0" applyProtection="0"/>
    <xf numFmtId="0" fontId="100" fillId="13" borderId="0" applyNumberFormat="0" applyBorder="0" applyAlignment="0" applyProtection="0"/>
    <xf numFmtId="0" fontId="100" fillId="11" borderId="0" applyNumberFormat="0" applyBorder="0" applyAlignment="0" applyProtection="0"/>
    <xf numFmtId="0" fontId="100" fillId="13" borderId="0" applyNumberFormat="0" applyBorder="0" applyAlignment="0" applyProtection="0"/>
    <xf numFmtId="0" fontId="100" fillId="10"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3" borderId="0" applyNumberFormat="0" applyBorder="0" applyAlignment="0" applyProtection="0"/>
    <xf numFmtId="0" fontId="100" fillId="11" borderId="0" applyNumberFormat="0" applyBorder="0" applyAlignment="0" applyProtection="0"/>
    <xf numFmtId="0" fontId="101" fillId="13" borderId="0" applyNumberFormat="0" applyBorder="0" applyAlignment="0" applyProtection="0"/>
    <xf numFmtId="0" fontId="101" fillId="16" borderId="0" applyNumberFormat="0" applyBorder="0" applyAlignment="0" applyProtection="0"/>
    <xf numFmtId="0" fontId="101" fillId="17" borderId="0" applyNumberFormat="0" applyBorder="0" applyAlignment="0" applyProtection="0"/>
    <xf numFmtId="0" fontId="101" fillId="15" borderId="0" applyNumberFormat="0" applyBorder="0" applyAlignment="0" applyProtection="0"/>
    <xf numFmtId="0" fontId="101" fillId="13" borderId="0" applyNumberFormat="0" applyBorder="0" applyAlignment="0" applyProtection="0"/>
    <xf numFmtId="0" fontId="101" fillId="10" borderId="0" applyNumberFormat="0" applyBorder="0" applyAlignment="0" applyProtection="0"/>
    <xf numFmtId="0" fontId="101" fillId="18" borderId="0" applyNumberFormat="0" applyBorder="0" applyAlignment="0" applyProtection="0"/>
    <xf numFmtId="0" fontId="101" fillId="16" borderId="0" applyNumberFormat="0" applyBorder="0" applyAlignment="0" applyProtection="0"/>
    <xf numFmtId="0" fontId="101" fillId="17" borderId="0" applyNumberFormat="0" applyBorder="0" applyAlignment="0" applyProtection="0"/>
    <xf numFmtId="0" fontId="101" fillId="19" borderId="0" applyNumberFormat="0" applyBorder="0" applyAlignment="0" applyProtection="0"/>
    <xf numFmtId="0" fontId="101" fillId="20" borderId="0" applyNumberFormat="0" applyBorder="0" applyAlignment="0" applyProtection="0"/>
    <xf numFmtId="0" fontId="101" fillId="21" borderId="0" applyNumberFormat="0" applyBorder="0" applyAlignment="0" applyProtection="0"/>
    <xf numFmtId="0" fontId="102" fillId="22" borderId="0" applyNumberFormat="0" applyBorder="0" applyAlignment="0" applyProtection="0"/>
    <xf numFmtId="0" fontId="103" fillId="23" borderId="34" applyNumberFormat="0" applyAlignment="0" applyProtection="0"/>
    <xf numFmtId="0" fontId="104" fillId="24" borderId="35" applyNumberFormat="0" applyAlignment="0" applyProtection="0"/>
    <xf numFmtId="0" fontId="105" fillId="0" borderId="0" applyNumberFormat="0" applyFill="0" applyBorder="0" applyAlignment="0" applyProtection="0"/>
    <xf numFmtId="0" fontId="106" fillId="13" borderId="0" applyNumberFormat="0" applyBorder="0" applyAlignment="0" applyProtection="0"/>
    <xf numFmtId="0" fontId="107" fillId="0" borderId="36" applyNumberFormat="0" applyFill="0" applyAlignment="0" applyProtection="0"/>
    <xf numFmtId="0" fontId="108" fillId="0" borderId="37" applyNumberFormat="0" applyFill="0" applyAlignment="0" applyProtection="0"/>
    <xf numFmtId="0" fontId="109" fillId="0" borderId="38" applyNumberFormat="0" applyFill="0" applyAlignment="0" applyProtection="0"/>
    <xf numFmtId="0" fontId="109" fillId="0" borderId="0" applyNumberFormat="0" applyFill="0" applyBorder="0" applyAlignment="0" applyProtection="0"/>
    <xf numFmtId="0" fontId="110" fillId="14" borderId="34" applyNumberFormat="0" applyAlignment="0" applyProtection="0"/>
    <xf numFmtId="0" fontId="111" fillId="0" borderId="39" applyNumberFormat="0" applyFill="0" applyAlignment="0" applyProtection="0"/>
    <xf numFmtId="0" fontId="112" fillId="14" borderId="0" applyNumberFormat="0" applyBorder="0" applyAlignment="0" applyProtection="0"/>
    <xf numFmtId="185" fontId="22" fillId="0" borderId="0"/>
    <xf numFmtId="0" fontId="17" fillId="11" borderId="40" applyNumberFormat="0" applyFont="0" applyAlignment="0" applyProtection="0"/>
    <xf numFmtId="0" fontId="113" fillId="23" borderId="41" applyNumberFormat="0" applyAlignment="0" applyProtection="0"/>
    <xf numFmtId="0" fontId="114" fillId="0" borderId="0" applyNumberFormat="0" applyFill="0" applyBorder="0" applyAlignment="0" applyProtection="0"/>
    <xf numFmtId="0" fontId="115" fillId="0" borderId="42" applyNumberFormat="0" applyFill="0" applyAlignment="0" applyProtection="0"/>
    <xf numFmtId="0" fontId="111" fillId="0" borderId="0" applyNumberFormat="0" applyFill="0" applyBorder="0" applyAlignment="0" applyProtection="0"/>
    <xf numFmtId="0" fontId="3" fillId="0" borderId="0"/>
    <xf numFmtId="173" fontId="22" fillId="0" borderId="0"/>
    <xf numFmtId="0" fontId="3" fillId="0" borderId="0"/>
    <xf numFmtId="166" fontId="22" fillId="0" borderId="0"/>
    <xf numFmtId="166" fontId="22" fillId="0" borderId="0"/>
    <xf numFmtId="0" fontId="3" fillId="0" borderId="0"/>
    <xf numFmtId="0" fontId="3" fillId="0" borderId="0"/>
    <xf numFmtId="166" fontId="2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ont="0" applyFill="0" applyBorder="0" applyAlignment="0" applyProtection="0"/>
    <xf numFmtId="43" fontId="22" fillId="0" borderId="0" applyFont="0" applyFill="0" applyBorder="0" applyAlignment="0" applyProtection="0"/>
    <xf numFmtId="165" fontId="1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121" fillId="0" borderId="0"/>
    <xf numFmtId="166" fontId="122" fillId="0" borderId="0" applyNumberFormat="0" applyFill="0" applyBorder="0" applyAlignment="0" applyProtection="0"/>
    <xf numFmtId="0" fontId="123" fillId="0" borderId="0" applyNumberFormat="0" applyFill="0" applyBorder="0" applyAlignment="0" applyProtection="0"/>
    <xf numFmtId="166" fontId="122"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22" fillId="0" borderId="0"/>
    <xf numFmtId="0" fontId="17" fillId="0" borderId="0"/>
    <xf numFmtId="166" fontId="22" fillId="0" borderId="0"/>
    <xf numFmtId="166" fontId="22" fillId="0" borderId="0"/>
    <xf numFmtId="0" fontId="27" fillId="0" borderId="0"/>
    <xf numFmtId="0" fontId="27" fillId="0" borderId="0"/>
    <xf numFmtId="0" fontId="17" fillId="0" borderId="0"/>
    <xf numFmtId="0" fontId="17" fillId="0" borderId="0"/>
    <xf numFmtId="166"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22" fillId="0" borderId="0"/>
    <xf numFmtId="0" fontId="1" fillId="0" borderId="0"/>
    <xf numFmtId="0" fontId="1" fillId="0" borderId="0"/>
    <xf numFmtId="0" fontId="1" fillId="0" borderId="0"/>
    <xf numFmtId="165" fontId="22" fillId="0" borderId="0"/>
    <xf numFmtId="0" fontId="124" fillId="0" borderId="0"/>
    <xf numFmtId="173"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9" fontId="1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7" fillId="0" borderId="0" applyFont="0" applyFill="0" applyBorder="0" applyAlignment="0" applyProtection="0"/>
    <xf numFmtId="9" fontId="17" fillId="0" borderId="0" applyFont="0" applyFill="0" applyBorder="0" applyAlignment="0" applyProtection="0"/>
    <xf numFmtId="0" fontId="1" fillId="0" borderId="0"/>
  </cellStyleXfs>
  <cellXfs count="1169">
    <xf numFmtId="166" fontId="0" fillId="0" borderId="0" xfId="0"/>
    <xf numFmtId="166" fontId="19" fillId="0" borderId="0" xfId="0" applyFont="1"/>
    <xf numFmtId="166" fontId="19" fillId="0" borderId="0" xfId="0" applyFont="1" applyAlignment="1">
      <alignment horizontal="center"/>
    </xf>
    <xf numFmtId="166" fontId="22" fillId="0" borderId="0" xfId="0" applyFont="1"/>
    <xf numFmtId="166" fontId="22" fillId="0" borderId="0" xfId="0" applyFont="1" applyAlignment="1">
      <alignment horizontal="right"/>
    </xf>
    <xf numFmtId="166" fontId="22" fillId="0" borderId="0" xfId="0" applyFont="1" applyAlignment="1">
      <alignment horizontal="center"/>
    </xf>
    <xf numFmtId="166" fontId="20" fillId="0" borderId="0" xfId="0" applyFont="1"/>
    <xf numFmtId="166" fontId="24" fillId="0" borderId="0" xfId="0" applyFont="1"/>
    <xf numFmtId="166" fontId="0" fillId="0" borderId="0" xfId="0" applyAlignment="1">
      <alignment horizontal="center"/>
    </xf>
    <xf numFmtId="166" fontId="21" fillId="0" borderId="0" xfId="0" applyFont="1"/>
    <xf numFmtId="167" fontId="0" fillId="0" borderId="0" xfId="0" applyNumberFormat="1"/>
    <xf numFmtId="166" fontId="22" fillId="0" borderId="2" xfId="0" applyFont="1" applyBorder="1"/>
    <xf numFmtId="166" fontId="22" fillId="0" borderId="4" xfId="0" applyFont="1" applyBorder="1"/>
    <xf numFmtId="166" fontId="22" fillId="0" borderId="5" xfId="0" applyFont="1" applyBorder="1"/>
    <xf numFmtId="166" fontId="22" fillId="0" borderId="4" xfId="0" applyFont="1" applyBorder="1" applyAlignment="1">
      <alignment horizontal="center"/>
    </xf>
    <xf numFmtId="166" fontId="21" fillId="0" borderId="0" xfId="0" applyFont="1" applyAlignment="1">
      <alignment horizontal="right"/>
    </xf>
    <xf numFmtId="166" fontId="23" fillId="0" borderId="0" xfId="0" applyFont="1"/>
    <xf numFmtId="166" fontId="28" fillId="0" borderId="0" xfId="0" applyFont="1"/>
    <xf numFmtId="9" fontId="28" fillId="0" borderId="0" xfId="2" applyFont="1" applyBorder="1"/>
    <xf numFmtId="166" fontId="0" fillId="0" borderId="4" xfId="0" applyBorder="1"/>
    <xf numFmtId="166" fontId="0" fillId="0" borderId="4" xfId="0" applyBorder="1" applyAlignment="1">
      <alignment horizontal="center"/>
    </xf>
    <xf numFmtId="166" fontId="29" fillId="0" borderId="0" xfId="0" applyFont="1"/>
    <xf numFmtId="166" fontId="30" fillId="0" borderId="0" xfId="0" applyFont="1"/>
    <xf numFmtId="170" fontId="29" fillId="0" borderId="0" xfId="0" applyNumberFormat="1" applyFont="1"/>
    <xf numFmtId="166" fontId="0" fillId="0" borderId="0" xfId="0" applyAlignment="1">
      <alignment horizontal="fill"/>
    </xf>
    <xf numFmtId="166" fontId="31" fillId="0" borderId="0" xfId="0" applyFont="1"/>
    <xf numFmtId="171" fontId="21" fillId="0" borderId="0" xfId="0" applyNumberFormat="1" applyFont="1"/>
    <xf numFmtId="166" fontId="29" fillId="0" borderId="0" xfId="0" applyFont="1" applyAlignment="1">
      <alignment horizontal="left"/>
    </xf>
    <xf numFmtId="2" fontId="22" fillId="0" borderId="0" xfId="0" applyNumberFormat="1" applyFont="1"/>
    <xf numFmtId="166" fontId="32" fillId="0" borderId="5" xfId="0" applyFont="1" applyBorder="1"/>
    <xf numFmtId="167" fontId="22" fillId="0" borderId="5" xfId="0" applyNumberFormat="1" applyFont="1" applyBorder="1" applyAlignment="1">
      <alignment horizontal="center"/>
    </xf>
    <xf numFmtId="167" fontId="21" fillId="0" borderId="0" xfId="0" applyNumberFormat="1" applyFont="1" applyAlignment="1">
      <alignment horizontal="right"/>
    </xf>
    <xf numFmtId="9" fontId="0" fillId="0" borderId="0" xfId="2" applyFont="1" applyBorder="1"/>
    <xf numFmtId="166" fontId="32" fillId="0" borderId="8" xfId="0" applyFont="1" applyBorder="1"/>
    <xf numFmtId="9" fontId="22" fillId="0" borderId="8" xfId="2" applyFont="1" applyBorder="1" applyAlignment="1" applyProtection="1">
      <alignment horizontal="right"/>
    </xf>
    <xf numFmtId="9" fontId="21" fillId="0" borderId="0" xfId="2" applyFont="1" applyBorder="1" applyAlignment="1" applyProtection="1">
      <alignment horizontal="right"/>
    </xf>
    <xf numFmtId="9" fontId="22" fillId="0" borderId="0" xfId="2" applyFont="1" applyBorder="1"/>
    <xf numFmtId="166" fontId="32" fillId="0" borderId="0" xfId="0" applyFont="1"/>
    <xf numFmtId="2" fontId="32" fillId="0" borderId="0" xfId="0" applyNumberFormat="1" applyFont="1"/>
    <xf numFmtId="166" fontId="0" fillId="0" borderId="8" xfId="0" applyBorder="1"/>
    <xf numFmtId="166" fontId="33" fillId="0" borderId="0" xfId="0" applyFont="1"/>
    <xf numFmtId="10" fontId="29" fillId="0" borderId="0" xfId="2" applyNumberFormat="1" applyFont="1" applyProtection="1"/>
    <xf numFmtId="167" fontId="0" fillId="0" borderId="0" xfId="0" applyNumberFormat="1" applyAlignment="1">
      <alignment horizontal="fill"/>
    </xf>
    <xf numFmtId="166" fontId="32" fillId="0" borderId="4" xfId="0" applyFont="1" applyBorder="1"/>
    <xf numFmtId="170" fontId="32" fillId="0" borderId="0" xfId="0" applyNumberFormat="1" applyFont="1"/>
    <xf numFmtId="9" fontId="33" fillId="0" borderId="0" xfId="0" applyNumberFormat="1" applyFont="1"/>
    <xf numFmtId="171" fontId="22" fillId="0" borderId="0" xfId="0" applyNumberFormat="1" applyFont="1"/>
    <xf numFmtId="166" fontId="32" fillId="0" borderId="14" xfId="0" applyFont="1" applyBorder="1"/>
    <xf numFmtId="167" fontId="32" fillId="0" borderId="8" xfId="0" applyNumberFormat="1" applyFont="1" applyBorder="1" applyAlignment="1">
      <alignment horizontal="center"/>
    </xf>
    <xf numFmtId="167" fontId="32" fillId="0" borderId="13" xfId="0" applyNumberFormat="1" applyFont="1" applyBorder="1" applyAlignment="1">
      <alignment horizontal="center"/>
    </xf>
    <xf numFmtId="167" fontId="29" fillId="0" borderId="0" xfId="0" applyNumberFormat="1" applyFont="1"/>
    <xf numFmtId="166" fontId="21" fillId="0" borderId="8" xfId="0" applyFont="1" applyBorder="1"/>
    <xf numFmtId="9" fontId="21" fillId="0" borderId="0" xfId="2" applyFont="1"/>
    <xf numFmtId="166" fontId="32" fillId="0" borderId="0" xfId="0" applyFont="1" applyAlignment="1">
      <alignment horizontal="right"/>
    </xf>
    <xf numFmtId="166" fontId="32" fillId="0" borderId="15" xfId="0" applyFont="1" applyBorder="1"/>
    <xf numFmtId="166" fontId="32" fillId="0" borderId="16" xfId="0" applyFont="1" applyBorder="1"/>
    <xf numFmtId="166" fontId="32" fillId="0" borderId="17" xfId="0" applyFont="1" applyBorder="1"/>
    <xf numFmtId="166" fontId="32" fillId="0" borderId="18" xfId="0" applyFont="1" applyBorder="1"/>
    <xf numFmtId="166" fontId="21" fillId="0" borderId="5" xfId="0" applyFont="1" applyBorder="1"/>
    <xf numFmtId="167" fontId="21" fillId="0" borderId="0" xfId="0" applyNumberFormat="1" applyFont="1" applyAlignment="1">
      <alignment horizontal="left"/>
    </xf>
    <xf numFmtId="166" fontId="25" fillId="0" borderId="0" xfId="0" applyFont="1" applyAlignment="1">
      <alignment horizontal="right"/>
    </xf>
    <xf numFmtId="167" fontId="22" fillId="0" borderId="0" xfId="0" applyNumberFormat="1" applyFont="1" applyAlignment="1">
      <alignment horizontal="right"/>
    </xf>
    <xf numFmtId="167" fontId="21" fillId="0" borderId="0" xfId="0" applyNumberFormat="1" applyFont="1"/>
    <xf numFmtId="10" fontId="22" fillId="0" borderId="0" xfId="2" applyNumberFormat="1" applyFont="1" applyFill="1" applyBorder="1" applyAlignment="1" applyProtection="1"/>
    <xf numFmtId="10" fontId="22" fillId="0" borderId="0" xfId="2" applyNumberFormat="1" applyFont="1"/>
    <xf numFmtId="166" fontId="0" fillId="0" borderId="0" xfId="0" quotePrefix="1"/>
    <xf numFmtId="167" fontId="21" fillId="0" borderId="4" xfId="0" applyNumberFormat="1" applyFont="1" applyBorder="1"/>
    <xf numFmtId="10" fontId="22" fillId="0" borderId="0" xfId="2" applyNumberFormat="1" applyFont="1" applyBorder="1"/>
    <xf numFmtId="167" fontId="21" fillId="0" borderId="0" xfId="0" applyNumberFormat="1" applyFont="1" applyAlignment="1">
      <alignment horizontal="center"/>
    </xf>
    <xf numFmtId="167" fontId="22" fillId="0" borderId="0" xfId="0" applyNumberFormat="1" applyFont="1" applyAlignment="1">
      <alignment horizontal="left"/>
    </xf>
    <xf numFmtId="167" fontId="22" fillId="0" borderId="0" xfId="0" applyNumberFormat="1" applyFont="1" applyAlignment="1">
      <alignment horizontal="center"/>
    </xf>
    <xf numFmtId="166" fontId="27" fillId="0" borderId="0" xfId="0" applyFont="1"/>
    <xf numFmtId="166" fontId="26" fillId="0" borderId="0" xfId="0" applyFont="1"/>
    <xf numFmtId="166" fontId="27" fillId="0" borderId="0" xfId="0" applyFont="1" applyAlignment="1">
      <alignment horizontal="center"/>
    </xf>
    <xf numFmtId="166" fontId="26" fillId="0" borderId="0" xfId="0" applyFont="1" applyAlignment="1">
      <alignment horizontal="center"/>
    </xf>
    <xf numFmtId="167" fontId="27" fillId="0" borderId="5" xfId="0" applyNumberFormat="1" applyFont="1" applyBorder="1" applyAlignment="1">
      <alignment horizontal="center"/>
    </xf>
    <xf numFmtId="166" fontId="27" fillId="0" borderId="5" xfId="0" applyFont="1" applyBorder="1" applyAlignment="1">
      <alignment horizontal="left"/>
    </xf>
    <xf numFmtId="2" fontId="20" fillId="0" borderId="0" xfId="0" applyNumberFormat="1" applyFont="1"/>
    <xf numFmtId="166" fontId="22" fillId="0" borderId="5" xfId="0" applyFont="1" applyBorder="1" applyAlignment="1">
      <alignment vertical="top" wrapText="1"/>
    </xf>
    <xf numFmtId="166" fontId="35" fillId="0" borderId="0" xfId="0" applyFont="1"/>
    <xf numFmtId="0" fontId="0" fillId="0" borderId="0" xfId="0" applyNumberFormat="1"/>
    <xf numFmtId="0" fontId="28" fillId="0" borderId="0" xfId="0" applyNumberFormat="1" applyFont="1"/>
    <xf numFmtId="0" fontId="22" fillId="0" borderId="0" xfId="0" applyNumberFormat="1" applyFont="1"/>
    <xf numFmtId="0" fontId="23" fillId="0" borderId="0" xfId="0" applyNumberFormat="1" applyFont="1"/>
    <xf numFmtId="2" fontId="0" fillId="0" borderId="0" xfId="0" applyNumberFormat="1"/>
    <xf numFmtId="166" fontId="19" fillId="0" borderId="0" xfId="0" applyFont="1" applyAlignment="1">
      <alignment horizontal="left"/>
    </xf>
    <xf numFmtId="10" fontId="22" fillId="0" borderId="0" xfId="2" applyNumberFormat="1" applyFont="1" applyAlignment="1">
      <alignment horizontal="center"/>
    </xf>
    <xf numFmtId="10" fontId="22" fillId="0" borderId="4" xfId="2" applyNumberFormat="1" applyFont="1" applyBorder="1" applyAlignment="1">
      <alignment horizontal="center"/>
    </xf>
    <xf numFmtId="166" fontId="22" fillId="0" borderId="5" xfId="0" applyFont="1" applyBorder="1" applyAlignment="1">
      <alignment horizontal="center"/>
    </xf>
    <xf numFmtId="166" fontId="19" fillId="0" borderId="0" xfId="0" applyFont="1" applyAlignment="1">
      <alignment vertical="top"/>
    </xf>
    <xf numFmtId="166" fontId="27" fillId="0" borderId="5" xfId="0" applyFont="1" applyBorder="1" applyAlignment="1">
      <alignment horizontal="center"/>
    </xf>
    <xf numFmtId="49" fontId="27" fillId="0" borderId="5" xfId="0" applyNumberFormat="1" applyFont="1" applyBorder="1" applyAlignment="1">
      <alignment horizontal="center"/>
    </xf>
    <xf numFmtId="167" fontId="22" fillId="0" borderId="5" xfId="0" applyNumberFormat="1" applyFont="1" applyBorder="1" applyAlignment="1">
      <alignment horizontal="center" vertical="top"/>
    </xf>
    <xf numFmtId="10" fontId="22" fillId="0" borderId="5" xfId="2" applyNumberFormat="1" applyFont="1" applyBorder="1" applyAlignment="1">
      <alignment horizontal="right" vertical="top"/>
    </xf>
    <xf numFmtId="166" fontId="22" fillId="0" borderId="5" xfId="0" applyFont="1" applyBorder="1" applyAlignment="1">
      <alignment horizontal="left" vertical="top" wrapText="1"/>
    </xf>
    <xf numFmtId="166" fontId="17" fillId="0" borderId="0" xfId="0" applyFont="1"/>
    <xf numFmtId="169" fontId="0" fillId="0" borderId="0" xfId="0" applyNumberFormat="1"/>
    <xf numFmtId="173" fontId="21" fillId="0" borderId="0" xfId="0" applyNumberFormat="1" applyFont="1"/>
    <xf numFmtId="173" fontId="21" fillId="0" borderId="0" xfId="2" applyNumberFormat="1" applyFont="1"/>
    <xf numFmtId="10" fontId="22" fillId="0" borderId="4" xfId="2" applyNumberFormat="1" applyFont="1" applyBorder="1"/>
    <xf numFmtId="166" fontId="37" fillId="0" borderId="0" xfId="0" applyFont="1"/>
    <xf numFmtId="166" fontId="37" fillId="0" borderId="8" xfId="0" applyFont="1" applyBorder="1"/>
    <xf numFmtId="166" fontId="35" fillId="0" borderId="0" xfId="0" applyFont="1" applyAlignment="1">
      <alignment horizontal="right"/>
    </xf>
    <xf numFmtId="166" fontId="22" fillId="0" borderId="4" xfId="0" quotePrefix="1" applyFont="1" applyBorder="1"/>
    <xf numFmtId="0" fontId="44" fillId="0" borderId="14" xfId="5" applyFont="1" applyBorder="1" applyAlignment="1">
      <alignment horizontal="center" vertical="top" wrapText="1"/>
    </xf>
    <xf numFmtId="0" fontId="38" fillId="0" borderId="0" xfId="5" applyFont="1" applyAlignment="1">
      <alignment vertical="top"/>
    </xf>
    <xf numFmtId="166" fontId="19" fillId="0" borderId="5" xfId="0" applyFont="1" applyBorder="1" applyAlignment="1">
      <alignment vertical="center"/>
    </xf>
    <xf numFmtId="166" fontId="22" fillId="0" borderId="5" xfId="0" applyFont="1" applyBorder="1" applyAlignment="1">
      <alignment vertical="center"/>
    </xf>
    <xf numFmtId="166" fontId="22" fillId="0" borderId="0" xfId="0" applyFont="1" applyAlignment="1">
      <alignment vertical="center"/>
    </xf>
    <xf numFmtId="166" fontId="19" fillId="0" borderId="0" xfId="0" applyFont="1" applyAlignment="1">
      <alignment horizontal="right"/>
    </xf>
    <xf numFmtId="166" fontId="22" fillId="0" borderId="0" xfId="0" applyFont="1" applyAlignment="1">
      <alignment vertical="top"/>
    </xf>
    <xf numFmtId="10" fontId="0" fillId="0" borderId="4" xfId="2" applyNumberFormat="1" applyFont="1" applyBorder="1"/>
    <xf numFmtId="173" fontId="0" fillId="0" borderId="0" xfId="0" applyNumberFormat="1"/>
    <xf numFmtId="173" fontId="0" fillId="0" borderId="4" xfId="0" applyNumberFormat="1" applyBorder="1"/>
    <xf numFmtId="166" fontId="50" fillId="0" borderId="0" xfId="0" applyFont="1"/>
    <xf numFmtId="0" fontId="24" fillId="0" borderId="0" xfId="0" applyNumberFormat="1" applyFont="1"/>
    <xf numFmtId="0" fontId="22" fillId="0" borderId="5" xfId="0" applyNumberFormat="1" applyFont="1" applyBorder="1"/>
    <xf numFmtId="166" fontId="0" fillId="0" borderId="5" xfId="0" applyBorder="1" applyAlignment="1">
      <alignment horizontal="center"/>
    </xf>
    <xf numFmtId="0" fontId="32" fillId="0" borderId="0" xfId="0" applyNumberFormat="1" applyFont="1"/>
    <xf numFmtId="0" fontId="32" fillId="0" borderId="4" xfId="0" applyNumberFormat="1" applyFont="1" applyBorder="1"/>
    <xf numFmtId="0" fontId="22" fillId="0" borderId="4" xfId="0" applyNumberFormat="1" applyFont="1" applyBorder="1"/>
    <xf numFmtId="169" fontId="22" fillId="0" borderId="0" xfId="0" applyNumberFormat="1" applyFont="1"/>
    <xf numFmtId="0" fontId="39" fillId="0" borderId="0" xfId="5" applyFont="1" applyAlignment="1">
      <alignment horizontal="left" vertical="center"/>
    </xf>
    <xf numFmtId="0" fontId="38" fillId="0" borderId="0" xfId="5" applyFont="1"/>
    <xf numFmtId="0" fontId="38" fillId="0" borderId="0" xfId="5" applyFont="1" applyAlignment="1">
      <alignment horizontal="left" vertical="center" indent="1"/>
    </xf>
    <xf numFmtId="0" fontId="40" fillId="0" borderId="0" xfId="5" applyFont="1" applyAlignment="1">
      <alignment horizontal="left" vertical="center" indent="1"/>
    </xf>
    <xf numFmtId="0" fontId="38" fillId="0" borderId="0" xfId="5" applyFont="1" applyAlignment="1">
      <alignment horizontal="left" vertical="center" indent="8"/>
    </xf>
    <xf numFmtId="0" fontId="41" fillId="0" borderId="0" xfId="5" applyFont="1" applyAlignment="1">
      <alignment vertical="center"/>
    </xf>
    <xf numFmtId="0" fontId="43" fillId="0" borderId="5" xfId="5" applyFont="1" applyBorder="1" applyAlignment="1">
      <alignment horizontal="center" vertical="top" wrapText="1"/>
    </xf>
    <xf numFmtId="0" fontId="43" fillId="0" borderId="8" xfId="5" applyFont="1" applyBorder="1" applyAlignment="1">
      <alignment horizontal="center" vertical="top" wrapText="1"/>
    </xf>
    <xf numFmtId="0" fontId="43" fillId="0" borderId="14" xfId="5" applyFont="1" applyBorder="1" applyAlignment="1">
      <alignment vertical="top" wrapText="1"/>
    </xf>
    <xf numFmtId="0" fontId="27" fillId="0" borderId="0" xfId="5" applyFont="1" applyAlignment="1">
      <alignment vertical="top"/>
    </xf>
    <xf numFmtId="0" fontId="43" fillId="0" borderId="14" xfId="5" applyFont="1" applyBorder="1" applyAlignment="1">
      <alignment horizontal="center" vertical="top" wrapText="1"/>
    </xf>
    <xf numFmtId="9" fontId="43" fillId="0" borderId="14" xfId="2" applyFont="1" applyFill="1" applyBorder="1" applyAlignment="1">
      <alignment horizontal="center" vertical="top" wrapText="1"/>
    </xf>
    <xf numFmtId="0" fontId="43" fillId="0" borderId="13" xfId="5" applyFont="1" applyBorder="1" applyAlignment="1">
      <alignment vertical="top" wrapText="1"/>
    </xf>
    <xf numFmtId="0" fontId="40" fillId="0" borderId="14" xfId="5" applyFont="1" applyBorder="1" applyAlignment="1">
      <alignment vertical="center"/>
    </xf>
    <xf numFmtId="0" fontId="40" fillId="0" borderId="8" xfId="5" applyFont="1" applyBorder="1" applyAlignment="1">
      <alignment vertical="center"/>
    </xf>
    <xf numFmtId="0" fontId="40" fillId="0" borderId="13" xfId="5" applyFont="1" applyBorder="1" applyAlignment="1">
      <alignment vertical="center"/>
    </xf>
    <xf numFmtId="0" fontId="44" fillId="0" borderId="1" xfId="5" applyFont="1" applyBorder="1" applyAlignment="1">
      <alignment horizontal="center" vertical="top" wrapText="1"/>
    </xf>
    <xf numFmtId="175" fontId="41" fillId="0" borderId="5" xfId="5" applyNumberFormat="1" applyFont="1" applyBorder="1" applyAlignment="1">
      <alignment horizontal="center" vertical="top" wrapText="1"/>
    </xf>
    <xf numFmtId="4" fontId="41" fillId="0" borderId="5" xfId="5" applyNumberFormat="1" applyFont="1" applyBorder="1" applyAlignment="1">
      <alignment horizontal="center" vertical="top" wrapText="1"/>
    </xf>
    <xf numFmtId="0" fontId="41" fillId="0" borderId="5" xfId="5" applyFont="1" applyBorder="1" applyAlignment="1">
      <alignment horizontal="center" vertical="top" wrapText="1"/>
    </xf>
    <xf numFmtId="2" fontId="41" fillId="0" borderId="5" xfId="5" applyNumberFormat="1" applyFont="1" applyBorder="1" applyAlignment="1">
      <alignment horizontal="center" vertical="top" wrapText="1"/>
    </xf>
    <xf numFmtId="2" fontId="38" fillId="0" borderId="0" xfId="5" applyNumberFormat="1" applyFont="1" applyAlignment="1">
      <alignment vertical="top"/>
    </xf>
    <xf numFmtId="0" fontId="44" fillId="0" borderId="11" xfId="5" applyFont="1" applyBorder="1" applyAlignment="1">
      <alignment horizontal="center" vertical="top" wrapText="1"/>
    </xf>
    <xf numFmtId="176" fontId="41" fillId="0" borderId="11" xfId="5" applyNumberFormat="1" applyFont="1" applyBorder="1" applyAlignment="1">
      <alignment horizontal="center" vertical="top" wrapText="1"/>
    </xf>
    <xf numFmtId="0" fontId="41" fillId="0" borderId="11" xfId="5" applyFont="1" applyBorder="1" applyAlignment="1">
      <alignment horizontal="center" vertical="top" wrapText="1"/>
    </xf>
    <xf numFmtId="0" fontId="44" fillId="0" borderId="5" xfId="5" applyFont="1" applyBorder="1" applyAlignment="1">
      <alignment horizontal="center" vertical="top" wrapText="1"/>
    </xf>
    <xf numFmtId="0" fontId="45" fillId="0" borderId="5" xfId="0" applyNumberFormat="1" applyFont="1" applyBorder="1" applyAlignment="1">
      <alignment horizontal="left" vertical="top" wrapText="1"/>
    </xf>
    <xf numFmtId="0" fontId="17" fillId="0" borderId="5" xfId="0" applyNumberFormat="1" applyFont="1" applyBorder="1" applyAlignment="1">
      <alignment horizontal="justify" vertical="top" wrapText="1"/>
    </xf>
    <xf numFmtId="166" fontId="41" fillId="0" borderId="5" xfId="5" applyNumberFormat="1" applyFont="1" applyBorder="1" applyAlignment="1">
      <alignment horizontal="center" vertical="top" wrapText="1"/>
    </xf>
    <xf numFmtId="0" fontId="44" fillId="0" borderId="0" xfId="5" applyFont="1" applyAlignment="1">
      <alignment horizontal="justify" vertical="top"/>
    </xf>
    <xf numFmtId="0" fontId="44" fillId="0" borderId="0" xfId="5" applyFont="1" applyAlignment="1">
      <alignment horizontal="center" vertical="top" wrapText="1"/>
    </xf>
    <xf numFmtId="0" fontId="41" fillId="0" borderId="0" xfId="5" applyFont="1" applyAlignment="1">
      <alignment vertical="top" wrapText="1"/>
    </xf>
    <xf numFmtId="2" fontId="41" fillId="0" borderId="23" xfId="5" applyNumberFormat="1" applyFont="1" applyBorder="1" applyAlignment="1">
      <alignment horizontal="center" vertical="top" wrapText="1"/>
    </xf>
    <xf numFmtId="0" fontId="44" fillId="0" borderId="0" xfId="5" applyFont="1" applyAlignment="1">
      <alignment vertical="top" wrapText="1"/>
    </xf>
    <xf numFmtId="0" fontId="41" fillId="0" borderId="0" xfId="5" applyFont="1" applyAlignment="1">
      <alignment horizontal="left" vertical="top" wrapText="1"/>
    </xf>
    <xf numFmtId="0" fontId="44" fillId="0" borderId="0" xfId="5" applyFont="1" applyAlignment="1">
      <alignment vertical="center"/>
    </xf>
    <xf numFmtId="9" fontId="38" fillId="0" borderId="0" xfId="5" applyNumberFormat="1" applyFont="1" applyAlignment="1">
      <alignment horizontal="center"/>
    </xf>
    <xf numFmtId="0" fontId="38" fillId="0" borderId="0" xfId="5" applyFont="1" applyAlignment="1">
      <alignment horizontal="center"/>
    </xf>
    <xf numFmtId="0" fontId="39" fillId="0" borderId="0" xfId="5" applyFont="1"/>
    <xf numFmtId="0" fontId="41" fillId="0" borderId="23" xfId="5" applyFont="1" applyBorder="1" applyAlignment="1">
      <alignment horizontal="center" vertical="top" wrapText="1"/>
    </xf>
    <xf numFmtId="0" fontId="40" fillId="0" borderId="26" xfId="5" applyFont="1" applyBorder="1" applyAlignment="1">
      <alignment horizontal="center" vertical="top" wrapText="1"/>
    </xf>
    <xf numFmtId="0" fontId="41" fillId="0" borderId="12" xfId="5" applyFont="1" applyBorder="1" applyAlignment="1">
      <alignment horizontal="center" vertical="top" wrapText="1"/>
    </xf>
    <xf numFmtId="0" fontId="40" fillId="0" borderId="26" xfId="5" applyFont="1" applyBorder="1" applyAlignment="1">
      <alignment horizontal="center" vertical="center" wrapText="1"/>
    </xf>
    <xf numFmtId="2" fontId="40" fillId="0" borderId="21" xfId="5" applyNumberFormat="1" applyFont="1" applyBorder="1" applyAlignment="1">
      <alignment horizontal="center" vertical="top" wrapText="1"/>
    </xf>
    <xf numFmtId="0" fontId="41" fillId="0" borderId="0" xfId="5" applyFont="1" applyAlignment="1">
      <alignment horizontal="center" vertical="top" wrapText="1"/>
    </xf>
    <xf numFmtId="2" fontId="40" fillId="0" borderId="23" xfId="5" applyNumberFormat="1" applyFont="1" applyBorder="1" applyAlignment="1">
      <alignment horizontal="center" vertical="top" wrapText="1"/>
    </xf>
    <xf numFmtId="167" fontId="40" fillId="0" borderId="26" xfId="5" applyNumberFormat="1" applyFont="1" applyBorder="1" applyAlignment="1">
      <alignment horizontal="center" vertical="top" wrapText="1"/>
    </xf>
    <xf numFmtId="0" fontId="40" fillId="0" borderId="21" xfId="5" applyFont="1" applyBorder="1" applyAlignment="1">
      <alignment horizontal="left" vertical="top" wrapText="1"/>
    </xf>
    <xf numFmtId="0" fontId="40" fillId="0" borderId="21" xfId="5" applyFont="1" applyBorder="1" applyAlignment="1">
      <alignment horizontal="center" vertical="top" wrapText="1"/>
    </xf>
    <xf numFmtId="0" fontId="40" fillId="0" borderId="23" xfId="5" applyFont="1" applyBorder="1" applyAlignment="1">
      <alignment horizontal="center" vertical="top" wrapText="1"/>
    </xf>
    <xf numFmtId="0" fontId="40" fillId="0" borderId="23" xfId="5" applyFont="1" applyBorder="1" applyAlignment="1">
      <alignment vertical="top" wrapText="1"/>
    </xf>
    <xf numFmtId="0" fontId="40" fillId="0" borderId="28" xfId="5" applyFont="1" applyBorder="1" applyAlignment="1">
      <alignment horizontal="center" vertical="top" wrapText="1"/>
    </xf>
    <xf numFmtId="0" fontId="44" fillId="0" borderId="25" xfId="5" applyFont="1" applyBorder="1" applyAlignment="1">
      <alignment vertical="center"/>
    </xf>
    <xf numFmtId="0" fontId="40" fillId="0" borderId="23" xfId="5" applyFont="1" applyBorder="1" applyAlignment="1">
      <alignment vertical="top"/>
    </xf>
    <xf numFmtId="2" fontId="40" fillId="0" borderId="28" xfId="5" applyNumberFormat="1" applyFont="1" applyBorder="1" applyAlignment="1">
      <alignment horizontal="center" vertical="center"/>
    </xf>
    <xf numFmtId="9" fontId="38" fillId="0" borderId="28" xfId="5" applyNumberFormat="1" applyFont="1" applyBorder="1" applyAlignment="1">
      <alignment horizontal="center"/>
    </xf>
    <xf numFmtId="2" fontId="40" fillId="0" borderId="23" xfId="5" applyNumberFormat="1" applyFont="1" applyBorder="1" applyAlignment="1">
      <alignment horizontal="center" vertical="top"/>
    </xf>
    <xf numFmtId="0" fontId="38" fillId="0" borderId="0" xfId="5" applyFont="1" applyAlignment="1">
      <alignment horizontal="left" vertical="center"/>
    </xf>
    <xf numFmtId="174" fontId="40" fillId="0" borderId="23" xfId="5" applyNumberFormat="1" applyFont="1" applyBorder="1" applyAlignment="1">
      <alignment horizontal="left" vertical="top"/>
    </xf>
    <xf numFmtId="0" fontId="38" fillId="0" borderId="0" xfId="5" applyFont="1" applyAlignment="1">
      <alignment horizontal="justify" vertical="center"/>
    </xf>
    <xf numFmtId="2" fontId="32" fillId="0" borderId="4" xfId="0" applyNumberFormat="1" applyFont="1" applyBorder="1"/>
    <xf numFmtId="166" fontId="19" fillId="0" borderId="2" xfId="0" applyFont="1" applyBorder="1" applyAlignment="1">
      <alignment horizontal="center"/>
    </xf>
    <xf numFmtId="166" fontId="22" fillId="0" borderId="0" xfId="22" applyNumberFormat="1"/>
    <xf numFmtId="166" fontId="24" fillId="0" borderId="0" xfId="22" applyNumberFormat="1" applyFont="1" applyAlignment="1">
      <alignment horizontal="right"/>
    </xf>
    <xf numFmtId="0" fontId="15" fillId="0" borderId="0" xfId="15"/>
    <xf numFmtId="166" fontId="22" fillId="0" borderId="0" xfId="22" applyNumberFormat="1" applyAlignment="1">
      <alignment vertical="top"/>
    </xf>
    <xf numFmtId="166" fontId="22" fillId="2" borderId="0" xfId="22" applyNumberFormat="1" applyFill="1" applyAlignment="1">
      <alignment horizontal="right"/>
    </xf>
    <xf numFmtId="166" fontId="22" fillId="0" borderId="0" xfId="22" applyNumberFormat="1" applyAlignment="1">
      <alignment horizontal="right"/>
    </xf>
    <xf numFmtId="166" fontId="22" fillId="0" borderId="0" xfId="22" applyNumberFormat="1" applyAlignment="1">
      <alignment horizontal="left" vertical="top"/>
    </xf>
    <xf numFmtId="166" fontId="22" fillId="0" borderId="0" xfId="22" applyNumberFormat="1" applyAlignment="1">
      <alignment horizontal="left"/>
    </xf>
    <xf numFmtId="166" fontId="21" fillId="0" borderId="0" xfId="22" applyNumberFormat="1" applyFont="1" applyAlignment="1">
      <alignment horizontal="center"/>
    </xf>
    <xf numFmtId="166" fontId="22" fillId="0" borderId="0" xfId="22" applyNumberFormat="1" applyAlignment="1">
      <alignment horizontal="center"/>
    </xf>
    <xf numFmtId="166" fontId="19" fillId="0" borderId="0" xfId="22" applyNumberFormat="1" applyFont="1" applyAlignment="1">
      <alignment horizontal="center"/>
    </xf>
    <xf numFmtId="3" fontId="19" fillId="0" borderId="19" xfId="15" applyNumberFormat="1" applyFont="1" applyBorder="1"/>
    <xf numFmtId="177" fontId="22" fillId="2" borderId="19" xfId="15" applyNumberFormat="1" applyFont="1" applyFill="1" applyBorder="1" applyAlignment="1">
      <alignment horizontal="right"/>
    </xf>
    <xf numFmtId="166" fontId="22" fillId="0" borderId="19" xfId="15" applyNumberFormat="1" applyFont="1" applyBorder="1" applyAlignment="1">
      <alignment horizontal="left"/>
    </xf>
    <xf numFmtId="166" fontId="22" fillId="0" borderId="19" xfId="22" applyNumberFormat="1" applyBorder="1"/>
    <xf numFmtId="166" fontId="19" fillId="0" borderId="19" xfId="15" applyNumberFormat="1" applyFont="1" applyBorder="1" applyAlignment="1">
      <alignment horizontal="left"/>
    </xf>
    <xf numFmtId="166" fontId="19" fillId="0" borderId="0" xfId="22" applyNumberFormat="1" applyFont="1" applyAlignment="1">
      <alignment horizontal="right"/>
    </xf>
    <xf numFmtId="166" fontId="19" fillId="0" borderId="0" xfId="15" applyNumberFormat="1" applyFont="1"/>
    <xf numFmtId="166" fontId="15" fillId="0" borderId="0" xfId="15" applyNumberFormat="1"/>
    <xf numFmtId="167" fontId="15" fillId="0" borderId="0" xfId="15" applyNumberFormat="1"/>
    <xf numFmtId="3" fontId="19" fillId="0" borderId="32" xfId="15" applyNumberFormat="1" applyFont="1" applyBorder="1" applyAlignment="1">
      <alignment horizontal="center" vertical="top"/>
    </xf>
    <xf numFmtId="177" fontId="19" fillId="0" borderId="33" xfId="15" applyNumberFormat="1" applyFont="1" applyBorder="1" applyAlignment="1">
      <alignment horizontal="center" vertical="top"/>
    </xf>
    <xf numFmtId="166" fontId="19" fillId="0" borderId="33" xfId="22" applyNumberFormat="1" applyFont="1" applyBorder="1" applyAlignment="1">
      <alignment horizontal="center" vertical="top"/>
    </xf>
    <xf numFmtId="177" fontId="19" fillId="0" borderId="32" xfId="15" applyNumberFormat="1" applyFont="1" applyBorder="1" applyAlignment="1">
      <alignment horizontal="center" vertical="top"/>
    </xf>
    <xf numFmtId="166" fontId="19" fillId="0" borderId="0" xfId="22" applyNumberFormat="1" applyFont="1" applyAlignment="1">
      <alignment vertical="top" wrapText="1"/>
    </xf>
    <xf numFmtId="166" fontId="22" fillId="0" borderId="0" xfId="22" applyNumberFormat="1" applyAlignment="1">
      <alignment horizontal="center" vertical="center"/>
    </xf>
    <xf numFmtId="166" fontId="19" fillId="0" borderId="0" xfId="15" applyNumberFormat="1" applyFont="1" applyAlignment="1">
      <alignment horizontal="left"/>
    </xf>
    <xf numFmtId="179" fontId="22" fillId="0" borderId="0" xfId="22" applyNumberFormat="1" applyAlignment="1">
      <alignment horizontal="center"/>
    </xf>
    <xf numFmtId="166" fontId="23" fillId="0" borderId="0" xfId="15" applyNumberFormat="1" applyFont="1" applyAlignment="1">
      <alignment horizontal="right"/>
    </xf>
    <xf numFmtId="3" fontId="22" fillId="0" borderId="2" xfId="15" applyNumberFormat="1" applyFont="1" applyBorder="1" applyAlignment="1">
      <alignment horizontal="center" vertical="top"/>
    </xf>
    <xf numFmtId="177" fontId="22" fillId="0" borderId="2" xfId="15" applyNumberFormat="1" applyFont="1" applyBorder="1" applyAlignment="1">
      <alignment horizontal="left" vertical="top" wrapText="1"/>
    </xf>
    <xf numFmtId="166" fontId="22" fillId="0" borderId="9" xfId="15" applyNumberFormat="1" applyFont="1" applyBorder="1" applyAlignment="1">
      <alignment vertical="top"/>
    </xf>
    <xf numFmtId="166" fontId="22" fillId="0" borderId="9" xfId="22" applyNumberFormat="1" applyBorder="1" applyAlignment="1">
      <alignment vertical="top" wrapText="1"/>
    </xf>
    <xf numFmtId="166" fontId="22" fillId="0" borderId="2" xfId="22" applyNumberFormat="1" applyBorder="1" applyAlignment="1">
      <alignment vertical="top" wrapText="1"/>
    </xf>
    <xf numFmtId="0" fontId="54" fillId="0" borderId="0" xfId="15" applyFont="1" applyAlignment="1">
      <alignment vertical="top"/>
    </xf>
    <xf numFmtId="166" fontId="19" fillId="0" borderId="0" xfId="22" applyNumberFormat="1" applyFont="1" applyAlignment="1">
      <alignment horizontal="center" vertical="center"/>
    </xf>
    <xf numFmtId="166" fontId="22" fillId="0" borderId="0" xfId="22" applyNumberFormat="1" applyAlignment="1">
      <alignment horizontal="center" vertical="top"/>
    </xf>
    <xf numFmtId="166" fontId="22" fillId="0" borderId="0" xfId="22" applyNumberFormat="1" applyAlignment="1">
      <alignment vertical="top" wrapText="1"/>
    </xf>
    <xf numFmtId="2" fontId="22" fillId="0" borderId="0" xfId="22" applyNumberFormat="1" applyAlignment="1">
      <alignment vertical="top"/>
    </xf>
    <xf numFmtId="166" fontId="24" fillId="0" borderId="0" xfId="15" applyNumberFormat="1" applyFont="1"/>
    <xf numFmtId="1" fontId="15" fillId="0" borderId="0" xfId="15" applyNumberFormat="1" applyAlignment="1">
      <alignment vertical="top"/>
    </xf>
    <xf numFmtId="166" fontId="15" fillId="0" borderId="0" xfId="15" applyNumberFormat="1" applyAlignment="1">
      <alignment vertical="top"/>
    </xf>
    <xf numFmtId="173" fontId="22" fillId="0" borderId="2" xfId="16" applyNumberFormat="1" applyBorder="1" applyAlignment="1">
      <alignment vertical="top" wrapText="1"/>
    </xf>
    <xf numFmtId="166" fontId="22" fillId="0" borderId="9" xfId="22" applyNumberFormat="1" applyBorder="1" applyAlignment="1">
      <alignment vertical="top"/>
    </xf>
    <xf numFmtId="2" fontId="22" fillId="0" borderId="0" xfId="15" applyNumberFormat="1" applyFont="1" applyAlignment="1">
      <alignment vertical="top"/>
    </xf>
    <xf numFmtId="166" fontId="22" fillId="0" borderId="0" xfId="22" applyNumberFormat="1" applyAlignment="1">
      <alignment horizontal="right" vertical="top"/>
    </xf>
    <xf numFmtId="1" fontId="15" fillId="0" borderId="0" xfId="15" applyNumberFormat="1" applyAlignment="1">
      <alignment horizontal="center" vertical="top"/>
    </xf>
    <xf numFmtId="166" fontId="19" fillId="0" borderId="0" xfId="15" applyNumberFormat="1" applyFont="1" applyAlignment="1">
      <alignment horizontal="center" vertical="top"/>
    </xf>
    <xf numFmtId="166" fontId="15" fillId="0" borderId="0" xfId="15" applyNumberFormat="1" applyAlignment="1">
      <alignment horizontal="center" vertical="top"/>
    </xf>
    <xf numFmtId="166" fontId="15" fillId="0" borderId="0" xfId="15" applyNumberFormat="1" applyAlignment="1">
      <alignment horizontal="right" vertical="top"/>
    </xf>
    <xf numFmtId="166" fontId="15" fillId="0" borderId="0" xfId="15" applyNumberFormat="1" applyAlignment="1">
      <alignment horizontal="left"/>
    </xf>
    <xf numFmtId="2" fontId="22" fillId="0" borderId="9" xfId="22" applyNumberFormat="1" applyBorder="1" applyAlignment="1">
      <alignment vertical="top"/>
    </xf>
    <xf numFmtId="2" fontId="22" fillId="0" borderId="0" xfId="22" applyNumberFormat="1"/>
    <xf numFmtId="2" fontId="22" fillId="0" borderId="0" xfId="22" applyNumberFormat="1" applyAlignment="1">
      <alignment vertical="top" wrapText="1"/>
    </xf>
    <xf numFmtId="167" fontId="22" fillId="0" borderId="0" xfId="22" applyNumberFormat="1" applyAlignment="1">
      <alignment horizontal="center" vertical="top" wrapText="1"/>
    </xf>
    <xf numFmtId="166" fontId="15" fillId="0" borderId="0" xfId="15" applyNumberFormat="1" applyAlignment="1">
      <alignment horizontal="left" vertical="top" wrapText="1"/>
    </xf>
    <xf numFmtId="177" fontId="22" fillId="0" borderId="2" xfId="15" applyNumberFormat="1" applyFont="1" applyBorder="1" applyAlignment="1">
      <alignment vertical="top"/>
    </xf>
    <xf numFmtId="166" fontId="22" fillId="0" borderId="0" xfId="15" applyNumberFormat="1" applyFont="1" applyAlignment="1">
      <alignment vertical="top"/>
    </xf>
    <xf numFmtId="166" fontId="23" fillId="0" borderId="0" xfId="15" applyNumberFormat="1" applyFont="1" applyAlignment="1">
      <alignment horizontal="center"/>
    </xf>
    <xf numFmtId="166" fontId="23" fillId="0" borderId="0" xfId="15" applyNumberFormat="1" applyFont="1"/>
    <xf numFmtId="166" fontId="17" fillId="0" borderId="0" xfId="15" applyNumberFormat="1" applyFont="1" applyAlignment="1">
      <alignment horizontal="center"/>
    </xf>
    <xf numFmtId="166" fontId="57" fillId="0" borderId="0" xfId="15" applyNumberFormat="1" applyFont="1" applyAlignment="1">
      <alignment vertical="top"/>
    </xf>
    <xf numFmtId="0" fontId="15" fillId="0" borderId="0" xfId="15" applyAlignment="1">
      <alignment vertical="top"/>
    </xf>
    <xf numFmtId="177" fontId="22" fillId="0" borderId="2" xfId="15" applyNumberFormat="1" applyFont="1" applyBorder="1" applyAlignment="1">
      <alignment vertical="top" wrapText="1"/>
    </xf>
    <xf numFmtId="166" fontId="22" fillId="0" borderId="9" xfId="15" applyNumberFormat="1" applyFont="1" applyBorder="1" applyAlignment="1">
      <alignment vertical="top" wrapText="1"/>
    </xf>
    <xf numFmtId="2" fontId="22" fillId="0" borderId="9" xfId="22" applyNumberFormat="1" applyBorder="1" applyAlignment="1">
      <alignment vertical="top" wrapText="1"/>
    </xf>
    <xf numFmtId="170" fontId="22" fillId="0" borderId="0" xfId="22" applyNumberFormat="1" applyAlignment="1">
      <alignment horizontal="center" vertical="top"/>
    </xf>
    <xf numFmtId="1" fontId="17" fillId="0" borderId="0" xfId="15" applyNumberFormat="1" applyFont="1" applyAlignment="1">
      <alignment horizontal="center" vertical="top"/>
    </xf>
    <xf numFmtId="166" fontId="27" fillId="0" borderId="0" xfId="15" applyNumberFormat="1" applyFont="1" applyAlignment="1">
      <alignment vertical="top" wrapText="1"/>
    </xf>
    <xf numFmtId="166" fontId="27" fillId="0" borderId="0" xfId="15" applyNumberFormat="1" applyFont="1" applyAlignment="1">
      <alignment horizontal="center" vertical="top" wrapText="1"/>
    </xf>
    <xf numFmtId="167" fontId="27" fillId="0" borderId="0" xfId="15" applyNumberFormat="1" applyFont="1" applyAlignment="1">
      <alignment horizontal="center" vertical="top" wrapText="1"/>
    </xf>
    <xf numFmtId="167" fontId="27" fillId="0" borderId="0" xfId="15" applyNumberFormat="1" applyFont="1" applyAlignment="1">
      <alignment vertical="top" wrapText="1"/>
    </xf>
    <xf numFmtId="167" fontId="15" fillId="0" borderId="0" xfId="15" applyNumberFormat="1" applyAlignment="1">
      <alignment horizontal="center"/>
    </xf>
    <xf numFmtId="0" fontId="15" fillId="0" borderId="0" xfId="15" applyAlignment="1">
      <alignment horizontal="center" vertical="top"/>
    </xf>
    <xf numFmtId="2" fontId="22" fillId="0" borderId="9" xfId="15" applyNumberFormat="1" applyFont="1" applyBorder="1" applyAlignment="1">
      <alignment vertical="top"/>
    </xf>
    <xf numFmtId="166" fontId="22" fillId="0" borderId="0" xfId="22" applyNumberFormat="1" applyAlignment="1">
      <alignment wrapText="1"/>
    </xf>
    <xf numFmtId="1" fontId="17" fillId="0" borderId="0" xfId="15" applyNumberFormat="1" applyFont="1" applyAlignment="1">
      <alignment horizontal="center"/>
    </xf>
    <xf numFmtId="0" fontId="15" fillId="0" borderId="0" xfId="15" applyAlignment="1">
      <alignment horizontal="center"/>
    </xf>
    <xf numFmtId="2" fontId="54" fillId="0" borderId="0" xfId="15" applyNumberFormat="1" applyFont="1" applyAlignment="1">
      <alignment horizontal="center" vertical="top"/>
    </xf>
    <xf numFmtId="166" fontId="17" fillId="0" borderId="0" xfId="15" applyNumberFormat="1" applyFont="1" applyAlignment="1">
      <alignment horizontal="right"/>
    </xf>
    <xf numFmtId="3" fontId="22" fillId="0" borderId="10" xfId="15" applyNumberFormat="1" applyFont="1" applyBorder="1" applyAlignment="1">
      <alignment horizontal="center" vertical="top"/>
    </xf>
    <xf numFmtId="177" fontId="22" fillId="0" borderId="10" xfId="15" applyNumberFormat="1" applyFont="1" applyBorder="1" applyAlignment="1">
      <alignment vertical="top" wrapText="1"/>
    </xf>
    <xf numFmtId="166" fontId="19" fillId="0" borderId="0" xfId="22" applyNumberFormat="1" applyFont="1" applyAlignment="1">
      <alignment horizontal="center" vertical="top"/>
    </xf>
    <xf numFmtId="166" fontId="19" fillId="0" borderId="0" xfId="22" applyNumberFormat="1" applyFont="1" applyAlignment="1">
      <alignment vertical="top"/>
    </xf>
    <xf numFmtId="166" fontId="17" fillId="0" borderId="0" xfId="15" applyNumberFormat="1" applyFont="1" applyAlignment="1">
      <alignment horizontal="left" vertical="top" wrapText="1"/>
    </xf>
    <xf numFmtId="167" fontId="15" fillId="0" borderId="0" xfId="15" applyNumberFormat="1" applyAlignment="1">
      <alignment horizontal="center" vertical="top"/>
    </xf>
    <xf numFmtId="166" fontId="17" fillId="0" borderId="0" xfId="15" applyNumberFormat="1" applyFont="1" applyAlignment="1">
      <alignment horizontal="right" vertical="top"/>
    </xf>
    <xf numFmtId="177" fontId="19" fillId="0" borderId="10" xfId="15" applyNumberFormat="1" applyFont="1" applyBorder="1" applyAlignment="1">
      <alignment horizontal="right" vertical="top" wrapText="1"/>
    </xf>
    <xf numFmtId="166" fontId="19" fillId="0" borderId="9" xfId="15" applyNumberFormat="1" applyFont="1" applyBorder="1" applyAlignment="1">
      <alignment vertical="top"/>
    </xf>
    <xf numFmtId="166" fontId="19" fillId="0" borderId="2" xfId="22" applyNumberFormat="1" applyFont="1" applyBorder="1" applyAlignment="1">
      <alignment vertical="top" wrapText="1"/>
    </xf>
    <xf numFmtId="2" fontId="22" fillId="0" borderId="0" xfId="22" applyNumberFormat="1" applyAlignment="1">
      <alignment horizontal="right"/>
    </xf>
    <xf numFmtId="167" fontId="19" fillId="0" borderId="0" xfId="22" applyNumberFormat="1" applyFont="1" applyAlignment="1">
      <alignment horizontal="center"/>
    </xf>
    <xf numFmtId="166" fontId="19" fillId="0" borderId="0" xfId="22" applyNumberFormat="1" applyFont="1" applyAlignment="1">
      <alignment horizontal="left"/>
    </xf>
    <xf numFmtId="166" fontId="19" fillId="0" borderId="0" xfId="22" applyNumberFormat="1" applyFont="1"/>
    <xf numFmtId="177" fontId="19" fillId="0" borderId="9" xfId="15" applyNumberFormat="1" applyFont="1" applyBorder="1" applyAlignment="1">
      <alignment vertical="top"/>
    </xf>
    <xf numFmtId="166" fontId="19" fillId="0" borderId="22" xfId="15" applyNumberFormat="1" applyFont="1" applyBorder="1" applyAlignment="1">
      <alignment vertical="top"/>
    </xf>
    <xf numFmtId="2" fontId="19" fillId="0" borderId="22" xfId="22" applyNumberFormat="1" applyFont="1" applyBorder="1" applyAlignment="1">
      <alignment vertical="top"/>
    </xf>
    <xf numFmtId="166" fontId="22" fillId="0" borderId="9" xfId="22" applyNumberFormat="1" applyBorder="1"/>
    <xf numFmtId="1" fontId="17" fillId="0" borderId="0" xfId="15" applyNumberFormat="1" applyFont="1" applyAlignment="1">
      <alignment horizontal="right"/>
    </xf>
    <xf numFmtId="166" fontId="23" fillId="0" borderId="0" xfId="15" applyNumberFormat="1" applyFont="1" applyAlignment="1">
      <alignment horizontal="right" wrapText="1"/>
    </xf>
    <xf numFmtId="167" fontId="23" fillId="0" borderId="0" xfId="15" applyNumberFormat="1" applyFont="1" applyAlignment="1">
      <alignment horizontal="right"/>
    </xf>
    <xf numFmtId="3" fontId="22" fillId="0" borderId="2" xfId="15" applyNumberFormat="1" applyFont="1" applyBorder="1" applyAlignment="1">
      <alignment horizontal="right" vertical="top"/>
    </xf>
    <xf numFmtId="177" fontId="22" fillId="0" borderId="0" xfId="15" applyNumberFormat="1" applyFont="1" applyAlignment="1">
      <alignment vertical="top"/>
    </xf>
    <xf numFmtId="166" fontId="22" fillId="0" borderId="2" xfId="16" applyNumberFormat="1" applyBorder="1" applyAlignment="1">
      <alignment vertical="top"/>
    </xf>
    <xf numFmtId="166" fontId="23" fillId="0" borderId="0" xfId="15" applyNumberFormat="1" applyFont="1" applyAlignment="1">
      <alignment horizontal="left"/>
    </xf>
    <xf numFmtId="166" fontId="17" fillId="0" borderId="0" xfId="15" applyNumberFormat="1" applyFont="1" applyAlignment="1">
      <alignment horizontal="left"/>
    </xf>
    <xf numFmtId="3" fontId="12" fillId="0" borderId="2" xfId="15" applyNumberFormat="1" applyFont="1" applyBorder="1" applyAlignment="1">
      <alignment horizontal="right" vertical="top"/>
    </xf>
    <xf numFmtId="166" fontId="56" fillId="0" borderId="0" xfId="15" applyNumberFormat="1" applyFont="1"/>
    <xf numFmtId="166" fontId="22" fillId="0" borderId="12" xfId="15" applyNumberFormat="1" applyFont="1" applyBorder="1" applyAlignment="1">
      <alignment vertical="top"/>
    </xf>
    <xf numFmtId="166" fontId="22" fillId="0" borderId="10" xfId="16" applyNumberFormat="1" applyBorder="1" applyAlignment="1">
      <alignment vertical="top"/>
    </xf>
    <xf numFmtId="166" fontId="22" fillId="0" borderId="10" xfId="22" applyNumberFormat="1" applyBorder="1" applyAlignment="1">
      <alignment vertical="top" wrapText="1"/>
    </xf>
    <xf numFmtId="166" fontId="17" fillId="0" borderId="0" xfId="15" applyNumberFormat="1" applyFont="1"/>
    <xf numFmtId="3" fontId="15" fillId="0" borderId="12" xfId="15" applyNumberFormat="1" applyBorder="1" applyAlignment="1">
      <alignment horizontal="right" vertical="top"/>
    </xf>
    <xf numFmtId="177" fontId="19" fillId="0" borderId="5" xfId="15" applyNumberFormat="1" applyFont="1" applyBorder="1" applyAlignment="1">
      <alignment horizontal="right" vertical="top" wrapText="1"/>
    </xf>
    <xf numFmtId="171" fontId="22" fillId="0" borderId="2" xfId="16" applyNumberFormat="1" applyBorder="1" applyAlignment="1">
      <alignment vertical="top"/>
    </xf>
    <xf numFmtId="179" fontId="22" fillId="0" borderId="0" xfId="22" applyNumberFormat="1"/>
    <xf numFmtId="166" fontId="17" fillId="0" borderId="0" xfId="15" applyNumberFormat="1" applyFont="1" applyAlignment="1">
      <alignment wrapText="1"/>
    </xf>
    <xf numFmtId="166" fontId="17" fillId="0" borderId="0" xfId="15" applyNumberFormat="1" applyFont="1" applyAlignment="1">
      <alignment horizontal="center" vertical="top"/>
    </xf>
    <xf numFmtId="3" fontId="22" fillId="0" borderId="5" xfId="15" applyNumberFormat="1" applyFont="1" applyBorder="1" applyAlignment="1">
      <alignment horizontal="center" vertical="top"/>
    </xf>
    <xf numFmtId="177" fontId="19" fillId="0" borderId="5" xfId="15" applyNumberFormat="1" applyFont="1" applyBorder="1" applyAlignment="1">
      <alignment vertical="top"/>
    </xf>
    <xf numFmtId="166" fontId="19" fillId="0" borderId="5" xfId="15" applyNumberFormat="1" applyFont="1" applyBorder="1" applyAlignment="1">
      <alignment vertical="top"/>
    </xf>
    <xf numFmtId="167" fontId="17" fillId="0" borderId="0" xfId="15" applyNumberFormat="1" applyFont="1" applyAlignment="1">
      <alignment horizontal="right"/>
    </xf>
    <xf numFmtId="3" fontId="22" fillId="0" borderId="1" xfId="15" applyNumberFormat="1" applyFont="1" applyBorder="1" applyAlignment="1">
      <alignment horizontal="center" vertical="top"/>
    </xf>
    <xf numFmtId="177" fontId="22" fillId="0" borderId="3" xfId="15" applyNumberFormat="1" applyFont="1" applyBorder="1" applyAlignment="1">
      <alignment vertical="top"/>
    </xf>
    <xf numFmtId="166" fontId="22" fillId="0" borderId="2" xfId="15" applyNumberFormat="1" applyFont="1" applyBorder="1" applyAlignment="1">
      <alignment vertical="top"/>
    </xf>
    <xf numFmtId="166" fontId="22" fillId="0" borderId="1" xfId="15" applyNumberFormat="1" applyFont="1" applyBorder="1" applyAlignment="1">
      <alignment vertical="top"/>
    </xf>
    <xf numFmtId="166" fontId="19" fillId="0" borderId="5" xfId="22" applyNumberFormat="1" applyFont="1" applyBorder="1" applyAlignment="1">
      <alignment vertical="top"/>
    </xf>
    <xf numFmtId="179" fontId="17" fillId="0" borderId="0" xfId="13" applyNumberFormat="1" applyAlignment="1">
      <alignment horizontal="right" vertical="top" wrapText="1"/>
    </xf>
    <xf numFmtId="2" fontId="23" fillId="0" borderId="0" xfId="22" applyNumberFormat="1" applyFont="1"/>
    <xf numFmtId="166" fontId="23" fillId="0" borderId="0" xfId="22" applyNumberFormat="1" applyFont="1" applyAlignment="1">
      <alignment wrapText="1"/>
    </xf>
    <xf numFmtId="166" fontId="58" fillId="0" borderId="0" xfId="22" applyNumberFormat="1" applyFont="1"/>
    <xf numFmtId="166" fontId="22" fillId="2" borderId="0" xfId="15" applyNumberFormat="1" applyFont="1" applyFill="1" applyAlignment="1">
      <alignment horizontal="right"/>
    </xf>
    <xf numFmtId="166" fontId="22" fillId="0" borderId="0" xfId="15" applyNumberFormat="1" applyFont="1" applyAlignment="1">
      <alignment horizontal="right"/>
    </xf>
    <xf numFmtId="177" fontId="22" fillId="0" borderId="5" xfId="15" applyNumberFormat="1" applyFont="1" applyBorder="1" applyAlignment="1">
      <alignment horizontal="right"/>
    </xf>
    <xf numFmtId="166" fontId="22" fillId="2" borderId="5" xfId="22" applyNumberFormat="1" applyFill="1" applyBorder="1" applyAlignment="1">
      <alignment horizontal="left" vertical="top"/>
    </xf>
    <xf numFmtId="166" fontId="22" fillId="2" borderId="5" xfId="15" applyNumberFormat="1" applyFont="1" applyFill="1" applyBorder="1" applyAlignment="1">
      <alignment horizontal="right" vertical="top"/>
    </xf>
    <xf numFmtId="0" fontId="53" fillId="5" borderId="0" xfId="16" applyNumberFormat="1" applyFont="1" applyFill="1" applyAlignment="1">
      <alignment horizontal="left" vertical="top" wrapText="1"/>
    </xf>
    <xf numFmtId="0" fontId="56" fillId="0" borderId="0" xfId="15" applyFont="1" applyAlignment="1">
      <alignment vertical="top"/>
    </xf>
    <xf numFmtId="166" fontId="22" fillId="2" borderId="5" xfId="15" quotePrefix="1" applyNumberFormat="1" applyFont="1" applyFill="1" applyBorder="1" applyAlignment="1">
      <alignment horizontal="right" vertical="top"/>
    </xf>
    <xf numFmtId="0" fontId="55" fillId="0" borderId="0" xfId="15" applyFont="1" applyAlignment="1">
      <alignment vertical="top" wrapText="1"/>
    </xf>
    <xf numFmtId="0" fontId="55" fillId="0" borderId="0" xfId="15" applyFont="1" applyAlignment="1">
      <alignment vertical="top"/>
    </xf>
    <xf numFmtId="1" fontId="55" fillId="0" borderId="0" xfId="15" applyNumberFormat="1" applyFont="1" applyAlignment="1">
      <alignment vertical="top"/>
    </xf>
    <xf numFmtId="166" fontId="22" fillId="0" borderId="5" xfId="22" applyNumberFormat="1" applyBorder="1" applyAlignment="1">
      <alignment horizontal="right" vertical="top" wrapText="1"/>
    </xf>
    <xf numFmtId="168" fontId="22" fillId="2" borderId="5" xfId="2" applyNumberFormat="1" applyFont="1" applyFill="1" applyBorder="1" applyAlignment="1">
      <alignment horizontal="left" vertical="top" wrapText="1"/>
    </xf>
    <xf numFmtId="166" fontId="22" fillId="0" borderId="5" xfId="15" quotePrefix="1" applyNumberFormat="1" applyFont="1" applyBorder="1" applyAlignment="1">
      <alignment horizontal="right"/>
    </xf>
    <xf numFmtId="166" fontId="22" fillId="0" borderId="5" xfId="22" applyNumberFormat="1" applyBorder="1"/>
    <xf numFmtId="166" fontId="22" fillId="0" borderId="0" xfId="15" quotePrefix="1" applyNumberFormat="1" applyFont="1" applyAlignment="1">
      <alignment horizontal="right"/>
    </xf>
    <xf numFmtId="166" fontId="22" fillId="0" borderId="14" xfId="22" applyNumberFormat="1" applyBorder="1" applyAlignment="1">
      <alignment horizontal="right" vertical="top" wrapText="1"/>
    </xf>
    <xf numFmtId="3" fontId="22" fillId="0" borderId="1" xfId="15" applyNumberFormat="1" applyFont="1" applyBorder="1" applyAlignment="1">
      <alignment horizontal="center"/>
    </xf>
    <xf numFmtId="177" fontId="22" fillId="0" borderId="14" xfId="15" applyNumberFormat="1" applyFont="1" applyBorder="1"/>
    <xf numFmtId="166" fontId="17" fillId="0" borderId="5" xfId="15" applyNumberFormat="1" applyFont="1" applyBorder="1"/>
    <xf numFmtId="0" fontId="59" fillId="0" borderId="0" xfId="16" applyNumberFormat="1" applyFont="1" applyAlignment="1">
      <alignment vertical="top" wrapText="1"/>
    </xf>
    <xf numFmtId="3" fontId="22" fillId="0" borderId="10" xfId="15" applyNumberFormat="1" applyFont="1" applyBorder="1" applyAlignment="1">
      <alignment horizontal="center"/>
    </xf>
    <xf numFmtId="166" fontId="15" fillId="0" borderId="12" xfId="15" applyNumberFormat="1" applyBorder="1" applyAlignment="1">
      <alignment horizontal="center"/>
    </xf>
    <xf numFmtId="166" fontId="17" fillId="0" borderId="5" xfId="15" applyNumberFormat="1" applyFont="1" applyBorder="1" applyAlignment="1">
      <alignment horizontal="center" vertical="center" wrapText="1"/>
    </xf>
    <xf numFmtId="166" fontId="17" fillId="0" borderId="5" xfId="15" applyNumberFormat="1" applyFont="1" applyBorder="1" applyAlignment="1">
      <alignment vertical="center" wrapText="1"/>
    </xf>
    <xf numFmtId="166" fontId="22" fillId="0" borderId="5" xfId="0" applyFont="1" applyBorder="1" applyAlignment="1">
      <alignment horizontal="center" vertical="center" wrapText="1"/>
    </xf>
    <xf numFmtId="166" fontId="17" fillId="0" borderId="5" xfId="15" applyNumberFormat="1" applyFont="1" applyBorder="1" applyAlignment="1">
      <alignment horizontal="center" vertical="top" wrapText="1"/>
    </xf>
    <xf numFmtId="166" fontId="17" fillId="0" borderId="5" xfId="15" applyNumberFormat="1" applyFont="1" applyBorder="1" applyAlignment="1">
      <alignment horizontal="center" vertical="center"/>
    </xf>
    <xf numFmtId="0" fontId="15" fillId="0" borderId="0" xfId="15" applyAlignment="1">
      <alignment vertical="top" wrapText="1"/>
    </xf>
    <xf numFmtId="168" fontId="12" fillId="2" borderId="12" xfId="2" applyNumberFormat="1" applyFont="1" applyFill="1" applyBorder="1" applyAlignment="1">
      <alignment horizontal="right"/>
    </xf>
    <xf numFmtId="168" fontId="17" fillId="2" borderId="5" xfId="2" applyNumberFormat="1" applyFont="1" applyFill="1" applyBorder="1" applyAlignment="1">
      <alignment horizontal="center" vertical="center" wrapText="1"/>
    </xf>
    <xf numFmtId="168" fontId="17" fillId="0" borderId="5" xfId="2" applyNumberFormat="1" applyFont="1" applyBorder="1" applyAlignment="1">
      <alignment horizontal="center" vertical="center" wrapText="1"/>
    </xf>
    <xf numFmtId="168" fontId="18" fillId="0" borderId="5" xfId="2" applyNumberFormat="1" applyFont="1" applyFill="1" applyBorder="1" applyAlignment="1" applyProtection="1">
      <alignment horizontal="center" vertical="center" wrapText="1"/>
    </xf>
    <xf numFmtId="9" fontId="17" fillId="2" borderId="5" xfId="2" applyFont="1" applyFill="1" applyBorder="1" applyAlignment="1">
      <alignment horizontal="center" vertical="center"/>
    </xf>
    <xf numFmtId="177" fontId="22" fillId="0" borderId="14" xfId="15" applyNumberFormat="1" applyFont="1" applyBorder="1" applyAlignment="1">
      <alignment vertical="top"/>
    </xf>
    <xf numFmtId="166" fontId="22" fillId="0" borderId="5" xfId="15" applyNumberFormat="1" applyFont="1" applyBorder="1" applyAlignment="1">
      <alignment horizontal="right" vertical="top"/>
    </xf>
    <xf numFmtId="2" fontId="54" fillId="0" borderId="5" xfId="15" applyNumberFormat="1" applyFont="1" applyBorder="1" applyAlignment="1">
      <alignment vertical="top"/>
    </xf>
    <xf numFmtId="166" fontId="19" fillId="0" borderId="5" xfId="15" applyNumberFormat="1" applyFont="1" applyBorder="1" applyAlignment="1">
      <alignment horizontal="center"/>
    </xf>
    <xf numFmtId="2" fontId="22" fillId="0" borderId="5" xfId="15" applyNumberFormat="1" applyFont="1" applyBorder="1" applyAlignment="1">
      <alignment horizontal="right" vertical="top"/>
    </xf>
    <xf numFmtId="3" fontId="22" fillId="0" borderId="5" xfId="15" applyNumberFormat="1" applyFont="1" applyBorder="1" applyAlignment="1">
      <alignment horizontal="center"/>
    </xf>
    <xf numFmtId="177" fontId="22" fillId="0" borderId="14" xfId="15" applyNumberFormat="1" applyFont="1" applyBorder="1" applyAlignment="1">
      <alignment wrapText="1"/>
    </xf>
    <xf numFmtId="166" fontId="22" fillId="0" borderId="5" xfId="15" applyNumberFormat="1" applyFont="1" applyBorder="1" applyAlignment="1">
      <alignment horizontal="right"/>
    </xf>
    <xf numFmtId="2" fontId="22" fillId="0" borderId="5" xfId="15" applyNumberFormat="1" applyFont="1" applyBorder="1" applyAlignment="1">
      <alignment horizontal="right"/>
    </xf>
    <xf numFmtId="0" fontId="59" fillId="0" borderId="0" xfId="16" applyNumberFormat="1" applyFont="1" applyAlignment="1">
      <alignment horizontal="left" vertical="top" wrapText="1"/>
    </xf>
    <xf numFmtId="0" fontId="22" fillId="0" borderId="0" xfId="16" applyNumberFormat="1" applyAlignment="1">
      <alignment vertical="top"/>
    </xf>
    <xf numFmtId="177" fontId="22" fillId="0" borderId="0" xfId="15" applyNumberFormat="1" applyFont="1" applyAlignment="1">
      <alignment vertical="top" wrapText="1"/>
    </xf>
    <xf numFmtId="177" fontId="22" fillId="0" borderId="5" xfId="15" applyNumberFormat="1" applyFont="1" applyBorder="1" applyAlignment="1">
      <alignment vertical="top" wrapText="1"/>
    </xf>
    <xf numFmtId="177" fontId="22" fillId="0" borderId="14" xfId="15" applyNumberFormat="1" applyFont="1" applyBorder="1" applyAlignment="1">
      <alignment vertical="top" wrapText="1"/>
    </xf>
    <xf numFmtId="2" fontId="22" fillId="0" borderId="5" xfId="15" applyNumberFormat="1" applyFont="1" applyBorder="1" applyAlignment="1">
      <alignment vertical="top"/>
    </xf>
    <xf numFmtId="166" fontId="19" fillId="0" borderId="5" xfId="15" applyNumberFormat="1" applyFont="1" applyBorder="1" applyAlignment="1">
      <alignment horizontal="right" vertical="top"/>
    </xf>
    <xf numFmtId="0" fontId="53" fillId="0" borderId="0" xfId="16" applyNumberFormat="1" applyFont="1" applyAlignment="1">
      <alignment horizontal="left" vertical="top" wrapText="1"/>
    </xf>
    <xf numFmtId="166" fontId="19" fillId="0" borderId="5" xfId="15" applyNumberFormat="1" applyFont="1" applyBorder="1" applyAlignment="1">
      <alignment horizontal="center" vertical="top"/>
    </xf>
    <xf numFmtId="0" fontId="60" fillId="0" borderId="0" xfId="16" applyNumberFormat="1" applyFont="1" applyAlignment="1">
      <alignment horizontal="left" vertical="top"/>
    </xf>
    <xf numFmtId="177" fontId="22" fillId="0" borderId="2" xfId="15" applyNumberFormat="1" applyFont="1" applyBorder="1" applyAlignment="1">
      <alignment horizontal="left" vertical="center" wrapText="1"/>
    </xf>
    <xf numFmtId="2" fontId="54" fillId="0" borderId="5" xfId="15" applyNumberFormat="1" applyFont="1" applyBorder="1"/>
    <xf numFmtId="166" fontId="19" fillId="0" borderId="13" xfId="15" applyNumberFormat="1" applyFont="1" applyBorder="1" applyAlignment="1">
      <alignment horizontal="center"/>
    </xf>
    <xf numFmtId="166" fontId="22" fillId="0" borderId="13" xfId="15" applyNumberFormat="1" applyFont="1" applyBorder="1" applyAlignment="1">
      <alignment horizontal="center"/>
    </xf>
    <xf numFmtId="177" fontId="22" fillId="0" borderId="5" xfId="15" applyNumberFormat="1" applyFont="1" applyBorder="1" applyAlignment="1">
      <alignment horizontal="left" vertical="top" wrapText="1"/>
    </xf>
    <xf numFmtId="166" fontId="19" fillId="0" borderId="13" xfId="15" applyNumberFormat="1" applyFont="1" applyBorder="1" applyAlignment="1">
      <alignment horizontal="center" vertical="top"/>
    </xf>
    <xf numFmtId="177" fontId="22" fillId="0" borderId="14" xfId="15" applyNumberFormat="1" applyFont="1" applyBorder="1" applyAlignment="1">
      <alignment horizontal="left" vertical="top" wrapText="1"/>
    </xf>
    <xf numFmtId="166" fontId="22" fillId="0" borderId="13" xfId="15" applyNumberFormat="1" applyFont="1" applyBorder="1" applyAlignment="1">
      <alignment horizontal="center" vertical="top"/>
    </xf>
    <xf numFmtId="177" fontId="19" fillId="0" borderId="14" xfId="15" applyNumberFormat="1" applyFont="1" applyBorder="1"/>
    <xf numFmtId="2" fontId="19" fillId="0" borderId="5" xfId="15" applyNumberFormat="1" applyFont="1" applyBorder="1" applyAlignment="1">
      <alignment horizontal="right"/>
    </xf>
    <xf numFmtId="2" fontId="15" fillId="0" borderId="0" xfId="15" applyNumberFormat="1"/>
    <xf numFmtId="3" fontId="15" fillId="0" borderId="0" xfId="15" applyNumberFormat="1"/>
    <xf numFmtId="166" fontId="15" fillId="0" borderId="0" xfId="15" applyNumberFormat="1" applyAlignment="1">
      <alignment horizontal="right"/>
    </xf>
    <xf numFmtId="166" fontId="19" fillId="0" borderId="0" xfId="15" applyNumberFormat="1" applyFont="1" applyAlignment="1">
      <alignment horizontal="center" vertical="top" wrapText="1"/>
    </xf>
    <xf numFmtId="1" fontId="57" fillId="0" borderId="0" xfId="15" applyNumberFormat="1" applyFont="1" applyAlignment="1">
      <alignment horizontal="center"/>
    </xf>
    <xf numFmtId="166" fontId="57" fillId="0" borderId="0" xfId="15" applyNumberFormat="1" applyFont="1" applyAlignment="1">
      <alignment horizontal="left" wrapText="1"/>
    </xf>
    <xf numFmtId="166" fontId="15" fillId="0" borderId="0" xfId="15" applyNumberFormat="1" applyAlignment="1">
      <alignment horizontal="center"/>
    </xf>
    <xf numFmtId="166" fontId="17" fillId="0" borderId="0" xfId="15" applyNumberFormat="1" applyFont="1" applyAlignment="1">
      <alignment horizontal="left" wrapText="1"/>
    </xf>
    <xf numFmtId="166" fontId="17" fillId="0" borderId="0" xfId="15" applyNumberFormat="1" applyFont="1" applyAlignment="1">
      <alignment vertical="top"/>
    </xf>
    <xf numFmtId="166" fontId="17" fillId="0" borderId="0" xfId="15" applyNumberFormat="1" applyFont="1" applyAlignment="1">
      <alignment horizontal="center" vertical="center"/>
    </xf>
    <xf numFmtId="166" fontId="17" fillId="0" borderId="0" xfId="15" quotePrefix="1" applyNumberFormat="1" applyFont="1" applyAlignment="1">
      <alignment horizontal="center" vertical="center"/>
    </xf>
    <xf numFmtId="166" fontId="23" fillId="0" borderId="0" xfId="15" applyNumberFormat="1" applyFont="1" applyAlignment="1">
      <alignment horizontal="center" vertical="center" wrapText="1"/>
    </xf>
    <xf numFmtId="166" fontId="17" fillId="0" borderId="0" xfId="15" quotePrefix="1" applyNumberFormat="1" applyFont="1" applyAlignment="1">
      <alignment horizontal="center"/>
    </xf>
    <xf numFmtId="0" fontId="15" fillId="0" borderId="0" xfId="15" applyAlignment="1">
      <alignment wrapText="1"/>
    </xf>
    <xf numFmtId="166" fontId="17" fillId="0" borderId="0" xfId="15" applyNumberFormat="1" applyFont="1" applyAlignment="1">
      <alignment vertical="center" wrapText="1"/>
    </xf>
    <xf numFmtId="167" fontId="17" fillId="0" borderId="0" xfId="15" applyNumberFormat="1" applyFont="1" applyAlignment="1">
      <alignment horizontal="right" vertical="center"/>
    </xf>
    <xf numFmtId="166" fontId="17" fillId="0" borderId="0" xfId="15" applyNumberFormat="1" applyFont="1" applyAlignment="1">
      <alignment horizontal="right" vertical="center"/>
    </xf>
    <xf numFmtId="167" fontId="17" fillId="0" borderId="0" xfId="15" applyNumberFormat="1" applyFont="1" applyAlignment="1">
      <alignment horizontal="center" vertical="top"/>
    </xf>
    <xf numFmtId="167" fontId="17" fillId="0" borderId="0" xfId="15" applyNumberFormat="1" applyFont="1" applyAlignment="1">
      <alignment horizontal="center" vertical="center"/>
    </xf>
    <xf numFmtId="166" fontId="15" fillId="0" borderId="0" xfId="15" applyNumberFormat="1" applyAlignment="1">
      <alignment wrapText="1"/>
    </xf>
    <xf numFmtId="166" fontId="15" fillId="0" borderId="0" xfId="15" applyNumberFormat="1" applyAlignment="1">
      <alignment horizontal="center" vertical="center"/>
    </xf>
    <xf numFmtId="0" fontId="15" fillId="0" borderId="0" xfId="15" applyAlignment="1">
      <alignment horizontal="center" vertical="center"/>
    </xf>
    <xf numFmtId="0" fontId="15" fillId="0" borderId="0" xfId="15" applyAlignment="1">
      <alignment horizontal="left" vertical="center"/>
    </xf>
    <xf numFmtId="166" fontId="17" fillId="0" borderId="0" xfId="15" quotePrefix="1" applyNumberFormat="1" applyFont="1" applyAlignment="1">
      <alignment horizontal="left"/>
    </xf>
    <xf numFmtId="1" fontId="61" fillId="0" borderId="0" xfId="15" applyNumberFormat="1" applyFont="1" applyAlignment="1">
      <alignment horizontal="right"/>
    </xf>
    <xf numFmtId="166" fontId="23" fillId="0" borderId="0" xfId="15" applyNumberFormat="1" applyFont="1" applyAlignment="1">
      <alignment horizontal="left" wrapText="1"/>
    </xf>
    <xf numFmtId="0" fontId="49" fillId="0" borderId="5" xfId="0" applyNumberFormat="1" applyFont="1" applyBorder="1" applyAlignment="1">
      <alignment horizontal="center" vertical="top" wrapText="1"/>
    </xf>
    <xf numFmtId="0" fontId="44" fillId="0" borderId="22" xfId="5" applyFont="1" applyBorder="1" applyAlignment="1">
      <alignment horizontal="center" vertical="top" wrapText="1"/>
    </xf>
    <xf numFmtId="0" fontId="48" fillId="0" borderId="5" xfId="0" applyNumberFormat="1" applyFont="1" applyBorder="1" applyAlignment="1">
      <alignment vertical="top" wrapText="1"/>
    </xf>
    <xf numFmtId="166" fontId="40" fillId="0" borderId="5" xfId="5" applyNumberFormat="1" applyFont="1" applyBorder="1" applyAlignment="1">
      <alignment horizontal="center" vertical="center" wrapText="1"/>
    </xf>
    <xf numFmtId="166" fontId="40" fillId="0" borderId="5" xfId="5" applyNumberFormat="1" applyFont="1" applyBorder="1" applyAlignment="1">
      <alignment horizontal="left" vertical="center" wrapText="1"/>
    </xf>
    <xf numFmtId="0" fontId="40" fillId="0" borderId="5" xfId="5" applyFont="1" applyBorder="1" applyAlignment="1">
      <alignment horizontal="center" vertical="center"/>
    </xf>
    <xf numFmtId="0" fontId="40" fillId="0" borderId="0" xfId="5" applyFont="1" applyAlignment="1">
      <alignment vertical="center"/>
    </xf>
    <xf numFmtId="0" fontId="48" fillId="0" borderId="5" xfId="0" applyNumberFormat="1" applyFont="1" applyBorder="1" applyAlignment="1">
      <alignment horizontal="left" vertical="top" wrapText="1"/>
    </xf>
    <xf numFmtId="166" fontId="49" fillId="0" borderId="5" xfId="0" applyFont="1" applyBorder="1" applyAlignment="1">
      <alignment horizontal="center" vertical="top" wrapText="1"/>
    </xf>
    <xf numFmtId="167" fontId="27" fillId="0" borderId="1" xfId="0" applyNumberFormat="1" applyFont="1" applyBorder="1" applyAlignment="1">
      <alignment horizontal="center" vertical="top"/>
    </xf>
    <xf numFmtId="166" fontId="27" fillId="0" borderId="1" xfId="0" applyFont="1" applyBorder="1" applyAlignment="1">
      <alignment horizontal="left" vertical="top"/>
    </xf>
    <xf numFmtId="49" fontId="27" fillId="0" borderId="11" xfId="0" applyNumberFormat="1" applyFont="1" applyBorder="1" applyAlignment="1">
      <alignment horizontal="center" vertical="top"/>
    </xf>
    <xf numFmtId="2" fontId="27" fillId="0" borderId="1" xfId="0" applyNumberFormat="1" applyFont="1" applyBorder="1" applyAlignment="1">
      <alignment horizontal="right" vertical="top"/>
    </xf>
    <xf numFmtId="167" fontId="27" fillId="0" borderId="2" xfId="0" applyNumberFormat="1" applyFont="1" applyBorder="1" applyAlignment="1">
      <alignment horizontal="center" vertical="top"/>
    </xf>
    <xf numFmtId="166" fontId="27" fillId="0" borderId="2" xfId="0" applyFont="1" applyBorder="1" applyAlignment="1">
      <alignment horizontal="left" vertical="top"/>
    </xf>
    <xf numFmtId="49" fontId="27" fillId="0" borderId="0" xfId="0" applyNumberFormat="1" applyFont="1" applyAlignment="1">
      <alignment horizontal="center" vertical="top"/>
    </xf>
    <xf numFmtId="2" fontId="27" fillId="0" borderId="2" xfId="0" applyNumberFormat="1" applyFont="1" applyBorder="1" applyAlignment="1">
      <alignment horizontal="right" vertical="top"/>
    </xf>
    <xf numFmtId="166" fontId="27" fillId="0" borderId="2" xfId="0" applyFont="1" applyBorder="1" applyAlignment="1">
      <alignment vertical="top" wrapText="1"/>
    </xf>
    <xf numFmtId="166" fontId="27" fillId="0" borderId="0" xfId="0" applyFont="1" applyAlignment="1">
      <alignment horizontal="center" vertical="top"/>
    </xf>
    <xf numFmtId="166" fontId="27" fillId="0" borderId="2" xfId="0" applyFont="1" applyBorder="1" applyAlignment="1">
      <alignment vertical="top"/>
    </xf>
    <xf numFmtId="167" fontId="27" fillId="0" borderId="9" xfId="0" applyNumberFormat="1" applyFont="1" applyBorder="1" applyAlignment="1">
      <alignment horizontal="center" vertical="top"/>
    </xf>
    <xf numFmtId="166" fontId="27" fillId="0" borderId="9" xfId="0" applyFont="1" applyBorder="1" applyAlignment="1">
      <alignment horizontal="left" vertical="top"/>
    </xf>
    <xf numFmtId="166" fontId="27" fillId="0" borderId="2" xfId="0" applyFont="1" applyBorder="1" applyAlignment="1">
      <alignment horizontal="center" vertical="top"/>
    </xf>
    <xf numFmtId="166" fontId="27" fillId="0" borderId="9" xfId="0" applyFont="1" applyBorder="1" applyAlignment="1">
      <alignment vertical="top"/>
    </xf>
    <xf numFmtId="166" fontId="27" fillId="0" borderId="9" xfId="0" applyFont="1" applyBorder="1" applyAlignment="1">
      <alignment horizontal="center" vertical="top"/>
    </xf>
    <xf numFmtId="10" fontId="27" fillId="0" borderId="2" xfId="2" applyNumberFormat="1" applyFont="1" applyBorder="1" applyAlignment="1" applyProtection="1">
      <alignment horizontal="right" vertical="top"/>
    </xf>
    <xf numFmtId="167" fontId="27" fillId="0" borderId="10" xfId="0" applyNumberFormat="1" applyFont="1" applyBorder="1" applyAlignment="1">
      <alignment horizontal="center" vertical="top"/>
    </xf>
    <xf numFmtId="166" fontId="27" fillId="0" borderId="12" xfId="0" applyFont="1" applyBorder="1" applyAlignment="1">
      <alignment horizontal="left" vertical="top"/>
    </xf>
    <xf numFmtId="166" fontId="27" fillId="0" borderId="12" xfId="0" applyFont="1" applyBorder="1" applyAlignment="1">
      <alignment horizontal="center" vertical="top"/>
    </xf>
    <xf numFmtId="2" fontId="27" fillId="0" borderId="10" xfId="0" applyNumberFormat="1" applyFont="1" applyBorder="1" applyAlignment="1">
      <alignment horizontal="right" vertical="top"/>
    </xf>
    <xf numFmtId="9" fontId="38" fillId="0" borderId="0" xfId="2" applyFont="1" applyFill="1" applyAlignment="1">
      <alignment vertical="top"/>
    </xf>
    <xf numFmtId="166" fontId="22" fillId="0" borderId="0" xfId="0" applyFont="1" applyAlignment="1">
      <alignment wrapText="1"/>
    </xf>
    <xf numFmtId="166" fontId="48" fillId="0" borderId="5" xfId="0" applyFont="1" applyBorder="1" applyAlignment="1">
      <alignment vertical="top"/>
    </xf>
    <xf numFmtId="0" fontId="38" fillId="0" borderId="0" xfId="5" applyFont="1" applyAlignment="1">
      <alignment horizontal="right"/>
    </xf>
    <xf numFmtId="174" fontId="38" fillId="0" borderId="4" xfId="5" applyNumberFormat="1" applyFont="1" applyBorder="1" applyAlignment="1">
      <alignment horizontal="left" vertical="top"/>
    </xf>
    <xf numFmtId="174" fontId="38" fillId="0" borderId="0" xfId="5" applyNumberFormat="1" applyFont="1" applyAlignment="1">
      <alignment horizontal="left" vertical="top"/>
    </xf>
    <xf numFmtId="166" fontId="48" fillId="0" borderId="5" xfId="0" applyFont="1" applyBorder="1" applyAlignment="1">
      <alignment horizontal="center" vertical="top" wrapText="1"/>
    </xf>
    <xf numFmtId="166" fontId="49" fillId="0" borderId="5" xfId="0" applyFont="1" applyBorder="1" applyAlignment="1">
      <alignment horizontal="right" vertical="top" wrapText="1"/>
    </xf>
    <xf numFmtId="0" fontId="48" fillId="0" borderId="5" xfId="0" applyNumberFormat="1" applyFont="1" applyBorder="1" applyAlignment="1">
      <alignment horizontal="center" vertical="top" wrapText="1"/>
    </xf>
    <xf numFmtId="0" fontId="48" fillId="0" borderId="5" xfId="0" applyNumberFormat="1" applyFont="1" applyBorder="1" applyAlignment="1">
      <alignment horizontal="right" vertical="top" wrapText="1"/>
    </xf>
    <xf numFmtId="166" fontId="48" fillId="0" borderId="5" xfId="0" applyFont="1" applyBorder="1"/>
    <xf numFmtId="0" fontId="49" fillId="0" borderId="5" xfId="0" applyNumberFormat="1" applyFont="1" applyBorder="1" applyAlignment="1">
      <alignment horizontal="left" vertical="top" wrapText="1"/>
    </xf>
    <xf numFmtId="166" fontId="49" fillId="0" borderId="5" xfId="0" applyFont="1" applyBorder="1" applyAlignment="1">
      <alignment horizontal="left" vertical="top" wrapText="1"/>
    </xf>
    <xf numFmtId="166" fontId="0" fillId="0" borderId="11" xfId="0" applyBorder="1"/>
    <xf numFmtId="166" fontId="48" fillId="0" borderId="0" xfId="0" applyFont="1"/>
    <xf numFmtId="166" fontId="74" fillId="0" borderId="0" xfId="0" applyFont="1" applyAlignment="1">
      <alignment vertical="top"/>
    </xf>
    <xf numFmtId="166" fontId="48" fillId="0" borderId="0" xfId="0" applyFont="1" applyAlignment="1">
      <alignment vertical="top"/>
    </xf>
    <xf numFmtId="166" fontId="65" fillId="0" borderId="23" xfId="0" applyFont="1" applyBorder="1" applyAlignment="1">
      <alignment horizontal="center" vertical="top"/>
    </xf>
    <xf numFmtId="166" fontId="65" fillId="0" borderId="24" xfId="0" applyFont="1" applyBorder="1" applyAlignment="1">
      <alignment horizontal="center" vertical="top"/>
    </xf>
    <xf numFmtId="166" fontId="48" fillId="0" borderId="0" xfId="0" applyFont="1" applyAlignment="1">
      <alignment horizontal="center"/>
    </xf>
    <xf numFmtId="166" fontId="68" fillId="0" borderId="5" xfId="0" applyFont="1" applyBorder="1" applyAlignment="1">
      <alignment vertical="top"/>
    </xf>
    <xf numFmtId="166" fontId="68" fillId="0" borderId="5" xfId="0" applyFont="1" applyBorder="1" applyAlignment="1">
      <alignment horizontal="center" vertical="top"/>
    </xf>
    <xf numFmtId="166" fontId="48" fillId="0" borderId="5" xfId="0" applyFont="1" applyBorder="1" applyAlignment="1">
      <alignment horizontal="left"/>
    </xf>
    <xf numFmtId="166" fontId="49" fillId="0" borderId="22" xfId="0" applyFont="1" applyBorder="1"/>
    <xf numFmtId="166" fontId="75" fillId="0" borderId="11" xfId="0" applyFont="1" applyBorder="1"/>
    <xf numFmtId="166" fontId="48" fillId="0" borderId="11" xfId="0" applyFont="1" applyBorder="1"/>
    <xf numFmtId="166" fontId="48" fillId="0" borderId="7" xfId="0" applyFont="1" applyBorder="1"/>
    <xf numFmtId="166" fontId="48" fillId="0" borderId="5" xfId="0" applyFont="1" applyBorder="1" applyAlignment="1">
      <alignment horizontal="center"/>
    </xf>
    <xf numFmtId="167" fontId="48" fillId="0" borderId="5" xfId="0" applyNumberFormat="1" applyFont="1" applyBorder="1"/>
    <xf numFmtId="166" fontId="49" fillId="0" borderId="0" xfId="0" applyFont="1"/>
    <xf numFmtId="166" fontId="71" fillId="0" borderId="0" xfId="0" applyFont="1" applyAlignment="1">
      <alignment vertical="top"/>
    </xf>
    <xf numFmtId="166" fontId="48" fillId="0" borderId="5" xfId="0" applyFont="1" applyBorder="1" applyAlignment="1">
      <alignment horizontal="left" vertical="center"/>
    </xf>
    <xf numFmtId="166" fontId="48" fillId="0" borderId="0" xfId="0" applyFont="1" applyAlignment="1">
      <alignment horizontal="left" vertical="top"/>
    </xf>
    <xf numFmtId="167" fontId="27" fillId="2" borderId="5" xfId="0" applyNumberFormat="1" applyFont="1" applyFill="1" applyBorder="1" applyAlignment="1">
      <alignment horizontal="center"/>
    </xf>
    <xf numFmtId="166" fontId="27" fillId="2" borderId="5" xfId="0" applyFont="1" applyFill="1" applyBorder="1"/>
    <xf numFmtId="10" fontId="22" fillId="2" borderId="5" xfId="2" applyNumberFormat="1" applyFont="1" applyFill="1" applyBorder="1" applyAlignment="1">
      <alignment horizontal="right" vertical="top"/>
    </xf>
    <xf numFmtId="166" fontId="27" fillId="2" borderId="0" xfId="0" applyFont="1" applyFill="1"/>
    <xf numFmtId="166" fontId="48" fillId="0" borderId="5" xfId="0" applyFont="1" applyBorder="1" applyAlignment="1">
      <alignment vertical="top" wrapText="1"/>
    </xf>
    <xf numFmtId="166" fontId="48" fillId="0" borderId="5" xfId="0" applyFont="1" applyBorder="1" applyAlignment="1">
      <alignment horizontal="center" vertical="top"/>
    </xf>
    <xf numFmtId="166" fontId="68" fillId="0" borderId="5" xfId="0" applyFont="1" applyBorder="1" applyAlignment="1">
      <alignment vertical="top" wrapText="1"/>
    </xf>
    <xf numFmtId="166" fontId="65" fillId="0" borderId="5" xfId="0" applyFont="1" applyBorder="1" applyAlignment="1">
      <alignment vertical="top"/>
    </xf>
    <xf numFmtId="166" fontId="65" fillId="0" borderId="28" xfId="0" applyFont="1" applyBorder="1" applyAlignment="1">
      <alignment horizontal="center" vertical="top"/>
    </xf>
    <xf numFmtId="166" fontId="49" fillId="0" borderId="0" xfId="0" applyFont="1" applyAlignment="1">
      <alignment wrapText="1"/>
    </xf>
    <xf numFmtId="166" fontId="68" fillId="0" borderId="10" xfId="0" applyFont="1" applyBorder="1" applyAlignment="1">
      <alignment vertical="top"/>
    </xf>
    <xf numFmtId="166" fontId="68" fillId="0" borderId="10" xfId="0" applyFont="1" applyBorder="1" applyAlignment="1">
      <alignment horizontal="center" vertical="top"/>
    </xf>
    <xf numFmtId="167" fontId="68" fillId="4" borderId="10" xfId="0" applyNumberFormat="1" applyFont="1" applyFill="1" applyBorder="1" applyAlignment="1">
      <alignment horizontal="center" vertical="top"/>
    </xf>
    <xf numFmtId="167" fontId="48" fillId="4" borderId="12" xfId="0" applyNumberFormat="1" applyFont="1" applyFill="1" applyBorder="1" applyAlignment="1">
      <alignment horizontal="center" vertical="top"/>
    </xf>
    <xf numFmtId="167" fontId="65" fillId="4" borderId="5" xfId="0" applyNumberFormat="1" applyFont="1" applyFill="1" applyBorder="1" applyAlignment="1">
      <alignment horizontal="center" vertical="top" wrapText="1"/>
    </xf>
    <xf numFmtId="166" fontId="48" fillId="0" borderId="0" xfId="0" applyFont="1" applyAlignment="1">
      <alignment horizontal="left" wrapText="1"/>
    </xf>
    <xf numFmtId="167" fontId="68" fillId="4" borderId="5" xfId="0" applyNumberFormat="1" applyFont="1" applyFill="1" applyBorder="1" applyAlignment="1">
      <alignment horizontal="center" vertical="top"/>
    </xf>
    <xf numFmtId="167" fontId="48" fillId="4" borderId="14" xfId="0" applyNumberFormat="1" applyFont="1" applyFill="1" applyBorder="1" applyAlignment="1">
      <alignment horizontal="center" vertical="top"/>
    </xf>
    <xf numFmtId="166" fontId="68" fillId="4" borderId="5" xfId="0" applyFont="1" applyFill="1" applyBorder="1" applyAlignment="1">
      <alignment horizontal="center" vertical="top"/>
    </xf>
    <xf numFmtId="166" fontId="64" fillId="4" borderId="14" xfId="0" applyFont="1" applyFill="1" applyBorder="1" applyAlignment="1">
      <alignment horizontal="center" vertical="top"/>
    </xf>
    <xf numFmtId="166" fontId="65" fillId="4" borderId="5" xfId="0" applyFont="1" applyFill="1" applyBorder="1" applyAlignment="1">
      <alignment horizontal="center" vertical="top" wrapText="1"/>
    </xf>
    <xf numFmtId="167" fontId="48" fillId="0" borderId="0" xfId="0" applyNumberFormat="1" applyFont="1" applyAlignment="1">
      <alignment horizontal="center" vertical="top"/>
    </xf>
    <xf numFmtId="167" fontId="64" fillId="0" borderId="0" xfId="0" applyNumberFormat="1" applyFont="1" applyAlignment="1">
      <alignment horizontal="center" vertical="top" wrapText="1"/>
    </xf>
    <xf numFmtId="167" fontId="48" fillId="4" borderId="5" xfId="0" applyNumberFormat="1" applyFont="1" applyFill="1" applyBorder="1" applyAlignment="1">
      <alignment horizontal="center" vertical="top" wrapText="1"/>
    </xf>
    <xf numFmtId="167" fontId="48" fillId="4" borderId="14" xfId="0" applyNumberFormat="1" applyFont="1" applyFill="1" applyBorder="1" applyAlignment="1">
      <alignment horizontal="center" vertical="top" wrapText="1"/>
    </xf>
    <xf numFmtId="167" fontId="49" fillId="4" borderId="5" xfId="0" applyNumberFormat="1" applyFont="1" applyFill="1" applyBorder="1" applyAlignment="1">
      <alignment horizontal="center" vertical="top" wrapText="1"/>
    </xf>
    <xf numFmtId="167" fontId="48" fillId="0" borderId="0" xfId="0" applyNumberFormat="1" applyFont="1" applyAlignment="1">
      <alignment horizontal="center" vertical="top" wrapText="1"/>
    </xf>
    <xf numFmtId="166" fontId="68" fillId="4" borderId="5" xfId="0" quotePrefix="1" applyFont="1" applyFill="1" applyBorder="1" applyAlignment="1">
      <alignment horizontal="center" vertical="top"/>
    </xf>
    <xf numFmtId="166" fontId="48" fillId="4" borderId="14" xfId="0" quotePrefix="1" applyFont="1" applyFill="1" applyBorder="1" applyAlignment="1">
      <alignment horizontal="center" vertical="top"/>
    </xf>
    <xf numFmtId="166" fontId="68" fillId="0" borderId="0" xfId="0" quotePrefix="1" applyFont="1" applyAlignment="1">
      <alignment horizontal="center" vertical="top"/>
    </xf>
    <xf numFmtId="166" fontId="68" fillId="4" borderId="5" xfId="0" applyFont="1" applyFill="1" applyBorder="1" applyAlignment="1">
      <alignment horizontal="center"/>
    </xf>
    <xf numFmtId="166" fontId="48" fillId="4" borderId="14" xfId="0" applyFont="1" applyFill="1" applyBorder="1" applyAlignment="1">
      <alignment horizontal="center"/>
    </xf>
    <xf numFmtId="167" fontId="65" fillId="4" borderId="5" xfId="0" applyNumberFormat="1" applyFont="1" applyFill="1" applyBorder="1" applyAlignment="1">
      <alignment horizontal="center"/>
    </xf>
    <xf numFmtId="166" fontId="48" fillId="4" borderId="5" xfId="0" applyFont="1" applyFill="1" applyBorder="1" applyAlignment="1">
      <alignment horizontal="center" vertical="center"/>
    </xf>
    <xf numFmtId="166" fontId="48" fillId="4" borderId="14" xfId="0" applyFont="1" applyFill="1" applyBorder="1" applyAlignment="1">
      <alignment horizontal="center" vertical="center"/>
    </xf>
    <xf numFmtId="166" fontId="49" fillId="4" borderId="5" xfId="0" applyFont="1" applyFill="1" applyBorder="1" applyAlignment="1">
      <alignment horizontal="center"/>
    </xf>
    <xf numFmtId="167" fontId="48" fillId="4" borderId="5" xfId="0" applyNumberFormat="1" applyFont="1" applyFill="1" applyBorder="1"/>
    <xf numFmtId="167" fontId="66" fillId="2" borderId="5" xfId="0" applyNumberFormat="1" applyFont="1" applyFill="1" applyBorder="1"/>
    <xf numFmtId="167" fontId="48" fillId="2" borderId="5" xfId="0" applyNumberFormat="1" applyFont="1" applyFill="1" applyBorder="1"/>
    <xf numFmtId="167" fontId="48" fillId="0" borderId="5" xfId="0" applyNumberFormat="1" applyFont="1" applyBorder="1" applyAlignment="1">
      <alignment horizontal="center"/>
    </xf>
    <xf numFmtId="166" fontId="48" fillId="0" borderId="5" xfId="0" applyFont="1" applyBorder="1" applyAlignment="1">
      <alignment wrapText="1"/>
    </xf>
    <xf numFmtId="166" fontId="48" fillId="4" borderId="5" xfId="0" applyFont="1" applyFill="1" applyBorder="1" applyAlignment="1">
      <alignment vertical="top"/>
    </xf>
    <xf numFmtId="166" fontId="48" fillId="2" borderId="5" xfId="0" applyFont="1" applyFill="1" applyBorder="1" applyAlignment="1">
      <alignment vertical="top"/>
    </xf>
    <xf numFmtId="168" fontId="48" fillId="2" borderId="5" xfId="2" applyNumberFormat="1" applyFont="1" applyFill="1" applyBorder="1" applyAlignment="1" applyProtection="1">
      <alignment vertical="top"/>
    </xf>
    <xf numFmtId="10" fontId="48" fillId="2" borderId="5" xfId="2" applyNumberFormat="1" applyFont="1" applyFill="1" applyBorder="1" applyAlignment="1" applyProtection="1">
      <alignment horizontal="right" vertical="top"/>
    </xf>
    <xf numFmtId="166" fontId="79" fillId="2" borderId="5" xfId="0" applyFont="1" applyFill="1" applyBorder="1"/>
    <xf numFmtId="166" fontId="68" fillId="0" borderId="5" xfId="0" applyFont="1" applyBorder="1" applyAlignment="1">
      <alignment vertical="center"/>
    </xf>
    <xf numFmtId="167" fontId="68" fillId="2" borderId="5" xfId="0" applyNumberFormat="1" applyFont="1" applyFill="1" applyBorder="1" applyAlignment="1">
      <alignment horizontal="center" vertical="center"/>
    </xf>
    <xf numFmtId="166" fontId="68" fillId="2" borderId="5" xfId="0" applyFont="1" applyFill="1" applyBorder="1" applyAlignment="1">
      <alignment horizontal="center" vertical="center"/>
    </xf>
    <xf numFmtId="1" fontId="68" fillId="2" borderId="5" xfId="0" applyNumberFormat="1" applyFont="1" applyFill="1" applyBorder="1" applyAlignment="1">
      <alignment horizontal="center" vertical="center"/>
    </xf>
    <xf numFmtId="166" fontId="48" fillId="0" borderId="5" xfId="0" applyFont="1" applyBorder="1" applyAlignment="1">
      <alignment horizontal="left" vertical="top"/>
    </xf>
    <xf numFmtId="167" fontId="48" fillId="0" borderId="5" xfId="0" applyNumberFormat="1" applyFont="1" applyBorder="1" applyAlignment="1">
      <alignment horizontal="right" vertical="top"/>
    </xf>
    <xf numFmtId="166" fontId="48" fillId="0" borderId="5" xfId="0" quotePrefix="1" applyFont="1" applyBorder="1" applyAlignment="1">
      <alignment horizontal="center" vertical="top"/>
    </xf>
    <xf numFmtId="167" fontId="48" fillId="4" borderId="5" xfId="0" applyNumberFormat="1" applyFont="1" applyFill="1" applyBorder="1" applyAlignment="1">
      <alignment vertical="top"/>
    </xf>
    <xf numFmtId="166" fontId="68" fillId="6" borderId="5" xfId="0" applyFont="1" applyFill="1" applyBorder="1" applyAlignment="1">
      <alignment vertical="top" wrapText="1"/>
    </xf>
    <xf numFmtId="167" fontId="48" fillId="0" borderId="5" xfId="0" applyNumberFormat="1" applyFont="1" applyBorder="1" applyAlignment="1">
      <alignment vertical="top"/>
    </xf>
    <xf numFmtId="166" fontId="49" fillId="0" borderId="5" xfId="0" applyFont="1" applyBorder="1" applyAlignment="1">
      <alignment horizontal="right" vertical="top"/>
    </xf>
    <xf numFmtId="2" fontId="69" fillId="4" borderId="5" xfId="19" quotePrefix="1" applyNumberFormat="1" applyFont="1" applyFill="1" applyBorder="1" applyAlignment="1">
      <alignment horizontal="right"/>
    </xf>
    <xf numFmtId="166" fontId="49" fillId="0" borderId="0" xfId="0" applyFont="1" applyAlignment="1">
      <alignment horizontal="right"/>
    </xf>
    <xf numFmtId="2" fontId="48" fillId="2" borderId="5" xfId="0" quotePrefix="1" applyNumberFormat="1" applyFont="1" applyFill="1" applyBorder="1" applyAlignment="1">
      <alignment horizontal="center" vertical="top"/>
    </xf>
    <xf numFmtId="166" fontId="68" fillId="6" borderId="5" xfId="0" quotePrefix="1" applyFont="1" applyFill="1" applyBorder="1" applyAlignment="1">
      <alignment vertical="top"/>
    </xf>
    <xf numFmtId="2" fontId="69" fillId="4" borderId="2" xfId="19" quotePrefix="1" applyNumberFormat="1" applyFont="1" applyFill="1" applyBorder="1" applyAlignment="1">
      <alignment horizontal="right"/>
    </xf>
    <xf numFmtId="9" fontId="68" fillId="4" borderId="5" xfId="2" applyFont="1" applyFill="1" applyBorder="1" applyAlignment="1">
      <alignment vertical="top"/>
    </xf>
    <xf numFmtId="2" fontId="69" fillId="0" borderId="5" xfId="19" quotePrefix="1" applyNumberFormat="1" applyFont="1" applyBorder="1" applyAlignment="1">
      <alignment horizontal="right"/>
    </xf>
    <xf numFmtId="166" fontId="68" fillId="6" borderId="0" xfId="0" applyFont="1" applyFill="1" applyAlignment="1">
      <alignment vertical="top" wrapText="1"/>
    </xf>
    <xf numFmtId="166" fontId="48" fillId="0" borderId="5" xfId="3" applyNumberFormat="1" applyFont="1" applyBorder="1" applyAlignment="1">
      <alignment horizontal="left" vertical="top"/>
    </xf>
    <xf numFmtId="166" fontId="62" fillId="0" borderId="5" xfId="3" applyNumberFormat="1" applyFont="1" applyBorder="1" applyAlignment="1">
      <alignment horizontal="center" vertical="top"/>
    </xf>
    <xf numFmtId="167" fontId="62" fillId="2" borderId="5" xfId="3" applyNumberFormat="1" applyFont="1" applyFill="1" applyBorder="1" applyAlignment="1">
      <alignment vertical="top"/>
    </xf>
    <xf numFmtId="166" fontId="48" fillId="2" borderId="5" xfId="0" applyFont="1" applyFill="1" applyBorder="1"/>
    <xf numFmtId="166" fontId="49" fillId="0" borderId="0" xfId="0" applyFont="1" applyAlignment="1">
      <alignment horizontal="left"/>
    </xf>
    <xf numFmtId="166" fontId="22" fillId="0" borderId="2" xfId="0" applyFont="1" applyBorder="1" applyAlignment="1">
      <alignment horizontal="center" vertical="top"/>
    </xf>
    <xf numFmtId="166" fontId="22" fillId="0" borderId="2" xfId="0" applyFont="1" applyBorder="1" applyAlignment="1">
      <alignment vertical="top"/>
    </xf>
    <xf numFmtId="166" fontId="22" fillId="0" borderId="2" xfId="0" applyFont="1" applyBorder="1" applyAlignment="1">
      <alignment vertical="top" wrapText="1"/>
    </xf>
    <xf numFmtId="166" fontId="19" fillId="0" borderId="5" xfId="0" applyFont="1" applyBorder="1" applyAlignment="1">
      <alignment horizontal="center" vertical="top"/>
    </xf>
    <xf numFmtId="167" fontId="22" fillId="0" borderId="1" xfId="0" applyNumberFormat="1" applyFont="1" applyBorder="1" applyAlignment="1">
      <alignment horizontal="center" vertical="top"/>
    </xf>
    <xf numFmtId="167" fontId="22" fillId="0" borderId="3" xfId="0" applyNumberFormat="1" applyFont="1" applyBorder="1" applyAlignment="1">
      <alignment vertical="top"/>
    </xf>
    <xf numFmtId="167" fontId="22" fillId="0" borderId="2" xfId="0" applyNumberFormat="1" applyFont="1" applyBorder="1" applyAlignment="1">
      <alignment horizontal="center" vertical="top"/>
    </xf>
    <xf numFmtId="166" fontId="22" fillId="0" borderId="3" xfId="0" applyFont="1" applyBorder="1" applyAlignment="1">
      <alignment vertical="top"/>
    </xf>
    <xf numFmtId="167" fontId="22" fillId="0" borderId="3" xfId="2" applyNumberFormat="1" applyFont="1" applyFill="1" applyBorder="1" applyAlignment="1" applyProtection="1">
      <alignment vertical="top"/>
    </xf>
    <xf numFmtId="171" fontId="0" fillId="0" borderId="0" xfId="0" applyNumberFormat="1"/>
    <xf numFmtId="181" fontId="0" fillId="0" borderId="0" xfId="0" applyNumberFormat="1"/>
    <xf numFmtId="166" fontId="0" fillId="0" borderId="3" xfId="0" applyBorder="1" applyAlignment="1">
      <alignment horizontal="center" vertical="top" wrapText="1"/>
    </xf>
    <xf numFmtId="10" fontId="0" fillId="0" borderId="0" xfId="2" applyNumberFormat="1" applyFont="1"/>
    <xf numFmtId="167" fontId="22" fillId="0" borderId="10" xfId="0" applyNumberFormat="1" applyFont="1" applyBorder="1" applyAlignment="1">
      <alignment horizontal="center" vertical="top"/>
    </xf>
    <xf numFmtId="166" fontId="22" fillId="0" borderId="10" xfId="0" applyFont="1" applyBorder="1" applyAlignment="1">
      <alignment vertical="top"/>
    </xf>
    <xf numFmtId="166" fontId="22" fillId="0" borderId="10" xfId="0" applyFont="1" applyBorder="1" applyAlignment="1">
      <alignment horizontal="center" vertical="top"/>
    </xf>
    <xf numFmtId="167" fontId="22" fillId="0" borderId="6" xfId="0" applyNumberFormat="1" applyFont="1" applyBorder="1" applyAlignment="1">
      <alignment vertical="top"/>
    </xf>
    <xf numFmtId="167" fontId="19" fillId="0" borderId="0" xfId="0" applyNumberFormat="1" applyFont="1" applyAlignment="1">
      <alignment horizontal="center"/>
    </xf>
    <xf numFmtId="166" fontId="19" fillId="0" borderId="4" xfId="0" applyFont="1" applyBorder="1" applyAlignment="1">
      <alignment horizontal="left"/>
    </xf>
    <xf numFmtId="166" fontId="0" fillId="0" borderId="5" xfId="0" applyBorder="1" applyAlignment="1">
      <alignment horizontal="center" vertical="top" wrapText="1"/>
    </xf>
    <xf numFmtId="166" fontId="22" fillId="0" borderId="5" xfId="0" applyFont="1" applyBorder="1" applyAlignment="1">
      <alignment horizontal="center" vertical="top" wrapText="1"/>
    </xf>
    <xf numFmtId="166" fontId="0" fillId="0" borderId="9" xfId="0" applyBorder="1" applyAlignment="1">
      <alignment horizontal="center"/>
    </xf>
    <xf numFmtId="167" fontId="22" fillId="0" borderId="2" xfId="0" applyNumberFormat="1" applyFont="1" applyBorder="1" applyAlignment="1">
      <alignment horizontal="center"/>
    </xf>
    <xf numFmtId="167" fontId="0" fillId="0" borderId="3" xfId="0" applyNumberFormat="1" applyBorder="1" applyAlignment="1">
      <alignment horizontal="right" vertical="top" wrapText="1"/>
    </xf>
    <xf numFmtId="166" fontId="0" fillId="0" borderId="3" xfId="0" applyBorder="1" applyAlignment="1">
      <alignment horizontal="right" vertical="top" wrapText="1"/>
    </xf>
    <xf numFmtId="166" fontId="0" fillId="0" borderId="0" xfId="0" applyAlignment="1">
      <alignment horizontal="right" vertical="top" wrapText="1"/>
    </xf>
    <xf numFmtId="167" fontId="22" fillId="0" borderId="2" xfId="0" applyNumberFormat="1" applyFont="1" applyBorder="1" applyAlignment="1">
      <alignment horizontal="center" vertical="top" wrapText="1"/>
    </xf>
    <xf numFmtId="166" fontId="22" fillId="0" borderId="10" xfId="0" applyFont="1" applyBorder="1" applyAlignment="1">
      <alignment horizontal="left" vertical="top"/>
    </xf>
    <xf numFmtId="166" fontId="0" fillId="0" borderId="10" xfId="0" applyBorder="1" applyAlignment="1">
      <alignment horizontal="center" vertical="top" wrapText="1"/>
    </xf>
    <xf numFmtId="167" fontId="0" fillId="0" borderId="6" xfId="0" applyNumberFormat="1" applyBorder="1" applyAlignment="1">
      <alignment horizontal="right" vertical="top" wrapText="1"/>
    </xf>
    <xf numFmtId="166" fontId="0" fillId="0" borderId="10" xfId="0" applyBorder="1" applyAlignment="1">
      <alignment horizontal="right" vertical="top" wrapText="1"/>
    </xf>
    <xf numFmtId="166" fontId="19" fillId="0" borderId="2" xfId="0" applyFont="1" applyBorder="1" applyAlignment="1">
      <alignment horizontal="right"/>
    </xf>
    <xf numFmtId="166" fontId="19" fillId="0" borderId="3" xfId="0" applyFont="1" applyBorder="1" applyAlignment="1">
      <alignment horizontal="right"/>
    </xf>
    <xf numFmtId="167" fontId="19" fillId="0" borderId="2" xfId="0" applyNumberFormat="1" applyFont="1" applyBorder="1" applyAlignment="1">
      <alignment horizontal="right"/>
    </xf>
    <xf numFmtId="166" fontId="19" fillId="0" borderId="1" xfId="0" applyFont="1" applyBorder="1" applyAlignment="1">
      <alignment horizontal="right" vertical="top" wrapText="1"/>
    </xf>
    <xf numFmtId="166" fontId="19" fillId="0" borderId="1" xfId="0" applyFont="1" applyBorder="1" applyAlignment="1">
      <alignment horizontal="center"/>
    </xf>
    <xf numFmtId="166" fontId="19" fillId="0" borderId="1" xfId="0" applyFont="1" applyBorder="1" applyAlignment="1">
      <alignment horizontal="left"/>
    </xf>
    <xf numFmtId="166" fontId="23" fillId="0" borderId="7" xfId="0" applyFont="1" applyBorder="1" applyAlignment="1">
      <alignment horizontal="center"/>
    </xf>
    <xf numFmtId="166" fontId="23" fillId="0" borderId="11" xfId="0" applyFont="1" applyBorder="1" applyAlignment="1">
      <alignment horizontal="right"/>
    </xf>
    <xf numFmtId="166" fontId="23" fillId="0" borderId="1" xfId="0" applyFont="1" applyBorder="1" applyAlignment="1">
      <alignment horizontal="right"/>
    </xf>
    <xf numFmtId="166" fontId="0" fillId="0" borderId="3" xfId="0" applyBorder="1" applyAlignment="1">
      <alignment horizontal="center"/>
    </xf>
    <xf numFmtId="167" fontId="0" fillId="0" borderId="0" xfId="0" applyNumberFormat="1" applyAlignment="1">
      <alignment horizontal="right" vertical="top" wrapText="1"/>
    </xf>
    <xf numFmtId="167" fontId="0" fillId="0" borderId="2" xfId="0" applyNumberFormat="1" applyBorder="1" applyAlignment="1">
      <alignment horizontal="right" vertical="top" wrapText="1"/>
    </xf>
    <xf numFmtId="166" fontId="0" fillId="0" borderId="2" xfId="0" applyBorder="1" applyAlignment="1">
      <alignment horizontal="right" vertical="top" wrapText="1"/>
    </xf>
    <xf numFmtId="167" fontId="0" fillId="0" borderId="2" xfId="0" applyNumberFormat="1" applyBorder="1" applyAlignment="1">
      <alignment horizontal="center"/>
    </xf>
    <xf numFmtId="166" fontId="22" fillId="0" borderId="3" xfId="0" applyFont="1" applyBorder="1" applyAlignment="1">
      <alignment horizontal="center"/>
    </xf>
    <xf numFmtId="171" fontId="0" fillId="0" borderId="2" xfId="0" applyNumberFormat="1" applyBorder="1" applyAlignment="1">
      <alignment horizontal="right" vertical="top" wrapText="1"/>
    </xf>
    <xf numFmtId="166" fontId="0" fillId="0" borderId="0" xfId="0" applyAlignment="1">
      <alignment horizontal="right"/>
    </xf>
    <xf numFmtId="167" fontId="0" fillId="0" borderId="10" xfId="0" applyNumberFormat="1" applyBorder="1" applyAlignment="1">
      <alignment horizontal="center"/>
    </xf>
    <xf numFmtId="166" fontId="22" fillId="0" borderId="10" xfId="0" quotePrefix="1" applyFont="1" applyBorder="1" applyAlignment="1">
      <alignment horizontal="left"/>
    </xf>
    <xf numFmtId="166" fontId="0" fillId="0" borderId="6" xfId="0" applyBorder="1" applyAlignment="1">
      <alignment horizontal="center"/>
    </xf>
    <xf numFmtId="167" fontId="0" fillId="0" borderId="4" xfId="0" applyNumberFormat="1" applyBorder="1" applyAlignment="1">
      <alignment horizontal="right"/>
    </xf>
    <xf numFmtId="167" fontId="0" fillId="0" borderId="10" xfId="0" applyNumberFormat="1" applyBorder="1" applyAlignment="1">
      <alignment horizontal="right"/>
    </xf>
    <xf numFmtId="166" fontId="0" fillId="0" borderId="10" xfId="0" applyBorder="1" applyAlignment="1">
      <alignment horizontal="right"/>
    </xf>
    <xf numFmtId="166" fontId="23" fillId="0" borderId="10" xfId="0" applyFont="1" applyBorder="1" applyAlignment="1">
      <alignment horizontal="center"/>
    </xf>
    <xf numFmtId="166" fontId="19" fillId="0" borderId="6" xfId="0" applyFont="1" applyBorder="1" applyAlignment="1">
      <alignment horizontal="right"/>
    </xf>
    <xf numFmtId="166" fontId="22" fillId="0" borderId="10" xfId="0" applyFont="1" applyBorder="1" applyAlignment="1">
      <alignment horizontal="center"/>
    </xf>
    <xf numFmtId="167" fontId="23" fillId="0" borderId="10" xfId="0" applyNumberFormat="1" applyFont="1" applyBorder="1" applyAlignment="1">
      <alignment horizontal="right"/>
    </xf>
    <xf numFmtId="166" fontId="19" fillId="0" borderId="10" xfId="0" applyFont="1" applyBorder="1" applyAlignment="1">
      <alignment horizontal="center"/>
    </xf>
    <xf numFmtId="166" fontId="19" fillId="0" borderId="10" xfId="0" applyFont="1" applyBorder="1" applyAlignment="1">
      <alignment horizontal="left"/>
    </xf>
    <xf numFmtId="167" fontId="19" fillId="0" borderId="10" xfId="0" applyNumberFormat="1" applyFont="1" applyBorder="1" applyAlignment="1">
      <alignment horizontal="right"/>
    </xf>
    <xf numFmtId="167" fontId="19" fillId="0" borderId="10" xfId="0" applyNumberFormat="1" applyFont="1" applyBorder="1" applyAlignment="1">
      <alignment horizontal="center"/>
    </xf>
    <xf numFmtId="166" fontId="70" fillId="6" borderId="0" xfId="0" applyFont="1" applyFill="1"/>
    <xf numFmtId="166" fontId="23" fillId="0" borderId="0" xfId="0" applyFont="1" applyAlignment="1">
      <alignment horizontal="right"/>
    </xf>
    <xf numFmtId="166" fontId="19" fillId="0" borderId="22" xfId="0" applyFont="1" applyBorder="1"/>
    <xf numFmtId="166" fontId="81" fillId="0" borderId="11" xfId="0" applyFont="1" applyBorder="1"/>
    <xf numFmtId="166" fontId="0" fillId="0" borderId="7" xfId="0" applyBorder="1"/>
    <xf numFmtId="166" fontId="0" fillId="0" borderId="5" xfId="0" applyBorder="1"/>
    <xf numFmtId="167" fontId="0" fillId="2" borderId="5" xfId="0" applyNumberFormat="1" applyFill="1" applyBorder="1"/>
    <xf numFmtId="167" fontId="82" fillId="0" borderId="5" xfId="0" applyNumberFormat="1" applyFont="1" applyBorder="1"/>
    <xf numFmtId="167" fontId="0" fillId="0" borderId="5" xfId="0" applyNumberFormat="1" applyBorder="1"/>
    <xf numFmtId="171" fontId="0" fillId="0" borderId="0" xfId="0" applyNumberFormat="1" applyAlignment="1">
      <alignment horizontal="left"/>
    </xf>
    <xf numFmtId="166" fontId="0" fillId="0" borderId="9" xfId="0" applyBorder="1"/>
    <xf numFmtId="166" fontId="0" fillId="0" borderId="3" xfId="0" applyBorder="1"/>
    <xf numFmtId="166" fontId="22" fillId="0" borderId="5" xfId="0" applyFont="1" applyBorder="1" applyAlignment="1">
      <alignment vertical="top"/>
    </xf>
    <xf numFmtId="166" fontId="0" fillId="0" borderId="0" xfId="0" applyAlignment="1">
      <alignment wrapText="1"/>
    </xf>
    <xf numFmtId="10" fontId="0" fillId="0" borderId="5" xfId="2" applyNumberFormat="1" applyFont="1" applyBorder="1" applyAlignment="1">
      <alignment vertical="top"/>
    </xf>
    <xf numFmtId="166" fontId="76" fillId="0" borderId="0" xfId="0" applyFont="1"/>
    <xf numFmtId="166" fontId="82" fillId="0" borderId="0" xfId="0" applyFont="1" applyAlignment="1">
      <alignment wrapText="1"/>
    </xf>
    <xf numFmtId="10" fontId="0" fillId="0" borderId="0" xfId="2" applyNumberFormat="1" applyFont="1" applyBorder="1" applyAlignment="1">
      <alignment vertical="top"/>
    </xf>
    <xf numFmtId="166" fontId="82" fillId="0" borderId="0" xfId="0" applyFont="1"/>
    <xf numFmtId="167" fontId="0" fillId="0" borderId="5" xfId="0" applyNumberFormat="1" applyBorder="1" applyAlignment="1">
      <alignment horizontal="center"/>
    </xf>
    <xf numFmtId="166" fontId="76" fillId="0" borderId="5" xfId="0" applyFont="1" applyBorder="1" applyAlignment="1">
      <alignment wrapText="1"/>
    </xf>
    <xf numFmtId="166" fontId="76" fillId="0" borderId="5" xfId="0" applyFont="1" applyBorder="1" applyAlignment="1">
      <alignment horizontal="center"/>
    </xf>
    <xf numFmtId="166" fontId="76" fillId="0" borderId="5" xfId="0" applyFont="1" applyBorder="1" applyAlignment="1">
      <alignment vertical="top"/>
    </xf>
    <xf numFmtId="168" fontId="76" fillId="0" borderId="5" xfId="2" applyNumberFormat="1" applyFont="1" applyFill="1" applyBorder="1" applyAlignment="1" applyProtection="1">
      <alignment vertical="top"/>
    </xf>
    <xf numFmtId="10" fontId="76" fillId="0" borderId="5" xfId="2" applyNumberFormat="1" applyFont="1" applyFill="1" applyBorder="1" applyAlignment="1" applyProtection="1">
      <alignment horizontal="right" vertical="top"/>
    </xf>
    <xf numFmtId="166" fontId="0" fillId="0" borderId="0" xfId="0" applyAlignment="1">
      <alignment vertical="top"/>
    </xf>
    <xf numFmtId="166" fontId="24" fillId="0" borderId="0" xfId="3" applyNumberFormat="1" applyFont="1" applyAlignment="1">
      <alignment horizontal="left" vertical="top"/>
    </xf>
    <xf numFmtId="166" fontId="16" fillId="0" borderId="0" xfId="3" applyNumberFormat="1" applyAlignment="1">
      <alignment vertical="top"/>
    </xf>
    <xf numFmtId="167" fontId="16" fillId="0" borderId="0" xfId="3" applyNumberFormat="1" applyAlignment="1">
      <alignment horizontal="right" vertical="top"/>
    </xf>
    <xf numFmtId="167" fontId="16" fillId="0" borderId="0" xfId="3" applyNumberFormat="1" applyAlignment="1">
      <alignment horizontal="center" vertical="top"/>
    </xf>
    <xf numFmtId="166" fontId="22" fillId="0" borderId="0" xfId="3" applyNumberFormat="1" applyFont="1" applyAlignment="1">
      <alignment horizontal="left" vertical="top"/>
    </xf>
    <xf numFmtId="166" fontId="6" fillId="0" borderId="0" xfId="3" applyNumberFormat="1" applyFont="1" applyAlignment="1">
      <alignment horizontal="center" vertical="top"/>
    </xf>
    <xf numFmtId="166" fontId="16" fillId="0" borderId="0" xfId="3" applyNumberFormat="1" applyAlignment="1">
      <alignment horizontal="center" vertical="top"/>
    </xf>
    <xf numFmtId="167" fontId="16" fillId="4" borderId="0" xfId="3" applyNumberFormat="1" applyFill="1" applyAlignment="1">
      <alignment vertical="top"/>
    </xf>
    <xf numFmtId="167" fontId="16" fillId="0" borderId="0" xfId="3" applyNumberFormat="1" applyAlignment="1">
      <alignment vertical="top"/>
    </xf>
    <xf numFmtId="166" fontId="22" fillId="0" borderId="0" xfId="3" applyNumberFormat="1" applyFont="1" applyAlignment="1">
      <alignment horizontal="left" vertical="top" wrapText="1"/>
    </xf>
    <xf numFmtId="183" fontId="16" fillId="0" borderId="0" xfId="3" applyNumberFormat="1" applyAlignment="1">
      <alignment horizontal="center" vertical="top"/>
    </xf>
    <xf numFmtId="166" fontId="6" fillId="0" borderId="0" xfId="3" applyNumberFormat="1" applyFont="1" applyAlignment="1">
      <alignment vertical="top"/>
    </xf>
    <xf numFmtId="166" fontId="22" fillId="0" borderId="0" xfId="3" applyNumberFormat="1" applyFont="1" applyAlignment="1">
      <alignment vertical="top"/>
    </xf>
    <xf numFmtId="166" fontId="22" fillId="0" borderId="0" xfId="3" applyNumberFormat="1" applyFont="1" applyAlignment="1">
      <alignment horizontal="center" vertical="top"/>
    </xf>
    <xf numFmtId="166" fontId="19" fillId="0" borderId="0" xfId="3" applyNumberFormat="1" applyFont="1" applyAlignment="1">
      <alignment vertical="top"/>
    </xf>
    <xf numFmtId="166" fontId="68" fillId="6" borderId="0" xfId="0" applyFont="1" applyFill="1"/>
    <xf numFmtId="167" fontId="76" fillId="0" borderId="0" xfId="0" applyNumberFormat="1" applyFont="1" applyAlignment="1">
      <alignment horizontal="right" vertical="top" wrapText="1"/>
    </xf>
    <xf numFmtId="166" fontId="76" fillId="0" borderId="0" xfId="0" applyFont="1" applyAlignment="1">
      <alignment horizontal="right" vertical="top" wrapText="1"/>
    </xf>
    <xf numFmtId="166" fontId="22" fillId="0" borderId="3" xfId="0" applyFont="1" applyBorder="1" applyAlignment="1">
      <alignment horizontal="left" vertical="top" wrapText="1"/>
    </xf>
    <xf numFmtId="175" fontId="48" fillId="0" borderId="5" xfId="0" applyNumberFormat="1" applyFont="1" applyBorder="1" applyAlignment="1">
      <alignment horizontal="right" vertical="top"/>
    </xf>
    <xf numFmtId="167" fontId="48" fillId="0" borderId="5" xfId="0" applyNumberFormat="1" applyFont="1" applyBorder="1" applyAlignment="1">
      <alignment horizontal="center" vertical="top"/>
    </xf>
    <xf numFmtId="166" fontId="48" fillId="0" borderId="5" xfId="0" applyFont="1" applyBorder="1" applyAlignment="1">
      <alignment horizontal="left" vertical="top" wrapText="1"/>
    </xf>
    <xf numFmtId="167" fontId="48" fillId="0" borderId="5" xfId="0" applyNumberFormat="1" applyFont="1" applyBorder="1" applyAlignment="1">
      <alignment horizontal="center" vertical="top" wrapText="1"/>
    </xf>
    <xf numFmtId="166" fontId="64" fillId="0" borderId="5" xfId="0" applyFont="1" applyBorder="1" applyAlignment="1">
      <alignment horizontal="left" vertical="top" wrapText="1"/>
    </xf>
    <xf numFmtId="2" fontId="48" fillId="0" borderId="5" xfId="0" applyNumberFormat="1" applyFont="1" applyBorder="1" applyAlignment="1">
      <alignment vertical="top" wrapText="1"/>
    </xf>
    <xf numFmtId="182" fontId="48" fillId="0" borderId="5" xfId="0" applyNumberFormat="1" applyFont="1" applyBorder="1" applyAlignment="1">
      <alignment horizontal="left" vertical="top" wrapText="1"/>
    </xf>
    <xf numFmtId="166" fontId="83" fillId="0" borderId="0" xfId="0" applyFont="1"/>
    <xf numFmtId="2" fontId="69" fillId="4" borderId="10" xfId="19" quotePrefix="1" applyNumberFormat="1" applyFont="1" applyFill="1" applyBorder="1" applyAlignment="1">
      <alignment vertical="top"/>
    </xf>
    <xf numFmtId="166" fontId="49" fillId="0" borderId="5" xfId="0" applyFont="1" applyBorder="1" applyAlignment="1">
      <alignment vertical="top" wrapText="1"/>
    </xf>
    <xf numFmtId="0" fontId="62" fillId="0" borderId="5" xfId="0" applyNumberFormat="1" applyFont="1" applyBorder="1" applyAlignment="1">
      <alignment horizontal="left" vertical="top" wrapText="1"/>
    </xf>
    <xf numFmtId="166" fontId="76" fillId="0" borderId="2" xfId="0" applyFont="1" applyBorder="1"/>
    <xf numFmtId="166" fontId="76" fillId="0" borderId="3" xfId="0" applyFont="1" applyBorder="1" applyAlignment="1">
      <alignment horizontal="center"/>
    </xf>
    <xf numFmtId="166" fontId="48" fillId="0" borderId="5" xfId="0" applyFont="1" applyBorder="1" applyAlignment="1">
      <alignment horizontal="right" vertical="top" wrapText="1"/>
    </xf>
    <xf numFmtId="166" fontId="48" fillId="0" borderId="0" xfId="0" applyFont="1" applyAlignment="1">
      <alignment horizontal="center" vertical="top" wrapText="1"/>
    </xf>
    <xf numFmtId="166" fontId="48" fillId="0" borderId="0" xfId="0" applyFont="1" applyAlignment="1">
      <alignment vertical="top" wrapText="1"/>
    </xf>
    <xf numFmtId="0" fontId="48" fillId="0" borderId="0" xfId="0" applyNumberFormat="1" applyFont="1" applyAlignment="1">
      <alignment horizontal="center"/>
    </xf>
    <xf numFmtId="166" fontId="48" fillId="0" borderId="0" xfId="0" applyFont="1" applyAlignment="1">
      <alignment horizontal="left" vertical="top" wrapText="1"/>
    </xf>
    <xf numFmtId="166" fontId="85" fillId="0" borderId="0" xfId="0" applyFont="1" applyAlignment="1">
      <alignment horizontal="center" vertical="top" wrapText="1"/>
    </xf>
    <xf numFmtId="166" fontId="85" fillId="0" borderId="0" xfId="0" applyFont="1" applyAlignment="1">
      <alignment horizontal="right" vertical="top" wrapText="1"/>
    </xf>
    <xf numFmtId="166" fontId="85" fillId="0" borderId="0" xfId="0" applyFont="1" applyAlignment="1">
      <alignment vertical="top" wrapText="1"/>
    </xf>
    <xf numFmtId="0" fontId="48" fillId="0" borderId="0" xfId="0" applyNumberFormat="1" applyFont="1" applyAlignment="1">
      <alignment horizontal="center" vertical="top" wrapText="1"/>
    </xf>
    <xf numFmtId="0" fontId="48" fillId="0" borderId="0" xfId="0" applyNumberFormat="1" applyFont="1" applyAlignment="1">
      <alignment horizontal="right" vertical="top" wrapText="1"/>
    </xf>
    <xf numFmtId="2" fontId="48" fillId="0" borderId="0" xfId="0" applyNumberFormat="1" applyFont="1" applyAlignment="1">
      <alignment vertical="center" wrapText="1"/>
    </xf>
    <xf numFmtId="0" fontId="48" fillId="0" borderId="0" xfId="0" applyNumberFormat="1" applyFont="1" applyAlignment="1">
      <alignment horizontal="right" vertical="center" wrapText="1"/>
    </xf>
    <xf numFmtId="0" fontId="48" fillId="0" borderId="0" xfId="0" applyNumberFormat="1" applyFont="1" applyAlignment="1">
      <alignment horizontal="left" vertical="top" wrapText="1"/>
    </xf>
    <xf numFmtId="0" fontId="48" fillId="0" borderId="0" xfId="0" applyNumberFormat="1" applyFont="1" applyAlignment="1">
      <alignment vertical="center" wrapText="1"/>
    </xf>
    <xf numFmtId="0" fontId="48" fillId="0" borderId="0" xfId="0" applyNumberFormat="1" applyFont="1" applyAlignment="1">
      <alignment horizontal="center" vertical="center" wrapText="1"/>
    </xf>
    <xf numFmtId="0" fontId="48" fillId="0" borderId="0" xfId="0" applyNumberFormat="1" applyFont="1" applyAlignment="1">
      <alignment vertical="top" wrapText="1"/>
    </xf>
    <xf numFmtId="0" fontId="86" fillId="0" borderId="0" xfId="0" applyNumberFormat="1" applyFont="1" applyAlignment="1">
      <alignment vertical="center" wrapText="1"/>
    </xf>
    <xf numFmtId="166" fontId="49" fillId="0" borderId="0" xfId="0" applyFont="1" applyAlignment="1">
      <alignment horizontal="center" vertical="top" wrapText="1"/>
    </xf>
    <xf numFmtId="182" fontId="64" fillId="0" borderId="0" xfId="0" applyNumberFormat="1" applyFont="1" applyAlignment="1">
      <alignment horizontal="center" vertical="top" wrapText="1"/>
    </xf>
    <xf numFmtId="0" fontId="49" fillId="0" borderId="0" xfId="0" applyNumberFormat="1" applyFont="1" applyAlignment="1">
      <alignment vertical="top" wrapText="1"/>
    </xf>
    <xf numFmtId="0" fontId="86" fillId="0" borderId="0" xfId="0" applyNumberFormat="1" applyFont="1" applyAlignment="1">
      <alignment vertical="top"/>
    </xf>
    <xf numFmtId="0" fontId="62" fillId="0" borderId="5" xfId="0" applyNumberFormat="1" applyFont="1" applyBorder="1" applyAlignment="1">
      <alignment horizontal="center" vertical="top" wrapText="1"/>
    </xf>
    <xf numFmtId="182" fontId="48" fillId="0" borderId="5" xfId="0" applyNumberFormat="1" applyFont="1" applyBorder="1" applyAlignment="1">
      <alignment horizontal="right" vertical="top" wrapText="1"/>
    </xf>
    <xf numFmtId="43" fontId="64" fillId="0" borderId="5" xfId="0" applyNumberFormat="1" applyFont="1" applyBorder="1" applyAlignment="1">
      <alignment horizontal="right" vertical="top" wrapText="1"/>
    </xf>
    <xf numFmtId="43" fontId="64" fillId="0" borderId="5" xfId="0" applyNumberFormat="1" applyFont="1" applyBorder="1" applyAlignment="1">
      <alignment vertical="top" wrapText="1"/>
    </xf>
    <xf numFmtId="0" fontId="87" fillId="0" borderId="0" xfId="0" applyNumberFormat="1" applyFont="1" applyAlignment="1">
      <alignment vertical="top" wrapText="1"/>
    </xf>
    <xf numFmtId="166" fontId="48" fillId="0" borderId="13" xfId="0" applyFont="1" applyBorder="1" applyAlignment="1">
      <alignment vertical="top" wrapText="1"/>
    </xf>
    <xf numFmtId="166" fontId="86" fillId="0" borderId="0" xfId="0" applyFont="1" applyAlignment="1">
      <alignment vertical="top"/>
    </xf>
    <xf numFmtId="166" fontId="87" fillId="0" borderId="5" xfId="0" applyFont="1" applyBorder="1" applyAlignment="1">
      <alignment horizontal="left" vertical="top" wrapText="1"/>
    </xf>
    <xf numFmtId="167" fontId="48" fillId="0" borderId="13" xfId="0" applyNumberFormat="1" applyFont="1" applyBorder="1" applyAlignment="1">
      <alignment vertical="top" wrapText="1"/>
    </xf>
    <xf numFmtId="166" fontId="87" fillId="0" borderId="5" xfId="0" applyFont="1" applyBorder="1" applyAlignment="1">
      <alignment vertical="top" wrapText="1"/>
    </xf>
    <xf numFmtId="166" fontId="86" fillId="0" borderId="0" xfId="0" applyFont="1" applyAlignment="1">
      <alignment horizontal="left" vertical="center"/>
    </xf>
    <xf numFmtId="166" fontId="87" fillId="0" borderId="5" xfId="0" applyFont="1" applyBorder="1" applyAlignment="1">
      <alignment horizontal="center" vertical="top" wrapText="1"/>
    </xf>
    <xf numFmtId="170" fontId="48" fillId="0" borderId="5" xfId="0" applyNumberFormat="1" applyFont="1" applyBorder="1" applyAlignment="1">
      <alignment horizontal="center" vertical="top" wrapText="1"/>
    </xf>
    <xf numFmtId="166" fontId="48" fillId="0" borderId="0" xfId="0" applyFont="1" applyAlignment="1">
      <alignment horizontal="right" vertical="top" wrapText="1"/>
    </xf>
    <xf numFmtId="166" fontId="86" fillId="0" borderId="0" xfId="0" applyFont="1" applyAlignment="1">
      <alignment horizontal="center" vertical="top" wrapText="1"/>
    </xf>
    <xf numFmtId="166" fontId="86" fillId="0" borderId="0" xfId="0" applyFont="1" applyAlignment="1">
      <alignment horizontal="center" vertical="top"/>
    </xf>
    <xf numFmtId="167" fontId="86" fillId="0" borderId="0" xfId="0" applyNumberFormat="1" applyFont="1" applyAlignment="1">
      <alignment horizontal="center" vertical="top"/>
    </xf>
    <xf numFmtId="166" fontId="86" fillId="0" borderId="0" xfId="0" applyFont="1" applyAlignment="1">
      <alignment horizontal="right" vertical="top"/>
    </xf>
    <xf numFmtId="166" fontId="86" fillId="0" borderId="0" xfId="0" applyFont="1" applyAlignment="1">
      <alignment horizontal="left" vertical="top"/>
    </xf>
    <xf numFmtId="166" fontId="86" fillId="0" borderId="0" xfId="0" applyFont="1" applyAlignment="1">
      <alignment vertical="top" wrapText="1"/>
    </xf>
    <xf numFmtId="166" fontId="48" fillId="0" borderId="0" xfId="0" applyFont="1" applyAlignment="1">
      <alignment horizontal="center" vertical="top"/>
    </xf>
    <xf numFmtId="166" fontId="87" fillId="0" borderId="0" xfId="0" applyFont="1" applyAlignment="1">
      <alignment horizontal="center" vertical="top" wrapText="1"/>
    </xf>
    <xf numFmtId="166" fontId="88" fillId="0" borderId="0" xfId="0" applyFont="1" applyAlignment="1">
      <alignment horizontal="left" vertical="center" indent="4"/>
    </xf>
    <xf numFmtId="167" fontId="87" fillId="0" borderId="0" xfId="0" applyNumberFormat="1" applyFont="1" applyAlignment="1">
      <alignment horizontal="center" vertical="top" wrapText="1"/>
    </xf>
    <xf numFmtId="166" fontId="87" fillId="0" borderId="0" xfId="0" applyFont="1" applyAlignment="1">
      <alignment horizontal="right" vertical="top" wrapText="1"/>
    </xf>
    <xf numFmtId="166" fontId="87" fillId="0" borderId="0" xfId="0" applyFont="1" applyAlignment="1">
      <alignment vertical="top" wrapText="1"/>
    </xf>
    <xf numFmtId="166" fontId="87" fillId="0" borderId="0" xfId="0" applyFont="1" applyAlignment="1">
      <alignment horizontal="left" vertical="top" wrapText="1"/>
    </xf>
    <xf numFmtId="166" fontId="90" fillId="0" borderId="0" xfId="0" applyFont="1" applyAlignment="1">
      <alignment horizontal="left" vertical="center" indent="4"/>
    </xf>
    <xf numFmtId="166" fontId="88" fillId="5" borderId="30" xfId="0" applyFont="1" applyFill="1" applyBorder="1" applyAlignment="1">
      <alignment vertical="center" wrapText="1"/>
    </xf>
    <xf numFmtId="166" fontId="88" fillId="5" borderId="21" xfId="0" applyFont="1" applyFill="1" applyBorder="1" applyAlignment="1">
      <alignment vertical="center" wrapText="1"/>
    </xf>
    <xf numFmtId="166" fontId="88" fillId="5" borderId="26" xfId="0" applyFont="1" applyFill="1" applyBorder="1" applyAlignment="1">
      <alignment vertical="center"/>
    </xf>
    <xf numFmtId="166" fontId="90" fillId="5" borderId="21" xfId="0" applyFont="1" applyFill="1" applyBorder="1" applyAlignment="1">
      <alignment horizontal="center" vertical="center"/>
    </xf>
    <xf numFmtId="166" fontId="90" fillId="5" borderId="21" xfId="0" applyFont="1" applyFill="1" applyBorder="1" applyAlignment="1">
      <alignment horizontal="right" vertical="center"/>
    </xf>
    <xf numFmtId="166" fontId="90" fillId="5" borderId="21" xfId="0" applyFont="1" applyFill="1" applyBorder="1" applyAlignment="1">
      <alignment vertical="center"/>
    </xf>
    <xf numFmtId="166" fontId="90" fillId="5" borderId="26" xfId="0" applyFont="1" applyFill="1" applyBorder="1" applyAlignment="1">
      <alignment vertical="center"/>
    </xf>
    <xf numFmtId="166" fontId="90" fillId="5" borderId="31" xfId="0" applyFont="1" applyFill="1" applyBorder="1" applyAlignment="1">
      <alignment horizontal="right" vertical="center" wrapText="1"/>
    </xf>
    <xf numFmtId="166" fontId="90" fillId="5" borderId="21" xfId="0" applyFont="1" applyFill="1" applyBorder="1" applyAlignment="1">
      <alignment horizontal="right" vertical="center" wrapText="1"/>
    </xf>
    <xf numFmtId="4" fontId="48" fillId="0" borderId="0" xfId="0" applyNumberFormat="1" applyFont="1" applyAlignment="1">
      <alignment horizontal="left" vertical="top" wrapText="1"/>
    </xf>
    <xf numFmtId="166" fontId="49" fillId="0" borderId="0" xfId="0" applyFont="1" applyAlignment="1">
      <alignment vertical="top" wrapText="1"/>
    </xf>
    <xf numFmtId="166" fontId="49" fillId="0" borderId="0" xfId="0" applyFont="1" applyAlignment="1">
      <alignment horizontal="left" vertical="top" wrapText="1"/>
    </xf>
    <xf numFmtId="166" fontId="48" fillId="7" borderId="5" xfId="0" applyFont="1" applyFill="1" applyBorder="1" applyAlignment="1">
      <alignment horizontal="center" vertical="top" wrapText="1"/>
    </xf>
    <xf numFmtId="166" fontId="48" fillId="7" borderId="5" xfId="0" applyFont="1" applyFill="1" applyBorder="1" applyAlignment="1">
      <alignment vertical="top"/>
    </xf>
    <xf numFmtId="166" fontId="48" fillId="7" borderId="5" xfId="0" applyFont="1" applyFill="1" applyBorder="1" applyAlignment="1">
      <alignment horizontal="center" vertical="top"/>
    </xf>
    <xf numFmtId="167" fontId="48" fillId="7" borderId="5" xfId="0" applyNumberFormat="1" applyFont="1" applyFill="1" applyBorder="1" applyAlignment="1">
      <alignment horizontal="center" vertical="top"/>
    </xf>
    <xf numFmtId="167" fontId="48" fillId="7" borderId="5" xfId="0" applyNumberFormat="1" applyFont="1" applyFill="1" applyBorder="1" applyAlignment="1">
      <alignment horizontal="right" vertical="top"/>
    </xf>
    <xf numFmtId="166" fontId="48" fillId="7" borderId="5" xfId="0" applyFont="1" applyFill="1" applyBorder="1" applyAlignment="1">
      <alignment horizontal="right" vertical="top" wrapText="1"/>
    </xf>
    <xf numFmtId="166" fontId="48" fillId="7" borderId="5" xfId="0" applyFont="1" applyFill="1" applyBorder="1" applyAlignment="1">
      <alignment vertical="top" wrapText="1"/>
    </xf>
    <xf numFmtId="166" fontId="49" fillId="7" borderId="5" xfId="0" applyFont="1" applyFill="1" applyBorder="1" applyAlignment="1">
      <alignment horizontal="right" vertical="top" wrapText="1"/>
    </xf>
    <xf numFmtId="167" fontId="48" fillId="7" borderId="5" xfId="0" applyNumberFormat="1" applyFont="1" applyFill="1" applyBorder="1" applyAlignment="1">
      <alignment horizontal="center" vertical="top" wrapText="1"/>
    </xf>
    <xf numFmtId="182" fontId="48" fillId="7" borderId="5" xfId="0" applyNumberFormat="1" applyFont="1" applyFill="1" applyBorder="1" applyAlignment="1">
      <alignment horizontal="right" vertical="top" wrapText="1"/>
    </xf>
    <xf numFmtId="166" fontId="49" fillId="7" borderId="5" xfId="0" applyFont="1" applyFill="1" applyBorder="1" applyAlignment="1">
      <alignment vertical="top" wrapText="1"/>
    </xf>
    <xf numFmtId="166" fontId="87" fillId="7" borderId="5" xfId="0" applyFont="1" applyFill="1" applyBorder="1" applyAlignment="1">
      <alignment horizontal="left" vertical="top" wrapText="1"/>
    </xf>
    <xf numFmtId="166" fontId="93" fillId="0" borderId="5" xfId="0" applyFont="1" applyBorder="1" applyAlignment="1">
      <alignment horizontal="left" vertical="top" wrapText="1"/>
    </xf>
    <xf numFmtId="166" fontId="22" fillId="0" borderId="0" xfId="0" applyFont="1" applyAlignment="1">
      <alignment horizontal="center" vertical="center"/>
    </xf>
    <xf numFmtId="166" fontId="94" fillId="0" borderId="5" xfId="0" applyFont="1" applyBorder="1" applyAlignment="1">
      <alignment vertical="top"/>
    </xf>
    <xf numFmtId="166" fontId="22" fillId="0" borderId="5" xfId="0" applyFont="1" applyBorder="1" applyAlignment="1">
      <alignment horizontal="center" vertical="center"/>
    </xf>
    <xf numFmtId="166" fontId="22" fillId="0" borderId="14" xfId="0" applyFont="1" applyBorder="1" applyAlignment="1">
      <alignment vertical="center"/>
    </xf>
    <xf numFmtId="166" fontId="94" fillId="0" borderId="14" xfId="0" applyFont="1" applyBorder="1" applyAlignment="1">
      <alignment vertical="top"/>
    </xf>
    <xf numFmtId="0" fontId="25" fillId="0" borderId="11" xfId="5" applyFont="1" applyBorder="1" applyAlignment="1">
      <alignment vertical="top"/>
    </xf>
    <xf numFmtId="0" fontId="46" fillId="0" borderId="11" xfId="5" applyFont="1" applyBorder="1" applyAlignment="1">
      <alignment vertical="top" wrapText="1"/>
    </xf>
    <xf numFmtId="2" fontId="41" fillId="0" borderId="11" xfId="5" applyNumberFormat="1" applyFont="1" applyBorder="1" applyAlignment="1">
      <alignment horizontal="center" vertical="top" wrapText="1"/>
    </xf>
    <xf numFmtId="10" fontId="41" fillId="0" borderId="11" xfId="2" applyNumberFormat="1" applyFont="1" applyFill="1" applyBorder="1" applyAlignment="1">
      <alignment horizontal="center" vertical="top" wrapText="1"/>
    </xf>
    <xf numFmtId="168" fontId="41" fillId="0" borderId="11" xfId="2" applyNumberFormat="1" applyFont="1" applyFill="1" applyBorder="1" applyAlignment="1">
      <alignment horizontal="center" vertical="top" wrapText="1"/>
    </xf>
    <xf numFmtId="2" fontId="41" fillId="0" borderId="11" xfId="2" applyNumberFormat="1" applyFont="1" applyFill="1" applyBorder="1" applyAlignment="1">
      <alignment horizontal="center" vertical="top" wrapText="1"/>
    </xf>
    <xf numFmtId="2" fontId="40" fillId="0" borderId="11" xfId="2" applyNumberFormat="1" applyFont="1" applyFill="1" applyBorder="1" applyAlignment="1">
      <alignment horizontal="center" vertical="top" wrapText="1"/>
    </xf>
    <xf numFmtId="0" fontId="40" fillId="0" borderId="12" xfId="34" applyFont="1" applyBorder="1" applyAlignment="1">
      <alignment horizontal="left" vertical="center"/>
    </xf>
    <xf numFmtId="0" fontId="40" fillId="0" borderId="4" xfId="34" applyFont="1" applyBorder="1" applyAlignment="1">
      <alignment horizontal="left" vertical="center"/>
    </xf>
    <xf numFmtId="0" fontId="40" fillId="0" borderId="6" xfId="34" applyFont="1" applyBorder="1" applyAlignment="1">
      <alignment horizontal="left" vertical="center"/>
    </xf>
    <xf numFmtId="0" fontId="44" fillId="0" borderId="5" xfId="34" applyFont="1" applyBorder="1" applyAlignment="1">
      <alignment horizontal="center" vertical="top" wrapText="1"/>
    </xf>
    <xf numFmtId="0" fontId="95" fillId="0" borderId="5" xfId="8" applyFont="1" applyBorder="1" applyAlignment="1">
      <alignment horizontal="left" vertical="top" wrapText="1"/>
    </xf>
    <xf numFmtId="0" fontId="27" fillId="0" borderId="5" xfId="8" applyFont="1" applyBorder="1" applyAlignment="1">
      <alignment horizontal="justify" vertical="top" wrapText="1"/>
    </xf>
    <xf numFmtId="175" fontId="41" fillId="0" borderId="5" xfId="34" applyNumberFormat="1" applyFont="1" applyBorder="1" applyAlignment="1">
      <alignment horizontal="center" vertical="top" wrapText="1"/>
    </xf>
    <xf numFmtId="4" fontId="41" fillId="0" borderId="5" xfId="34" applyNumberFormat="1" applyFont="1" applyBorder="1" applyAlignment="1">
      <alignment horizontal="center" vertical="top" wrapText="1"/>
    </xf>
    <xf numFmtId="2" fontId="41" fillId="0" borderId="5" xfId="34" applyNumberFormat="1" applyFont="1" applyBorder="1" applyAlignment="1">
      <alignment horizontal="center" vertical="top" wrapText="1"/>
    </xf>
    <xf numFmtId="0" fontId="41" fillId="0" borderId="5" xfId="34" applyFont="1" applyBorder="1" applyAlignment="1">
      <alignment horizontal="center" vertical="top" wrapText="1"/>
    </xf>
    <xf numFmtId="166" fontId="41" fillId="0" borderId="5" xfId="34" applyNumberFormat="1" applyFont="1" applyBorder="1" applyAlignment="1">
      <alignment horizontal="center" vertical="top" wrapText="1"/>
    </xf>
    <xf numFmtId="9" fontId="41" fillId="0" borderId="5" xfId="96" applyFont="1" applyFill="1" applyBorder="1" applyAlignment="1">
      <alignment horizontal="center" vertical="top" wrapText="1"/>
    </xf>
    <xf numFmtId="2" fontId="96" fillId="0" borderId="5" xfId="34" applyNumberFormat="1" applyFont="1" applyBorder="1" applyAlignment="1">
      <alignment horizontal="center" vertical="top" wrapText="1"/>
    </xf>
    <xf numFmtId="0" fontId="25" fillId="0" borderId="5" xfId="5" applyFont="1" applyBorder="1" applyAlignment="1">
      <alignment vertical="top"/>
    </xf>
    <xf numFmtId="0" fontId="46" fillId="0" borderId="5" xfId="5" applyFont="1" applyBorder="1" applyAlignment="1">
      <alignment vertical="top" wrapText="1"/>
    </xf>
    <xf numFmtId="0" fontId="44" fillId="0" borderId="0" xfId="5" applyFont="1" applyAlignment="1">
      <alignment horizontal="left" vertical="top" wrapText="1"/>
    </xf>
    <xf numFmtId="176" fontId="41" fillId="0" borderId="0" xfId="5" applyNumberFormat="1" applyFont="1" applyAlignment="1">
      <alignment horizontal="center" vertical="top" wrapText="1"/>
    </xf>
    <xf numFmtId="0" fontId="40" fillId="0" borderId="5" xfId="5" applyFont="1" applyBorder="1" applyAlignment="1">
      <alignment horizontal="center" vertical="center" wrapText="1"/>
    </xf>
    <xf numFmtId="166" fontId="0" fillId="0" borderId="0" xfId="0" applyAlignment="1">
      <alignment vertical="center"/>
    </xf>
    <xf numFmtId="166" fontId="98" fillId="0" borderId="5" xfId="0" applyFont="1" applyBorder="1" applyAlignment="1">
      <alignment horizontal="center" vertical="center"/>
    </xf>
    <xf numFmtId="166" fontId="98" fillId="0" borderId="5" xfId="0" applyFont="1" applyBorder="1" applyAlignment="1">
      <alignment vertical="center" wrapText="1"/>
    </xf>
    <xf numFmtId="166" fontId="97" fillId="0" borderId="5" xfId="0" applyFont="1" applyBorder="1" applyAlignment="1">
      <alignment vertical="center"/>
    </xf>
    <xf numFmtId="167" fontId="98" fillId="0" borderId="5" xfId="0" applyNumberFormat="1" applyFont="1" applyBorder="1" applyAlignment="1">
      <alignment horizontal="center" vertical="center"/>
    </xf>
    <xf numFmtId="1" fontId="98" fillId="0" borderId="5" xfId="0" applyNumberFormat="1" applyFont="1" applyBorder="1" applyAlignment="1">
      <alignment horizontal="center" vertical="center"/>
    </xf>
    <xf numFmtId="166" fontId="97" fillId="0" borderId="5" xfId="0" applyFont="1" applyBorder="1" applyAlignment="1">
      <alignment horizontal="center" vertical="center"/>
    </xf>
    <xf numFmtId="166" fontId="97" fillId="0" borderId="5" xfId="0" applyFont="1" applyBorder="1" applyAlignment="1">
      <alignment vertical="center" wrapText="1"/>
    </xf>
    <xf numFmtId="166" fontId="22" fillId="0" borderId="5" xfId="0" applyFont="1" applyBorder="1" applyAlignment="1">
      <alignment wrapText="1"/>
    </xf>
    <xf numFmtId="166" fontId="22" fillId="0" borderId="5" xfId="0" applyFont="1" applyBorder="1" applyAlignment="1">
      <alignment vertical="center" wrapText="1"/>
    </xf>
    <xf numFmtId="166" fontId="24" fillId="0" borderId="0" xfId="0" applyFont="1" applyAlignment="1">
      <alignment vertical="center"/>
    </xf>
    <xf numFmtId="166" fontId="0" fillId="0" borderId="5" xfId="0" applyBorder="1" applyAlignment="1">
      <alignment vertical="center"/>
    </xf>
    <xf numFmtId="167" fontId="97" fillId="0" borderId="5" xfId="0" applyNumberFormat="1" applyFont="1" applyBorder="1" applyAlignment="1">
      <alignment vertical="center"/>
    </xf>
    <xf numFmtId="167" fontId="0" fillId="0" borderId="0" xfId="0" applyNumberFormat="1" applyAlignment="1">
      <alignment vertical="center"/>
    </xf>
    <xf numFmtId="167" fontId="97" fillId="0" borderId="5" xfId="0" applyNumberFormat="1" applyFont="1" applyBorder="1" applyAlignment="1">
      <alignment horizontal="center" vertical="center"/>
    </xf>
    <xf numFmtId="166" fontId="0" fillId="0" borderId="0" xfId="0" applyAlignment="1">
      <alignment vertical="center" wrapText="1"/>
    </xf>
    <xf numFmtId="167" fontId="22" fillId="0" borderId="5" xfId="0" applyNumberFormat="1" applyFont="1" applyBorder="1" applyAlignment="1">
      <alignment vertical="center"/>
    </xf>
    <xf numFmtId="167" fontId="0" fillId="0" borderId="5" xfId="0" applyNumberFormat="1" applyBorder="1" applyAlignment="1">
      <alignment vertical="center"/>
    </xf>
    <xf numFmtId="166" fontId="0" fillId="0" borderId="5" xfId="0" applyBorder="1" applyAlignment="1">
      <alignment vertical="center" wrapText="1"/>
    </xf>
    <xf numFmtId="167" fontId="19" fillId="0" borderId="5" xfId="0" applyNumberFormat="1" applyFont="1" applyBorder="1" applyAlignment="1">
      <alignment horizontal="right" vertical="center"/>
    </xf>
    <xf numFmtId="167" fontId="19" fillId="0" borderId="0" xfId="0" applyNumberFormat="1" applyFont="1" applyAlignment="1">
      <alignment horizontal="right" vertical="center"/>
    </xf>
    <xf numFmtId="166" fontId="19" fillId="0" borderId="10" xfId="0" applyFont="1" applyBorder="1" applyAlignment="1">
      <alignment horizontal="center" vertical="center"/>
    </xf>
    <xf numFmtId="2" fontId="99" fillId="0" borderId="5" xfId="0" applyNumberFormat="1" applyFont="1" applyBorder="1" applyAlignment="1">
      <alignment horizontal="center"/>
    </xf>
    <xf numFmtId="2" fontId="98" fillId="0" borderId="5" xfId="0" applyNumberFormat="1" applyFont="1" applyBorder="1" applyAlignment="1">
      <alignment horizontal="center" vertical="center"/>
    </xf>
    <xf numFmtId="2" fontId="98" fillId="0" borderId="5" xfId="0" applyNumberFormat="1" applyFont="1" applyBorder="1" applyAlignment="1">
      <alignment horizontal="center"/>
    </xf>
    <xf numFmtId="1" fontId="22" fillId="0" borderId="5" xfId="0" applyNumberFormat="1" applyFont="1" applyBorder="1" applyAlignment="1">
      <alignment horizontal="center"/>
    </xf>
    <xf numFmtId="167" fontId="0" fillId="0" borderId="5" xfId="0" applyNumberFormat="1" applyBorder="1" applyAlignment="1">
      <alignment horizontal="center" vertical="center"/>
    </xf>
    <xf numFmtId="166" fontId="117" fillId="0" borderId="5" xfId="0" applyFont="1" applyBorder="1" applyAlignment="1">
      <alignment vertical="center"/>
    </xf>
    <xf numFmtId="166" fontId="41" fillId="0" borderId="1" xfId="5" applyNumberFormat="1" applyFont="1" applyBorder="1" applyAlignment="1">
      <alignment horizontal="center" vertical="top" wrapText="1"/>
    </xf>
    <xf numFmtId="9" fontId="41" fillId="0" borderId="1" xfId="2" applyFont="1" applyFill="1" applyBorder="1" applyAlignment="1">
      <alignment horizontal="center" vertical="top" wrapText="1"/>
    </xf>
    <xf numFmtId="0" fontId="41" fillId="0" borderId="0" xfId="5" applyFont="1" applyAlignment="1">
      <alignment horizontal="right" vertical="center" wrapText="1"/>
    </xf>
    <xf numFmtId="0" fontId="41" fillId="0" borderId="0" xfId="5" applyFont="1" applyAlignment="1">
      <alignment horizontal="right" vertical="center"/>
    </xf>
    <xf numFmtId="167" fontId="19" fillId="0" borderId="5" xfId="0" applyNumberFormat="1" applyFont="1" applyBorder="1" applyAlignment="1">
      <alignment horizontal="center" vertical="center"/>
    </xf>
    <xf numFmtId="166" fontId="19" fillId="0" borderId="5" xfId="0" applyFont="1" applyBorder="1" applyAlignment="1">
      <alignment horizontal="center" vertical="center" wrapText="1"/>
    </xf>
    <xf numFmtId="166" fontId="97" fillId="0" borderId="5" xfId="0" applyFont="1" applyBorder="1" applyAlignment="1">
      <alignment horizontal="center" vertical="center" wrapText="1"/>
    </xf>
    <xf numFmtId="0" fontId="44" fillId="2" borderId="1" xfId="5" applyFont="1" applyFill="1" applyBorder="1" applyAlignment="1">
      <alignment horizontal="center" vertical="top" wrapText="1"/>
    </xf>
    <xf numFmtId="0" fontId="40" fillId="0" borderId="21" xfId="5" applyFont="1" applyBorder="1" applyAlignment="1">
      <alignment horizontal="left" vertical="center" wrapText="1"/>
    </xf>
    <xf numFmtId="0" fontId="48" fillId="0" borderId="1" xfId="0" applyNumberFormat="1" applyFont="1" applyBorder="1" applyAlignment="1">
      <alignment horizontal="left" vertical="center" wrapText="1"/>
    </xf>
    <xf numFmtId="0" fontId="48" fillId="0" borderId="5" xfId="0" applyNumberFormat="1" applyFont="1" applyBorder="1" applyAlignment="1">
      <alignment horizontal="left" vertical="center" wrapText="1"/>
    </xf>
    <xf numFmtId="0" fontId="51" fillId="0" borderId="5" xfId="0" applyNumberFormat="1" applyFont="1" applyBorder="1" applyAlignment="1">
      <alignment vertical="center" wrapText="1"/>
    </xf>
    <xf numFmtId="0" fontId="52" fillId="0" borderId="1" xfId="0" applyNumberFormat="1" applyFont="1" applyBorder="1" applyAlignment="1">
      <alignment horizontal="left" vertical="center" wrapText="1"/>
    </xf>
    <xf numFmtId="175" fontId="48" fillId="0" borderId="5" xfId="0" applyNumberFormat="1" applyFont="1" applyBorder="1" applyAlignment="1">
      <alignment horizontal="right" vertical="center" wrapText="1"/>
    </xf>
    <xf numFmtId="184" fontId="44" fillId="0" borderId="5" xfId="5" applyNumberFormat="1" applyFont="1" applyBorder="1" applyAlignment="1">
      <alignment horizontal="center" vertical="center" wrapText="1"/>
    </xf>
    <xf numFmtId="4" fontId="44" fillId="0" borderId="5" xfId="5" applyNumberFormat="1" applyFont="1" applyBorder="1" applyAlignment="1">
      <alignment horizontal="center" vertical="center" wrapText="1"/>
    </xf>
    <xf numFmtId="0" fontId="41" fillId="0" borderId="5" xfId="5" applyFont="1" applyBorder="1" applyAlignment="1">
      <alignment horizontal="center" vertical="center" wrapText="1"/>
    </xf>
    <xf numFmtId="2" fontId="41" fillId="0" borderId="5" xfId="5" applyNumberFormat="1" applyFont="1" applyBorder="1" applyAlignment="1">
      <alignment horizontal="center" vertical="center" wrapText="1"/>
    </xf>
    <xf numFmtId="2" fontId="44" fillId="0" borderId="14" xfId="5" applyNumberFormat="1" applyFont="1" applyBorder="1" applyAlignment="1">
      <alignment horizontal="center" vertical="center" wrapText="1"/>
    </xf>
    <xf numFmtId="0" fontId="41" fillId="0" borderId="1" xfId="5" applyFont="1" applyBorder="1" applyAlignment="1">
      <alignment horizontal="center" vertical="center" wrapText="1"/>
    </xf>
    <xf numFmtId="2" fontId="41" fillId="0" borderId="1" xfId="5" applyNumberFormat="1" applyFont="1" applyBorder="1" applyAlignment="1">
      <alignment horizontal="center" vertical="center" wrapText="1"/>
    </xf>
    <xf numFmtId="164" fontId="48" fillId="0" borderId="5" xfId="0" applyNumberFormat="1" applyFont="1" applyBorder="1" applyAlignment="1">
      <alignment horizontal="right" vertical="center" wrapText="1"/>
    </xf>
    <xf numFmtId="175" fontId="48" fillId="0" borderId="5" xfId="0" applyNumberFormat="1" applyFont="1" applyBorder="1" applyAlignment="1">
      <alignment horizontal="right" vertical="center"/>
    </xf>
    <xf numFmtId="0" fontId="38" fillId="0" borderId="5" xfId="5" applyFont="1" applyBorder="1" applyAlignment="1">
      <alignment vertical="center"/>
    </xf>
    <xf numFmtId="175" fontId="52" fillId="0" borderId="5" xfId="0" applyNumberFormat="1" applyFont="1" applyBorder="1" applyAlignment="1">
      <alignment horizontal="right" vertical="center"/>
    </xf>
    <xf numFmtId="2" fontId="118" fillId="0" borderId="5" xfId="5" applyNumberFormat="1" applyFont="1" applyBorder="1" applyAlignment="1">
      <alignment horizontal="center" vertical="center" wrapText="1"/>
    </xf>
    <xf numFmtId="175" fontId="41" fillId="0" borderId="5" xfId="5" applyNumberFormat="1" applyFont="1" applyBorder="1" applyAlignment="1">
      <alignment horizontal="center" vertical="center" wrapText="1"/>
    </xf>
    <xf numFmtId="4" fontId="41" fillId="0" borderId="5" xfId="5" applyNumberFormat="1" applyFont="1" applyBorder="1" applyAlignment="1">
      <alignment horizontal="center" vertical="center" wrapText="1"/>
    </xf>
    <xf numFmtId="2" fontId="41" fillId="0" borderId="14" xfId="5" applyNumberFormat="1" applyFont="1" applyBorder="1" applyAlignment="1">
      <alignment horizontal="center" vertical="center" wrapText="1"/>
    </xf>
    <xf numFmtId="2" fontId="40" fillId="0" borderId="1" xfId="5" applyNumberFormat="1" applyFont="1" applyBorder="1" applyAlignment="1">
      <alignment horizontal="center" vertical="center" wrapText="1"/>
    </xf>
    <xf numFmtId="176" fontId="41" fillId="0" borderId="5" xfId="5" applyNumberFormat="1" applyFont="1" applyBorder="1" applyAlignment="1">
      <alignment horizontal="center" vertical="center" wrapText="1"/>
    </xf>
    <xf numFmtId="10" fontId="41" fillId="0" borderId="5" xfId="2" applyNumberFormat="1" applyFont="1" applyFill="1" applyBorder="1" applyAlignment="1">
      <alignment horizontal="center" vertical="center" wrapText="1"/>
    </xf>
    <xf numFmtId="168" fontId="41" fillId="0" borderId="5" xfId="2" applyNumberFormat="1" applyFont="1" applyFill="1" applyBorder="1" applyAlignment="1">
      <alignment horizontal="center" vertical="center" wrapText="1"/>
    </xf>
    <xf numFmtId="2" fontId="41" fillId="0" borderId="5" xfId="2" applyNumberFormat="1" applyFont="1" applyFill="1" applyBorder="1" applyAlignment="1">
      <alignment horizontal="center" vertical="center" wrapText="1"/>
    </xf>
    <xf numFmtId="2" fontId="40" fillId="0" borderId="5" xfId="2" applyNumberFormat="1" applyFont="1" applyFill="1" applyBorder="1" applyAlignment="1">
      <alignment horizontal="center" vertical="center" wrapText="1"/>
    </xf>
    <xf numFmtId="0" fontId="35" fillId="0" borderId="21" xfId="5" applyFont="1" applyBorder="1" applyAlignment="1">
      <alignment vertical="top"/>
    </xf>
    <xf numFmtId="0" fontId="3" fillId="0" borderId="0" xfId="139"/>
    <xf numFmtId="3" fontId="19" fillId="0" borderId="0" xfId="139" applyNumberFormat="1" applyFont="1"/>
    <xf numFmtId="177" fontId="22" fillId="0" borderId="0" xfId="139" applyNumberFormat="1" applyFont="1" applyAlignment="1">
      <alignment horizontal="right"/>
    </xf>
    <xf numFmtId="166" fontId="22" fillId="0" borderId="0" xfId="139" applyNumberFormat="1" applyFont="1" applyAlignment="1">
      <alignment horizontal="left"/>
    </xf>
    <xf numFmtId="166" fontId="19" fillId="0" borderId="0" xfId="139" applyNumberFormat="1" applyFont="1" applyAlignment="1">
      <alignment horizontal="left"/>
    </xf>
    <xf numFmtId="166" fontId="19" fillId="0" borderId="0" xfId="139" applyNumberFormat="1" applyFont="1"/>
    <xf numFmtId="166" fontId="3" fillId="0" borderId="0" xfId="139" applyNumberFormat="1"/>
    <xf numFmtId="167" fontId="3" fillId="0" borderId="0" xfId="139" applyNumberFormat="1"/>
    <xf numFmtId="166" fontId="22" fillId="0" borderId="0" xfId="22" applyNumberFormat="1" applyAlignment="1">
      <alignment vertical="center"/>
    </xf>
    <xf numFmtId="166" fontId="19" fillId="0" borderId="0" xfId="139" applyNumberFormat="1" applyFont="1" applyAlignment="1">
      <alignment horizontal="left" vertical="center"/>
    </xf>
    <xf numFmtId="166" fontId="3" fillId="0" borderId="0" xfId="139" applyNumberFormat="1" applyAlignment="1">
      <alignment vertical="center"/>
    </xf>
    <xf numFmtId="179" fontId="22" fillId="0" borderId="0" xfId="22" applyNumberFormat="1" applyAlignment="1">
      <alignment horizontal="center" vertical="center"/>
    </xf>
    <xf numFmtId="0" fontId="3" fillId="0" borderId="0" xfId="139" applyAlignment="1">
      <alignment vertical="center"/>
    </xf>
    <xf numFmtId="166" fontId="23" fillId="0" borderId="0" xfId="139" applyNumberFormat="1" applyFont="1" applyAlignment="1">
      <alignment horizontal="right" vertical="center"/>
    </xf>
    <xf numFmtId="3" fontId="22" fillId="0" borderId="2" xfId="139" applyNumberFormat="1" applyFont="1" applyBorder="1" applyAlignment="1">
      <alignment horizontal="center" vertical="top"/>
    </xf>
    <xf numFmtId="166" fontId="22" fillId="0" borderId="9" xfId="139" applyNumberFormat="1" applyFont="1" applyBorder="1" applyAlignment="1">
      <alignment vertical="top"/>
    </xf>
    <xf numFmtId="177" fontId="22" fillId="0" borderId="9" xfId="22" applyNumberFormat="1" applyBorder="1" applyAlignment="1">
      <alignment vertical="top" wrapText="1"/>
    </xf>
    <xf numFmtId="186" fontId="22" fillId="0" borderId="2" xfId="139" applyNumberFormat="1" applyFont="1" applyBorder="1" applyAlignment="1">
      <alignment vertical="top"/>
    </xf>
    <xf numFmtId="166" fontId="3" fillId="0" borderId="0" xfId="139" applyNumberFormat="1" applyAlignment="1">
      <alignment vertical="top"/>
    </xf>
    <xf numFmtId="173" fontId="22" fillId="0" borderId="2" xfId="140" applyBorder="1" applyAlignment="1">
      <alignment vertical="top" wrapText="1"/>
    </xf>
    <xf numFmtId="1" fontId="3" fillId="0" borderId="0" xfId="139" applyNumberFormat="1" applyAlignment="1">
      <alignment horizontal="center" vertical="top"/>
    </xf>
    <xf numFmtId="166" fontId="3" fillId="0" borderId="0" xfId="139" applyNumberFormat="1" applyAlignment="1">
      <alignment horizontal="center" vertical="top"/>
    </xf>
    <xf numFmtId="166" fontId="3" fillId="0" borderId="0" xfId="139" applyNumberFormat="1" applyAlignment="1">
      <alignment horizontal="right" vertical="top"/>
    </xf>
    <xf numFmtId="166" fontId="3" fillId="0" borderId="0" xfId="139" applyNumberFormat="1" applyAlignment="1">
      <alignment horizontal="left"/>
    </xf>
    <xf numFmtId="166" fontId="3" fillId="0" borderId="0" xfId="139" applyNumberFormat="1" applyAlignment="1">
      <alignment horizontal="left" vertical="top" wrapText="1"/>
    </xf>
    <xf numFmtId="177" fontId="22" fillId="0" borderId="2" xfId="139" applyNumberFormat="1" applyFont="1" applyBorder="1" applyAlignment="1">
      <alignment vertical="top"/>
    </xf>
    <xf numFmtId="166" fontId="22" fillId="0" borderId="0" xfId="139" applyNumberFormat="1" applyFont="1" applyAlignment="1">
      <alignment vertical="top"/>
    </xf>
    <xf numFmtId="166" fontId="23" fillId="0" borderId="0" xfId="139" applyNumberFormat="1" applyFont="1" applyAlignment="1">
      <alignment horizontal="center"/>
    </xf>
    <xf numFmtId="166" fontId="23" fillId="0" borderId="0" xfId="139" applyNumberFormat="1" applyFont="1"/>
    <xf numFmtId="166" fontId="17" fillId="0" borderId="0" xfId="139" applyNumberFormat="1" applyFont="1" applyAlignment="1">
      <alignment horizontal="center"/>
    </xf>
    <xf numFmtId="166" fontId="57" fillId="0" borderId="0" xfId="139" applyNumberFormat="1" applyFont="1" applyAlignment="1">
      <alignment vertical="top"/>
    </xf>
    <xf numFmtId="0" fontId="3" fillId="0" borderId="0" xfId="139" applyAlignment="1">
      <alignment vertical="top"/>
    </xf>
    <xf numFmtId="177" fontId="22" fillId="0" borderId="2" xfId="139" applyNumberFormat="1" applyFont="1" applyBorder="1" applyAlignment="1">
      <alignment vertical="top" wrapText="1"/>
    </xf>
    <xf numFmtId="166" fontId="22" fillId="0" borderId="9" xfId="139" applyNumberFormat="1" applyFont="1" applyBorder="1" applyAlignment="1">
      <alignment vertical="top" wrapText="1"/>
    </xf>
    <xf numFmtId="1" fontId="17" fillId="0" borderId="0" xfId="139" applyNumberFormat="1" applyFont="1" applyAlignment="1">
      <alignment horizontal="center" vertical="top"/>
    </xf>
    <xf numFmtId="166" fontId="27" fillId="0" borderId="0" xfId="139" applyNumberFormat="1" applyFont="1" applyAlignment="1">
      <alignment vertical="top" wrapText="1"/>
    </xf>
    <xf numFmtId="166" fontId="27" fillId="0" borderId="0" xfId="139" applyNumberFormat="1" applyFont="1" applyAlignment="1">
      <alignment horizontal="center" vertical="top" wrapText="1"/>
    </xf>
    <xf numFmtId="167" fontId="27" fillId="0" borderId="0" xfId="139" applyNumberFormat="1" applyFont="1" applyAlignment="1">
      <alignment horizontal="center" vertical="top" wrapText="1"/>
    </xf>
    <xf numFmtId="167" fontId="27" fillId="0" borderId="0" xfId="139" applyNumberFormat="1" applyFont="1" applyAlignment="1">
      <alignment vertical="top" wrapText="1"/>
    </xf>
    <xf numFmtId="167" fontId="3" fillId="0" borderId="0" xfId="139" applyNumberFormat="1" applyAlignment="1">
      <alignment horizontal="center"/>
    </xf>
    <xf numFmtId="0" fontId="3" fillId="0" borderId="0" xfId="139" applyAlignment="1">
      <alignment horizontal="center" vertical="top"/>
    </xf>
    <xf numFmtId="177" fontId="22" fillId="0" borderId="2" xfId="141" applyNumberFormat="1" applyFont="1" applyBorder="1" applyAlignment="1">
      <alignment vertical="top" wrapText="1"/>
    </xf>
    <xf numFmtId="2" fontId="22" fillId="0" borderId="9" xfId="139" applyNumberFormat="1" applyFont="1" applyBorder="1" applyAlignment="1">
      <alignment vertical="top"/>
    </xf>
    <xf numFmtId="1" fontId="17" fillId="0" borderId="0" xfId="139" applyNumberFormat="1" applyFont="1" applyAlignment="1">
      <alignment horizontal="center"/>
    </xf>
    <xf numFmtId="0" fontId="3" fillId="0" borderId="0" xfId="139" applyAlignment="1">
      <alignment horizontal="center"/>
    </xf>
    <xf numFmtId="166" fontId="17" fillId="0" borderId="0" xfId="139" applyNumberFormat="1" applyFont="1" applyAlignment="1">
      <alignment horizontal="right"/>
    </xf>
    <xf numFmtId="2" fontId="22" fillId="0" borderId="9" xfId="22" applyNumberFormat="1" applyBorder="1" applyAlignment="1">
      <alignment horizontal="center" vertical="top"/>
    </xf>
    <xf numFmtId="2" fontId="22" fillId="0" borderId="2" xfId="22" applyNumberFormat="1" applyBorder="1" applyAlignment="1">
      <alignment horizontal="center" vertical="top"/>
    </xf>
    <xf numFmtId="166" fontId="17" fillId="0" borderId="0" xfId="139" applyNumberFormat="1" applyFont="1" applyAlignment="1">
      <alignment horizontal="left" vertical="top" wrapText="1"/>
    </xf>
    <xf numFmtId="167" fontId="3" fillId="0" borderId="0" xfId="139" applyNumberFormat="1" applyAlignment="1">
      <alignment horizontal="center" vertical="top"/>
    </xf>
    <xf numFmtId="166" fontId="17" fillId="0" borderId="0" xfId="139" applyNumberFormat="1" applyFont="1" applyAlignment="1">
      <alignment horizontal="right" vertical="top"/>
    </xf>
    <xf numFmtId="3" fontId="22" fillId="0" borderId="10" xfId="141" applyNumberFormat="1" applyFont="1" applyBorder="1" applyAlignment="1">
      <alignment horizontal="center" vertical="top"/>
    </xf>
    <xf numFmtId="177" fontId="22" fillId="0" borderId="10" xfId="141" applyNumberFormat="1" applyFont="1" applyBorder="1" applyAlignment="1">
      <alignment vertical="top" wrapText="1"/>
    </xf>
    <xf numFmtId="2" fontId="22" fillId="0" borderId="6" xfId="22" applyNumberFormat="1" applyBorder="1" applyAlignment="1">
      <alignment vertical="top"/>
    </xf>
    <xf numFmtId="2" fontId="22" fillId="0" borderId="10" xfId="22" applyNumberFormat="1" applyBorder="1" applyAlignment="1">
      <alignment vertical="top"/>
    </xf>
    <xf numFmtId="1" fontId="17" fillId="0" borderId="0" xfId="141" applyNumberFormat="1" applyFont="1" applyAlignment="1">
      <alignment horizontal="center" vertical="top"/>
    </xf>
    <xf numFmtId="166" fontId="17" fillId="0" borderId="0" xfId="141" applyNumberFormat="1" applyFont="1" applyAlignment="1">
      <alignment horizontal="left" vertical="top" wrapText="1"/>
    </xf>
    <xf numFmtId="166" fontId="3" fillId="0" borderId="0" xfId="141" applyNumberFormat="1" applyAlignment="1">
      <alignment horizontal="center" vertical="top"/>
    </xf>
    <xf numFmtId="167" fontId="3" fillId="0" borderId="0" xfId="141" applyNumberFormat="1" applyAlignment="1">
      <alignment horizontal="center" vertical="top"/>
    </xf>
    <xf numFmtId="166" fontId="3" fillId="0" borderId="0" xfId="141" applyNumberFormat="1" applyAlignment="1">
      <alignment horizontal="right" vertical="top"/>
    </xf>
    <xf numFmtId="0" fontId="3" fillId="0" borderId="0" xfId="141"/>
    <xf numFmtId="166" fontId="17" fillId="0" borderId="0" xfId="141" applyNumberFormat="1" applyFont="1" applyAlignment="1">
      <alignment horizontal="right" vertical="top"/>
    </xf>
    <xf numFmtId="167" fontId="3" fillId="0" borderId="0" xfId="141" applyNumberFormat="1" applyAlignment="1">
      <alignment horizontal="center"/>
    </xf>
    <xf numFmtId="0" fontId="3" fillId="0" borderId="0" xfId="141" applyAlignment="1">
      <alignment horizontal="center"/>
    </xf>
    <xf numFmtId="166" fontId="3" fillId="0" borderId="0" xfId="141" applyNumberFormat="1"/>
    <xf numFmtId="177" fontId="19" fillId="0" borderId="9" xfId="139" applyNumberFormat="1" applyFont="1" applyBorder="1" applyAlignment="1">
      <alignment vertical="top"/>
    </xf>
    <xf numFmtId="166" fontId="19" fillId="0" borderId="22" xfId="139" applyNumberFormat="1" applyFont="1" applyBorder="1" applyAlignment="1">
      <alignment vertical="top"/>
    </xf>
    <xf numFmtId="1" fontId="17" fillId="0" borderId="0" xfId="139" applyNumberFormat="1" applyFont="1" applyAlignment="1">
      <alignment horizontal="right"/>
    </xf>
    <xf numFmtId="166" fontId="23" fillId="0" borderId="0" xfId="139" applyNumberFormat="1" applyFont="1" applyAlignment="1">
      <alignment horizontal="right" wrapText="1"/>
    </xf>
    <xf numFmtId="167" fontId="23" fillId="0" borderId="0" xfId="139" applyNumberFormat="1" applyFont="1" applyAlignment="1">
      <alignment horizontal="right"/>
    </xf>
    <xf numFmtId="3" fontId="22" fillId="0" borderId="2" xfId="139" applyNumberFormat="1" applyFont="1" applyBorder="1" applyAlignment="1">
      <alignment horizontal="right" vertical="top"/>
    </xf>
    <xf numFmtId="177" fontId="22" fillId="0" borderId="0" xfId="139" applyNumberFormat="1" applyFont="1" applyAlignment="1">
      <alignment vertical="top"/>
    </xf>
    <xf numFmtId="166" fontId="22" fillId="0" borderId="2" xfId="140" applyNumberFormat="1" applyBorder="1" applyAlignment="1">
      <alignment vertical="top"/>
    </xf>
    <xf numFmtId="166" fontId="23" fillId="0" borderId="0" xfId="139" applyNumberFormat="1" applyFont="1" applyAlignment="1">
      <alignment horizontal="left"/>
    </xf>
    <xf numFmtId="166" fontId="17" fillId="0" borderId="0" xfId="139" applyNumberFormat="1" applyFont="1" applyAlignment="1">
      <alignment horizontal="left"/>
    </xf>
    <xf numFmtId="3" fontId="3" fillId="0" borderId="2" xfId="139" applyNumberFormat="1" applyBorder="1" applyAlignment="1">
      <alignment horizontal="right" vertical="top"/>
    </xf>
    <xf numFmtId="166" fontId="23" fillId="0" borderId="0" xfId="139" applyNumberFormat="1" applyFont="1" applyAlignment="1">
      <alignment horizontal="right"/>
    </xf>
    <xf numFmtId="166" fontId="56" fillId="0" borderId="0" xfId="139" applyNumberFormat="1" applyFont="1"/>
    <xf numFmtId="166" fontId="22" fillId="0" borderId="12" xfId="139" applyNumberFormat="1" applyFont="1" applyBorder="1" applyAlignment="1">
      <alignment vertical="top"/>
    </xf>
    <xf numFmtId="166" fontId="22" fillId="0" borderId="10" xfId="140" applyNumberFormat="1" applyBorder="1" applyAlignment="1">
      <alignment vertical="top"/>
    </xf>
    <xf numFmtId="166" fontId="17" fillId="0" borderId="0" xfId="139" applyNumberFormat="1" applyFont="1"/>
    <xf numFmtId="166" fontId="17" fillId="0" borderId="0" xfId="139" applyNumberFormat="1" applyFont="1" applyAlignment="1">
      <alignment wrapText="1"/>
    </xf>
    <xf numFmtId="166" fontId="17" fillId="0" borderId="0" xfId="139" applyNumberFormat="1" applyFont="1" applyAlignment="1">
      <alignment horizontal="center" vertical="top"/>
    </xf>
    <xf numFmtId="167" fontId="17" fillId="0" borderId="0" xfId="139" applyNumberFormat="1" applyFont="1" applyAlignment="1">
      <alignment horizontal="right"/>
    </xf>
    <xf numFmtId="177" fontId="22" fillId="0" borderId="2" xfId="139" applyNumberFormat="1" applyFont="1" applyBorder="1" applyAlignment="1">
      <alignment horizontal="left" vertical="center" wrapText="1"/>
    </xf>
    <xf numFmtId="166" fontId="3" fillId="0" borderId="0" xfId="139" applyNumberFormat="1" applyAlignment="1">
      <alignment horizontal="right"/>
    </xf>
    <xf numFmtId="1" fontId="57" fillId="0" borderId="0" xfId="139" applyNumberFormat="1" applyFont="1" applyAlignment="1">
      <alignment horizontal="center"/>
    </xf>
    <xf numFmtId="166" fontId="57" fillId="0" borderId="0" xfId="139" applyNumberFormat="1" applyFont="1" applyAlignment="1">
      <alignment horizontal="left" wrapText="1"/>
    </xf>
    <xf numFmtId="166" fontId="3" fillId="0" borderId="0" xfId="139" applyNumberFormat="1" applyAlignment="1">
      <alignment horizontal="center"/>
    </xf>
    <xf numFmtId="166" fontId="17" fillId="0" borderId="0" xfId="139" applyNumberFormat="1" applyFont="1" applyAlignment="1">
      <alignment horizontal="left" wrapText="1"/>
    </xf>
    <xf numFmtId="166" fontId="17" fillId="0" borderId="0" xfId="139" applyNumberFormat="1" applyFont="1" applyAlignment="1">
      <alignment horizontal="center" vertical="center"/>
    </xf>
    <xf numFmtId="166" fontId="23" fillId="0" borderId="0" xfId="139" applyNumberFormat="1" applyFont="1" applyAlignment="1">
      <alignment horizontal="center" vertical="center" wrapText="1"/>
    </xf>
    <xf numFmtId="0" fontId="3" fillId="0" borderId="0" xfId="139" applyAlignment="1">
      <alignment wrapText="1"/>
    </xf>
    <xf numFmtId="166" fontId="17" fillId="0" borderId="0" xfId="139" applyNumberFormat="1" applyFont="1" applyAlignment="1">
      <alignment vertical="center" wrapText="1"/>
    </xf>
    <xf numFmtId="167" fontId="17" fillId="0" borderId="0" xfId="139" applyNumberFormat="1" applyFont="1" applyAlignment="1">
      <alignment horizontal="right" vertical="center"/>
    </xf>
    <xf numFmtId="166" fontId="17" fillId="0" borderId="0" xfId="139" applyNumberFormat="1" applyFont="1" applyAlignment="1">
      <alignment horizontal="right" vertical="center"/>
    </xf>
    <xf numFmtId="167" fontId="17" fillId="0" borderId="0" xfId="139" applyNumberFormat="1" applyFont="1" applyAlignment="1">
      <alignment horizontal="center" vertical="top"/>
    </xf>
    <xf numFmtId="167" fontId="17" fillId="0" borderId="0" xfId="139" applyNumberFormat="1" applyFont="1" applyAlignment="1">
      <alignment horizontal="center" vertical="center"/>
    </xf>
    <xf numFmtId="166" fontId="3" fillId="0" borderId="0" xfId="139" applyNumberFormat="1" applyAlignment="1">
      <alignment wrapText="1"/>
    </xf>
    <xf numFmtId="166" fontId="3" fillId="0" borderId="0" xfId="139" applyNumberFormat="1" applyAlignment="1">
      <alignment horizontal="center" vertical="center"/>
    </xf>
    <xf numFmtId="0" fontId="3" fillId="0" borderId="0" xfId="139" applyAlignment="1">
      <alignment horizontal="center" vertical="center"/>
    </xf>
    <xf numFmtId="0" fontId="3" fillId="0" borderId="0" xfId="139" applyAlignment="1">
      <alignment horizontal="left" vertical="center"/>
    </xf>
    <xf numFmtId="166" fontId="17" fillId="0" borderId="0" xfId="139" quotePrefix="1" applyNumberFormat="1" applyFont="1" applyAlignment="1">
      <alignment horizontal="left"/>
    </xf>
    <xf numFmtId="1" fontId="61" fillId="0" borderId="0" xfId="139" applyNumberFormat="1" applyFont="1" applyAlignment="1">
      <alignment horizontal="right"/>
    </xf>
    <xf numFmtId="166" fontId="23" fillId="0" borderId="0" xfId="139" applyNumberFormat="1" applyFont="1" applyAlignment="1">
      <alignment horizontal="left" wrapText="1"/>
    </xf>
    <xf numFmtId="166" fontId="22" fillId="0" borderId="0" xfId="22" applyNumberFormat="1" applyAlignment="1">
      <alignment horizontal="right" vertical="center"/>
    </xf>
    <xf numFmtId="186" fontId="22" fillId="0" borderId="2" xfId="139" applyNumberFormat="1" applyFont="1" applyBorder="1" applyAlignment="1">
      <alignment horizontal="center" vertical="top"/>
    </xf>
    <xf numFmtId="166" fontId="49" fillId="0" borderId="0" xfId="139" applyNumberFormat="1" applyFont="1" applyAlignment="1">
      <alignment horizontal="right"/>
    </xf>
    <xf numFmtId="2" fontId="19" fillId="0" borderId="9" xfId="22" applyNumberFormat="1" applyFont="1" applyBorder="1" applyAlignment="1">
      <alignment vertical="top"/>
    </xf>
    <xf numFmtId="186" fontId="3" fillId="0" borderId="0" xfId="139" applyNumberFormat="1"/>
    <xf numFmtId="166" fontId="49" fillId="0" borderId="5" xfId="139" applyNumberFormat="1" applyFont="1" applyBorder="1" applyAlignment="1">
      <alignment horizontal="center" vertical="center"/>
    </xf>
    <xf numFmtId="166" fontId="19" fillId="0" borderId="5" xfId="22" applyNumberFormat="1" applyFont="1" applyBorder="1" applyAlignment="1">
      <alignment horizontal="center" vertical="center" wrapText="1"/>
    </xf>
    <xf numFmtId="166" fontId="22" fillId="0" borderId="5" xfId="139" applyNumberFormat="1" applyFont="1" applyBorder="1" applyAlignment="1">
      <alignment horizontal="left"/>
    </xf>
    <xf numFmtId="166" fontId="19" fillId="0" borderId="5" xfId="22" applyNumberFormat="1" applyFont="1" applyBorder="1" applyAlignment="1">
      <alignment horizontal="center" vertical="center"/>
    </xf>
    <xf numFmtId="166" fontId="19" fillId="4" borderId="5" xfId="22" applyNumberFormat="1" applyFont="1" applyFill="1" applyBorder="1" applyAlignment="1">
      <alignment horizontal="center" vertical="center"/>
    </xf>
    <xf numFmtId="167" fontId="22" fillId="0" borderId="2" xfId="139" applyNumberFormat="1" applyFont="1" applyBorder="1" applyAlignment="1">
      <alignment horizontal="center" vertical="top"/>
    </xf>
    <xf numFmtId="2" fontId="22" fillId="0" borderId="3" xfId="22" applyNumberFormat="1" applyBorder="1" applyAlignment="1">
      <alignment vertical="top"/>
    </xf>
    <xf numFmtId="2" fontId="19" fillId="0" borderId="1" xfId="22" applyNumberFormat="1" applyFont="1" applyBorder="1" applyAlignment="1">
      <alignment vertical="top"/>
    </xf>
    <xf numFmtId="0" fontId="3" fillId="0" borderId="1" xfId="139" applyBorder="1"/>
    <xf numFmtId="0" fontId="3" fillId="0" borderId="2" xfId="139" applyBorder="1"/>
    <xf numFmtId="166" fontId="22" fillId="0" borderId="2" xfId="22" applyNumberFormat="1" applyBorder="1"/>
    <xf numFmtId="2" fontId="22" fillId="0" borderId="2" xfId="22" applyNumberFormat="1" applyBorder="1"/>
    <xf numFmtId="186" fontId="22" fillId="0" borderId="10" xfId="139" applyNumberFormat="1" applyFont="1" applyBorder="1" applyAlignment="1">
      <alignment horizontal="center" vertical="top"/>
    </xf>
    <xf numFmtId="167" fontId="22" fillId="0" borderId="10" xfId="139" applyNumberFormat="1" applyFont="1" applyBorder="1" applyAlignment="1">
      <alignment horizontal="center" vertical="top"/>
    </xf>
    <xf numFmtId="186" fontId="22" fillId="0" borderId="10" xfId="139" applyNumberFormat="1" applyFont="1" applyBorder="1" applyAlignment="1">
      <alignment vertical="top"/>
    </xf>
    <xf numFmtId="177" fontId="17" fillId="0" borderId="0" xfId="139" applyNumberFormat="1" applyFont="1" applyAlignment="1">
      <alignment horizontal="right"/>
    </xf>
    <xf numFmtId="166" fontId="2" fillId="0" borderId="0" xfId="139" applyNumberFormat="1" applyFont="1" applyAlignment="1">
      <alignment horizontal="right"/>
    </xf>
    <xf numFmtId="177" fontId="19" fillId="2" borderId="10" xfId="139" applyNumberFormat="1" applyFont="1" applyFill="1" applyBorder="1" applyAlignment="1">
      <alignment horizontal="center" vertical="center"/>
    </xf>
    <xf numFmtId="166" fontId="19" fillId="2" borderId="10" xfId="22" applyNumberFormat="1" applyFont="1" applyFill="1" applyBorder="1" applyAlignment="1">
      <alignment horizontal="center" vertical="center"/>
    </xf>
    <xf numFmtId="177" fontId="19" fillId="0" borderId="10" xfId="139" applyNumberFormat="1" applyFont="1" applyBorder="1" applyAlignment="1">
      <alignment horizontal="center" vertical="center"/>
    </xf>
    <xf numFmtId="187" fontId="22" fillId="0" borderId="2" xfId="22" applyNumberFormat="1" applyBorder="1" applyAlignment="1">
      <alignment horizontal="right" vertical="top"/>
    </xf>
    <xf numFmtId="177" fontId="19" fillId="0" borderId="10" xfId="139" applyNumberFormat="1" applyFont="1" applyBorder="1" applyAlignment="1">
      <alignment horizontal="right" vertical="center" wrapText="1"/>
    </xf>
    <xf numFmtId="166" fontId="19" fillId="0" borderId="9" xfId="139" applyNumberFormat="1" applyFont="1" applyBorder="1" applyAlignment="1">
      <alignment vertical="center"/>
    </xf>
    <xf numFmtId="186" fontId="19" fillId="0" borderId="5" xfId="139" applyNumberFormat="1" applyFont="1" applyBorder="1" applyAlignment="1">
      <alignment vertical="center"/>
    </xf>
    <xf numFmtId="3" fontId="22" fillId="0" borderId="10" xfId="139" applyNumberFormat="1" applyFont="1" applyBorder="1" applyAlignment="1">
      <alignment horizontal="center" vertical="center"/>
    </xf>
    <xf numFmtId="166" fontId="22" fillId="0" borderId="0" xfId="22" applyNumberFormat="1" applyAlignment="1">
      <alignment vertical="center" wrapText="1"/>
    </xf>
    <xf numFmtId="2" fontId="22" fillId="0" borderId="0" xfId="22" applyNumberFormat="1" applyAlignment="1">
      <alignment vertical="center"/>
    </xf>
    <xf numFmtId="1" fontId="17" fillId="0" borderId="0" xfId="139" applyNumberFormat="1" applyFont="1" applyAlignment="1">
      <alignment horizontal="center" vertical="center"/>
    </xf>
    <xf numFmtId="166" fontId="17" fillId="0" borderId="0" xfId="139" applyNumberFormat="1" applyFont="1" applyAlignment="1">
      <alignment horizontal="left" vertical="center" wrapText="1"/>
    </xf>
    <xf numFmtId="167" fontId="3" fillId="0" borderId="0" xfId="139" applyNumberFormat="1" applyAlignment="1">
      <alignment horizontal="center" vertical="center"/>
    </xf>
    <xf numFmtId="166" fontId="3" fillId="0" borderId="0" xfId="139" applyNumberFormat="1" applyAlignment="1">
      <alignment horizontal="right" vertical="center"/>
    </xf>
    <xf numFmtId="3" fontId="3" fillId="0" borderId="5" xfId="139" applyNumberFormat="1" applyBorder="1" applyAlignment="1">
      <alignment horizontal="right" vertical="center"/>
    </xf>
    <xf numFmtId="177" fontId="19" fillId="0" borderId="5" xfId="139" applyNumberFormat="1" applyFont="1" applyBorder="1" applyAlignment="1">
      <alignment horizontal="right" vertical="center" wrapText="1"/>
    </xf>
    <xf numFmtId="171" fontId="22" fillId="0" borderId="2" xfId="140" applyNumberFormat="1" applyBorder="1" applyAlignment="1">
      <alignment vertical="center"/>
    </xf>
    <xf numFmtId="166" fontId="22" fillId="0" borderId="2" xfId="140" applyNumberFormat="1" applyBorder="1" applyAlignment="1">
      <alignment vertical="center"/>
    </xf>
    <xf numFmtId="166" fontId="22" fillId="0" borderId="2" xfId="22" applyNumberFormat="1" applyBorder="1" applyAlignment="1">
      <alignment vertical="center" wrapText="1"/>
    </xf>
    <xf numFmtId="179" fontId="22" fillId="0" borderId="5" xfId="22" applyNumberFormat="1" applyBorder="1" applyAlignment="1">
      <alignment vertical="center"/>
    </xf>
    <xf numFmtId="2" fontId="22" fillId="0" borderId="5" xfId="22" applyNumberFormat="1" applyBorder="1" applyAlignment="1">
      <alignment vertical="center"/>
    </xf>
    <xf numFmtId="166" fontId="23" fillId="0" borderId="0" xfId="139" applyNumberFormat="1" applyFont="1" applyAlignment="1">
      <alignment vertical="center"/>
    </xf>
    <xf numFmtId="3" fontId="22" fillId="0" borderId="5" xfId="139" applyNumberFormat="1" applyFont="1" applyBorder="1" applyAlignment="1">
      <alignment horizontal="center" vertical="center"/>
    </xf>
    <xf numFmtId="177" fontId="19" fillId="0" borderId="1" xfId="139" applyNumberFormat="1" applyFont="1" applyBorder="1" applyAlignment="1">
      <alignment vertical="center"/>
    </xf>
    <xf numFmtId="166" fontId="19" fillId="0" borderId="1" xfId="22" applyNumberFormat="1" applyFont="1" applyBorder="1" applyAlignment="1">
      <alignment vertical="center"/>
    </xf>
    <xf numFmtId="186" fontId="19" fillId="0" borderId="1" xfId="139" applyNumberFormat="1" applyFont="1" applyBorder="1" applyAlignment="1">
      <alignment vertical="center"/>
    </xf>
    <xf numFmtId="177" fontId="22" fillId="0" borderId="3" xfId="139" applyNumberFormat="1" applyFont="1" applyBorder="1" applyAlignment="1">
      <alignment vertical="center"/>
    </xf>
    <xf numFmtId="166" fontId="22" fillId="0" borderId="2" xfId="139" applyNumberFormat="1" applyFont="1" applyBorder="1" applyAlignment="1">
      <alignment vertical="center"/>
    </xf>
    <xf numFmtId="177" fontId="22" fillId="0" borderId="9" xfId="22" applyNumberFormat="1" applyBorder="1" applyAlignment="1">
      <alignment vertical="center" wrapText="1"/>
    </xf>
    <xf numFmtId="186" fontId="22" fillId="0" borderId="2" xfId="139" applyNumberFormat="1" applyFont="1" applyBorder="1" applyAlignment="1">
      <alignment vertical="center"/>
    </xf>
    <xf numFmtId="186" fontId="22" fillId="0" borderId="2" xfId="139" applyNumberFormat="1" applyFont="1" applyBorder="1" applyAlignment="1">
      <alignment horizontal="center" vertical="center"/>
    </xf>
    <xf numFmtId="177" fontId="19" fillId="0" borderId="5" xfId="139" applyNumberFormat="1" applyFont="1" applyBorder="1" applyAlignment="1">
      <alignment vertical="center"/>
    </xf>
    <xf numFmtId="166" fontId="19" fillId="0" borderId="5" xfId="139" applyNumberFormat="1" applyFont="1" applyBorder="1" applyAlignment="1">
      <alignment vertical="center"/>
    </xf>
    <xf numFmtId="166" fontId="22" fillId="0" borderId="5" xfId="22" applyNumberFormat="1" applyBorder="1" applyAlignment="1">
      <alignment horizontal="center" vertical="center"/>
    </xf>
    <xf numFmtId="166" fontId="22" fillId="0" borderId="5" xfId="22" applyNumberFormat="1" applyBorder="1" applyAlignment="1">
      <alignment vertical="center"/>
    </xf>
    <xf numFmtId="10" fontId="19" fillId="0" borderId="5" xfId="2" applyNumberFormat="1" applyFont="1" applyBorder="1" applyAlignment="1">
      <alignment horizontal="center" vertical="center"/>
    </xf>
    <xf numFmtId="166" fontId="22" fillId="0" borderId="5" xfId="139" applyNumberFormat="1" applyFont="1" applyBorder="1" applyAlignment="1">
      <alignment horizontal="left" vertical="center"/>
    </xf>
    <xf numFmtId="166" fontId="19" fillId="0" borderId="0" xfId="139" applyNumberFormat="1" applyFont="1" applyAlignment="1">
      <alignment vertical="center"/>
    </xf>
    <xf numFmtId="167" fontId="3" fillId="0" borderId="0" xfId="139" applyNumberFormat="1" applyAlignment="1">
      <alignment vertical="center"/>
    </xf>
    <xf numFmtId="166" fontId="3" fillId="0" borderId="5" xfId="139" applyNumberFormat="1" applyBorder="1" applyAlignment="1">
      <alignment vertical="center"/>
    </xf>
    <xf numFmtId="166" fontId="19" fillId="0" borderId="10" xfId="22" applyNumberFormat="1" applyFont="1" applyBorder="1" applyAlignment="1">
      <alignment horizontal="center" vertical="center"/>
    </xf>
    <xf numFmtId="166" fontId="19" fillId="0" borderId="0" xfId="139" applyNumberFormat="1" applyFont="1" applyAlignment="1">
      <alignment horizontal="right" vertical="center"/>
    </xf>
    <xf numFmtId="188" fontId="19" fillId="0" borderId="0" xfId="139" applyNumberFormat="1" applyFont="1" applyAlignment="1">
      <alignment horizontal="left" vertical="center"/>
    </xf>
    <xf numFmtId="166" fontId="22" fillId="0" borderId="10" xfId="22" applyNumberFormat="1" applyBorder="1" applyAlignment="1">
      <alignment horizontal="center" vertical="center"/>
    </xf>
    <xf numFmtId="186" fontId="22" fillId="0" borderId="2" xfId="22" applyNumberFormat="1" applyBorder="1" applyAlignment="1">
      <alignment horizontal="right" vertical="top" wrapText="1"/>
    </xf>
    <xf numFmtId="166" fontId="22" fillId="0" borderId="2" xfId="22" applyNumberFormat="1" applyBorder="1" applyAlignment="1">
      <alignment horizontal="right" vertical="top" wrapText="1"/>
    </xf>
    <xf numFmtId="186" fontId="22" fillId="0" borderId="5" xfId="22" applyNumberFormat="1" applyBorder="1" applyAlignment="1">
      <alignment horizontal="right" vertical="center" wrapText="1"/>
    </xf>
    <xf numFmtId="186" fontId="19" fillId="0" borderId="5" xfId="139" applyNumberFormat="1" applyFont="1" applyBorder="1" applyAlignment="1">
      <alignment horizontal="right" vertical="center"/>
    </xf>
    <xf numFmtId="167" fontId="19" fillId="0" borderId="5" xfId="22" applyNumberFormat="1" applyFont="1" applyBorder="1" applyAlignment="1">
      <alignment horizontal="right" vertical="center" wrapText="1"/>
    </xf>
    <xf numFmtId="167" fontId="19" fillId="0" borderId="5" xfId="139" applyNumberFormat="1" applyFont="1" applyBorder="1" applyAlignment="1">
      <alignment horizontal="right" vertical="center"/>
    </xf>
    <xf numFmtId="186" fontId="22" fillId="0" borderId="2" xfId="139" applyNumberFormat="1" applyFont="1" applyBorder="1" applyAlignment="1">
      <alignment horizontal="right" vertical="center"/>
    </xf>
    <xf numFmtId="186" fontId="22" fillId="0" borderId="0" xfId="139" applyNumberFormat="1" applyFont="1" applyAlignment="1">
      <alignment horizontal="right" vertical="center"/>
    </xf>
    <xf numFmtId="186" fontId="19" fillId="0" borderId="1" xfId="139" applyNumberFormat="1" applyFont="1" applyBorder="1" applyAlignment="1">
      <alignment horizontal="right" vertical="center"/>
    </xf>
    <xf numFmtId="186" fontId="19" fillId="0" borderId="0" xfId="139" applyNumberFormat="1" applyFont="1" applyAlignment="1">
      <alignment horizontal="right" vertical="center"/>
    </xf>
    <xf numFmtId="10" fontId="22" fillId="0" borderId="5" xfId="2" applyNumberFormat="1" applyFont="1" applyBorder="1" applyAlignment="1">
      <alignment horizontal="center" vertical="center"/>
    </xf>
    <xf numFmtId="3" fontId="22" fillId="0" borderId="2" xfId="139" applyNumberFormat="1" applyFont="1" applyBorder="1" applyAlignment="1">
      <alignment horizontal="center" vertical="center"/>
    </xf>
    <xf numFmtId="166" fontId="22" fillId="0" borderId="9" xfId="139" applyNumberFormat="1" applyFont="1" applyBorder="1" applyAlignment="1">
      <alignment vertical="center"/>
    </xf>
    <xf numFmtId="167" fontId="22" fillId="0" borderId="2" xfId="139" applyNumberFormat="1" applyFont="1" applyBorder="1" applyAlignment="1">
      <alignment horizontal="center" vertical="center"/>
    </xf>
    <xf numFmtId="166" fontId="24" fillId="0" borderId="0" xfId="139" applyNumberFormat="1" applyFont="1" applyAlignment="1">
      <alignment vertical="center"/>
    </xf>
    <xf numFmtId="1" fontId="3" fillId="0" borderId="0" xfId="139" applyNumberFormat="1" applyAlignment="1">
      <alignment vertical="center"/>
    </xf>
    <xf numFmtId="173" fontId="22" fillId="0" borderId="2" xfId="140" applyBorder="1" applyAlignment="1">
      <alignment vertical="center" wrapText="1"/>
    </xf>
    <xf numFmtId="1" fontId="3" fillId="0" borderId="0" xfId="139" applyNumberFormat="1" applyAlignment="1">
      <alignment horizontal="center" vertical="center"/>
    </xf>
    <xf numFmtId="166" fontId="19" fillId="0" borderId="0" xfId="139" applyNumberFormat="1" applyFont="1" applyAlignment="1">
      <alignment horizontal="center" vertical="center"/>
    </xf>
    <xf numFmtId="166" fontId="3" fillId="0" borderId="0" xfId="139" applyNumberFormat="1" applyAlignment="1">
      <alignment horizontal="left" vertical="center"/>
    </xf>
    <xf numFmtId="177" fontId="22" fillId="0" borderId="2" xfId="139" applyNumberFormat="1" applyFont="1" applyBorder="1" applyAlignment="1">
      <alignment vertical="center"/>
    </xf>
    <xf numFmtId="2" fontId="22" fillId="0" borderId="9" xfId="22" applyNumberFormat="1" applyBorder="1" applyAlignment="1">
      <alignment vertical="center"/>
    </xf>
    <xf numFmtId="166" fontId="23" fillId="0" borderId="0" xfId="139" applyNumberFormat="1" applyFont="1" applyAlignment="1">
      <alignment horizontal="center" vertical="center"/>
    </xf>
    <xf numFmtId="173" fontId="22" fillId="0" borderId="2" xfId="16" applyNumberFormat="1" applyBorder="1" applyAlignment="1">
      <alignment vertical="center" wrapText="1"/>
    </xf>
    <xf numFmtId="166" fontId="19" fillId="3" borderId="5" xfId="22" applyNumberFormat="1" applyFont="1" applyFill="1" applyBorder="1" applyAlignment="1">
      <alignment horizontal="center" vertical="center" wrapText="1"/>
    </xf>
    <xf numFmtId="10" fontId="22" fillId="0" borderId="5" xfId="2" applyNumberFormat="1" applyFont="1" applyFill="1" applyBorder="1" applyAlignment="1">
      <alignment horizontal="center" vertical="center"/>
    </xf>
    <xf numFmtId="166" fontId="88" fillId="5" borderId="27" xfId="0" applyFont="1" applyFill="1" applyBorder="1" applyAlignment="1">
      <alignment horizontal="right" vertical="center"/>
    </xf>
    <xf numFmtId="166" fontId="88" fillId="5" borderId="26" xfId="0" applyFont="1" applyFill="1" applyBorder="1" applyAlignment="1">
      <alignment horizontal="right" vertical="center"/>
    </xf>
    <xf numFmtId="166" fontId="88" fillId="5" borderId="27" xfId="0" applyFont="1" applyFill="1" applyBorder="1" applyAlignment="1">
      <alignment vertical="center"/>
    </xf>
    <xf numFmtId="166" fontId="88" fillId="5" borderId="26" xfId="0" applyFont="1" applyFill="1" applyBorder="1" applyAlignment="1">
      <alignment vertical="center"/>
    </xf>
    <xf numFmtId="166" fontId="90" fillId="5" borderId="27" xfId="0" applyFont="1" applyFill="1" applyBorder="1" applyAlignment="1">
      <alignment vertical="center"/>
    </xf>
    <xf numFmtId="166" fontId="90" fillId="5" borderId="26" xfId="0" applyFont="1" applyFill="1" applyBorder="1" applyAlignment="1">
      <alignment vertical="center"/>
    </xf>
    <xf numFmtId="166" fontId="90" fillId="5" borderId="27" xfId="0" applyFont="1" applyFill="1" applyBorder="1" applyAlignment="1">
      <alignment horizontal="center" vertical="center"/>
    </xf>
    <xf numFmtId="166" fontId="90" fillId="5" borderId="26" xfId="0" applyFont="1" applyFill="1" applyBorder="1" applyAlignment="1">
      <alignment horizontal="center" vertical="center"/>
    </xf>
    <xf numFmtId="166" fontId="90" fillId="5" borderId="27" xfId="0" applyFont="1" applyFill="1" applyBorder="1" applyAlignment="1">
      <alignment horizontal="right" vertical="center"/>
    </xf>
    <xf numFmtId="166" fontId="90" fillId="5" borderId="26" xfId="0" applyFont="1" applyFill="1" applyBorder="1" applyAlignment="1">
      <alignment horizontal="right" vertical="center"/>
    </xf>
    <xf numFmtId="0" fontId="49" fillId="0" borderId="0" xfId="0" applyNumberFormat="1" applyFont="1" applyAlignment="1">
      <alignment vertical="center" wrapText="1"/>
    </xf>
    <xf numFmtId="166" fontId="88" fillId="5" borderId="27" xfId="0" applyFont="1" applyFill="1" applyBorder="1" applyAlignment="1">
      <alignment horizontal="center" vertical="center"/>
    </xf>
    <xf numFmtId="166" fontId="88" fillId="5" borderId="26" xfId="0" applyFont="1" applyFill="1" applyBorder="1" applyAlignment="1">
      <alignment horizontal="center" vertical="center"/>
    </xf>
    <xf numFmtId="166" fontId="0" fillId="0" borderId="0" xfId="0" applyAlignment="1">
      <alignment horizontal="center"/>
    </xf>
    <xf numFmtId="166" fontId="19" fillId="0" borderId="0" xfId="0" applyFont="1" applyAlignment="1">
      <alignment horizontal="center"/>
    </xf>
    <xf numFmtId="166" fontId="73" fillId="0" borderId="0" xfId="0" applyFont="1" applyAlignment="1">
      <alignment horizontal="center"/>
    </xf>
    <xf numFmtId="166" fontId="26" fillId="0" borderId="0" xfId="0" applyFont="1" applyAlignment="1">
      <alignment horizontal="center"/>
    </xf>
    <xf numFmtId="166" fontId="22" fillId="0" borderId="11" xfId="0" applyFont="1" applyBorder="1" applyAlignment="1">
      <alignment horizontal="justify" vertical="top" wrapText="1"/>
    </xf>
    <xf numFmtId="166" fontId="0" fillId="0" borderId="11" xfId="0" applyBorder="1" applyAlignment="1">
      <alignment horizontal="justify" vertical="top" wrapText="1"/>
    </xf>
    <xf numFmtId="166" fontId="19" fillId="0" borderId="0" xfId="0" applyFont="1" applyAlignment="1">
      <alignment horizontal="center" vertical="top" wrapText="1"/>
    </xf>
    <xf numFmtId="0" fontId="38" fillId="0" borderId="25" xfId="5" applyFont="1" applyBorder="1" applyAlignment="1">
      <alignment horizontal="center" vertical="top" wrapText="1"/>
    </xf>
    <xf numFmtId="0" fontId="38" fillId="0" borderId="24" xfId="5" applyFont="1" applyBorder="1" applyAlignment="1">
      <alignment horizontal="center" vertical="top" wrapText="1"/>
    </xf>
    <xf numFmtId="0" fontId="38" fillId="0" borderId="25" xfId="5" applyFont="1" applyBorder="1" applyAlignment="1">
      <alignment horizontal="left" vertical="top" wrapText="1"/>
    </xf>
    <xf numFmtId="0" fontId="38" fillId="0" borderId="24" xfId="5" applyFont="1" applyBorder="1" applyAlignment="1">
      <alignment horizontal="left" vertical="top" wrapText="1"/>
    </xf>
    <xf numFmtId="0" fontId="38" fillId="0" borderId="14" xfId="5" applyFont="1" applyBorder="1" applyAlignment="1">
      <alignment horizontal="center" vertical="top" wrapText="1"/>
    </xf>
    <xf numFmtId="0" fontId="38" fillId="0" borderId="8" xfId="5" applyFont="1" applyBorder="1" applyAlignment="1">
      <alignment horizontal="center" vertical="top" wrapText="1"/>
    </xf>
    <xf numFmtId="0" fontId="38" fillId="0" borderId="13" xfId="5" applyFont="1" applyBorder="1" applyAlignment="1">
      <alignment horizontal="center" vertical="top" wrapText="1"/>
    </xf>
    <xf numFmtId="2" fontId="40" fillId="0" borderId="25" xfId="5" applyNumberFormat="1" applyFont="1" applyBorder="1" applyAlignment="1">
      <alignment horizontal="center" vertical="top" wrapText="1"/>
    </xf>
    <xf numFmtId="2" fontId="40" fillId="0" borderId="24" xfId="5" applyNumberFormat="1" applyFont="1" applyBorder="1" applyAlignment="1">
      <alignment horizontal="center" vertical="top" wrapText="1"/>
    </xf>
    <xf numFmtId="0" fontId="38" fillId="0" borderId="5" xfId="5" applyFont="1" applyBorder="1" applyAlignment="1">
      <alignment horizontal="center" vertical="top" wrapText="1"/>
    </xf>
    <xf numFmtId="2" fontId="40" fillId="0" borderId="25" xfId="5" applyNumberFormat="1" applyFont="1" applyBorder="1" applyAlignment="1">
      <alignment horizontal="center" vertical="center"/>
    </xf>
    <xf numFmtId="2" fontId="40" fillId="0" borderId="24" xfId="5" applyNumberFormat="1" applyFont="1" applyBorder="1" applyAlignment="1">
      <alignment horizontal="center" vertical="center"/>
    </xf>
    <xf numFmtId="9" fontId="38" fillId="0" borderId="25" xfId="5" applyNumberFormat="1" applyFont="1" applyBorder="1" applyAlignment="1">
      <alignment horizontal="center"/>
    </xf>
    <xf numFmtId="9" fontId="38" fillId="0" borderId="24" xfId="5" applyNumberFormat="1" applyFont="1" applyBorder="1" applyAlignment="1">
      <alignment horizontal="center"/>
    </xf>
    <xf numFmtId="0" fontId="44" fillId="0" borderId="0" xfId="5" applyFont="1" applyAlignment="1">
      <alignment horizontal="right" vertical="top" wrapText="1"/>
    </xf>
    <xf numFmtId="0" fontId="44" fillId="0" borderId="31" xfId="5" applyFont="1" applyBorder="1" applyAlignment="1">
      <alignment horizontal="right" vertical="top" wrapText="1"/>
    </xf>
    <xf numFmtId="0" fontId="40" fillId="0" borderId="25" xfId="5" applyFont="1" applyBorder="1" applyAlignment="1">
      <alignment horizontal="center" vertical="top" wrapText="1"/>
    </xf>
    <xf numFmtId="0" fontId="40" fillId="0" borderId="24" xfId="5" applyFont="1" applyBorder="1" applyAlignment="1">
      <alignment horizontal="center" vertical="top" wrapText="1"/>
    </xf>
    <xf numFmtId="9" fontId="38" fillId="0" borderId="29" xfId="5" quotePrefix="1" applyNumberFormat="1" applyFont="1" applyBorder="1" applyAlignment="1">
      <alignment horizontal="center" vertical="top" wrapText="1"/>
    </xf>
    <xf numFmtId="0" fontId="38" fillId="0" borderId="30" xfId="5" applyFont="1" applyBorder="1" applyAlignment="1">
      <alignment horizontal="center" vertical="top" wrapText="1"/>
    </xf>
    <xf numFmtId="0" fontId="40" fillId="0" borderId="5" xfId="5" applyFont="1" applyBorder="1" applyAlignment="1">
      <alignment horizontal="center" vertical="center" wrapText="1"/>
    </xf>
    <xf numFmtId="2" fontId="38" fillId="0" borderId="25" xfId="5" applyNumberFormat="1" applyFont="1" applyBorder="1" applyAlignment="1">
      <alignment horizontal="center" vertical="top" wrapText="1"/>
    </xf>
    <xf numFmtId="2" fontId="38" fillId="0" borderId="24" xfId="5" applyNumberFormat="1" applyFont="1" applyBorder="1" applyAlignment="1">
      <alignment horizontal="center" vertical="top" wrapText="1"/>
    </xf>
    <xf numFmtId="2" fontId="40" fillId="0" borderId="20" xfId="5" applyNumberFormat="1" applyFont="1" applyBorder="1" applyAlignment="1">
      <alignment horizontal="center" vertical="top" wrapText="1"/>
    </xf>
    <xf numFmtId="2" fontId="40" fillId="0" borderId="21" xfId="5" applyNumberFormat="1" applyFont="1" applyBorder="1" applyAlignment="1">
      <alignment horizontal="center" vertical="top" wrapText="1"/>
    </xf>
    <xf numFmtId="0" fontId="38" fillId="0" borderId="5" xfId="5" applyFont="1" applyBorder="1" applyAlignment="1">
      <alignment horizontal="center"/>
    </xf>
    <xf numFmtId="0" fontId="44" fillId="0" borderId="0" xfId="5" applyFont="1" applyAlignment="1">
      <alignment horizontal="left" vertical="center" wrapText="1"/>
    </xf>
    <xf numFmtId="0" fontId="38" fillId="0" borderId="0" xfId="5" applyFont="1" applyAlignment="1">
      <alignment horizontal="right" vertical="center" wrapText="1"/>
    </xf>
    <xf numFmtId="0" fontId="38" fillId="0" borderId="31" xfId="5" applyFont="1" applyBorder="1" applyAlignment="1">
      <alignment horizontal="right" vertical="center" wrapText="1"/>
    </xf>
    <xf numFmtId="174" fontId="40" fillId="0" borderId="25" xfId="5" applyNumberFormat="1" applyFont="1" applyBorder="1" applyAlignment="1">
      <alignment horizontal="left" vertical="top"/>
    </xf>
    <xf numFmtId="174" fontId="40" fillId="0" borderId="24" xfId="5" applyNumberFormat="1" applyFont="1" applyBorder="1" applyAlignment="1">
      <alignment horizontal="left" vertical="top"/>
    </xf>
    <xf numFmtId="0" fontId="38" fillId="0" borderId="5" xfId="5" applyFont="1" applyBorder="1" applyAlignment="1">
      <alignment horizontal="center" vertical="center" wrapText="1"/>
    </xf>
    <xf numFmtId="2" fontId="40" fillId="0" borderId="29" xfId="5" applyNumberFormat="1" applyFont="1" applyBorder="1" applyAlignment="1">
      <alignment horizontal="center" vertical="top" wrapText="1"/>
    </xf>
    <xf numFmtId="2" fontId="40" fillId="0" borderId="30" xfId="5" applyNumberFormat="1" applyFont="1" applyBorder="1" applyAlignment="1">
      <alignment horizontal="center" vertical="top" wrapText="1"/>
    </xf>
    <xf numFmtId="170" fontId="40" fillId="0" borderId="0" xfId="5" applyNumberFormat="1" applyFont="1" applyAlignment="1">
      <alignment horizontal="left" vertical="center"/>
    </xf>
    <xf numFmtId="170" fontId="38" fillId="0" borderId="0" xfId="5" applyNumberFormat="1" applyFont="1" applyAlignment="1">
      <alignment horizontal="left" vertical="center"/>
    </xf>
    <xf numFmtId="0" fontId="41" fillId="0" borderId="5" xfId="5" applyFont="1" applyBorder="1" applyAlignment="1">
      <alignment horizontal="center" vertical="top" wrapText="1"/>
    </xf>
    <xf numFmtId="0" fontId="40" fillId="0" borderId="27" xfId="5" applyFont="1" applyBorder="1" applyAlignment="1">
      <alignment horizontal="center" vertical="center" wrapText="1"/>
    </xf>
    <xf numFmtId="0" fontId="40" fillId="0" borderId="26" xfId="5" applyFont="1" applyBorder="1" applyAlignment="1">
      <alignment horizontal="center" vertical="center" wrapText="1"/>
    </xf>
    <xf numFmtId="0" fontId="38" fillId="0" borderId="0" xfId="5" applyFont="1" applyAlignment="1">
      <alignment vertical="center" wrapText="1"/>
    </xf>
    <xf numFmtId="0" fontId="43" fillId="0" borderId="22" xfId="5" applyFont="1" applyBorder="1" applyAlignment="1">
      <alignment horizontal="center" vertical="top" wrapText="1"/>
    </xf>
    <xf numFmtId="0" fontId="43" fillId="0" borderId="7" xfId="5" applyFont="1" applyBorder="1" applyAlignment="1">
      <alignment horizontal="center" vertical="top" wrapText="1"/>
    </xf>
    <xf numFmtId="0" fontId="43" fillId="0" borderId="12" xfId="5" applyFont="1" applyBorder="1" applyAlignment="1">
      <alignment horizontal="center" vertical="top" wrapText="1"/>
    </xf>
    <xf numFmtId="0" fontId="43" fillId="0" borderId="6" xfId="5" applyFont="1" applyBorder="1" applyAlignment="1">
      <alignment horizontal="center" vertical="top" wrapText="1"/>
    </xf>
    <xf numFmtId="0" fontId="41" fillId="0" borderId="14" xfId="5" applyFont="1" applyBorder="1" applyAlignment="1">
      <alignment horizontal="center" vertical="top" wrapText="1"/>
    </xf>
    <xf numFmtId="0" fontId="41" fillId="0" borderId="4" xfId="5" applyFont="1" applyBorder="1" applyAlignment="1">
      <alignment horizontal="center" vertical="top" wrapText="1"/>
    </xf>
    <xf numFmtId="0" fontId="41" fillId="0" borderId="8" xfId="5" applyFont="1" applyBorder="1" applyAlignment="1">
      <alignment horizontal="center" vertical="top" wrapText="1"/>
    </xf>
    <xf numFmtId="0" fontId="41" fillId="0" borderId="13" xfId="5" applyFont="1" applyBorder="1" applyAlignment="1">
      <alignment horizontal="center" vertical="top" wrapText="1"/>
    </xf>
    <xf numFmtId="0" fontId="41" fillId="0" borderId="0" xfId="5" applyFont="1" applyAlignment="1">
      <alignment horizontal="left" vertical="top" wrapText="1"/>
    </xf>
    <xf numFmtId="0" fontId="47" fillId="0" borderId="0" xfId="5" applyFont="1" applyAlignment="1">
      <alignment horizontal="left" vertical="top" wrapText="1"/>
    </xf>
    <xf numFmtId="0" fontId="44" fillId="0" borderId="0" xfId="5" applyFont="1" applyAlignment="1">
      <alignment horizontal="left" vertical="center"/>
    </xf>
    <xf numFmtId="0" fontId="40" fillId="0" borderId="12" xfId="5" applyFont="1" applyBorder="1" applyAlignment="1">
      <alignment horizontal="left" vertical="center"/>
    </xf>
    <xf numFmtId="0" fontId="40" fillId="0" borderId="4" xfId="5" applyFont="1" applyBorder="1" applyAlignment="1">
      <alignment horizontal="left" vertical="center"/>
    </xf>
    <xf numFmtId="0" fontId="40" fillId="0" borderId="6" xfId="5" applyFont="1" applyBorder="1" applyAlignment="1">
      <alignment horizontal="left" vertical="center"/>
    </xf>
    <xf numFmtId="0" fontId="40" fillId="0" borderId="28" xfId="5" applyFont="1" applyBorder="1" applyAlignment="1">
      <alignment horizontal="center" vertical="top" wrapText="1"/>
    </xf>
    <xf numFmtId="2" fontId="44" fillId="0" borderId="0" xfId="5" applyNumberFormat="1" applyFont="1" applyAlignment="1">
      <alignment horizontal="right" vertical="top"/>
    </xf>
    <xf numFmtId="2" fontId="44" fillId="0" borderId="31" xfId="5" applyNumberFormat="1" applyFont="1" applyBorder="1" applyAlignment="1">
      <alignment horizontal="right" vertical="top"/>
    </xf>
    <xf numFmtId="0" fontId="38" fillId="0" borderId="25" xfId="5" applyFont="1" applyBorder="1" applyAlignment="1">
      <alignment horizontal="left" vertical="center" wrapText="1"/>
    </xf>
    <xf numFmtId="0" fontId="38" fillId="0" borderId="24" xfId="5" applyFont="1" applyBorder="1" applyAlignment="1">
      <alignment horizontal="left" vertical="center" wrapText="1"/>
    </xf>
    <xf numFmtId="0" fontId="40" fillId="0" borderId="29" xfId="5" applyFont="1" applyBorder="1" applyAlignment="1">
      <alignment horizontal="center" vertical="center" wrapText="1"/>
    </xf>
    <xf numFmtId="0" fontId="40" fillId="0" borderId="30" xfId="5" applyFont="1" applyBorder="1" applyAlignment="1">
      <alignment horizontal="center" vertical="center" wrapText="1"/>
    </xf>
    <xf numFmtId="0" fontId="40" fillId="0" borderId="20" xfId="5" applyFont="1" applyBorder="1" applyAlignment="1">
      <alignment horizontal="center" vertical="center" wrapText="1"/>
    </xf>
    <xf numFmtId="0" fontId="40" fillId="0" borderId="21" xfId="5" applyFont="1" applyBorder="1" applyAlignment="1">
      <alignment horizontal="center" vertical="center" wrapText="1"/>
    </xf>
    <xf numFmtId="0" fontId="38" fillId="0" borderId="0" xfId="5" applyFont="1" applyAlignment="1">
      <alignment horizontal="left" vertical="top" wrapText="1"/>
    </xf>
    <xf numFmtId="0" fontId="38" fillId="0" borderId="0" xfId="5" applyFont="1" applyAlignment="1">
      <alignment vertical="center"/>
    </xf>
    <xf numFmtId="0" fontId="26" fillId="0" borderId="1" xfId="5" applyFont="1" applyBorder="1" applyAlignment="1">
      <alignment horizontal="center" vertical="top" wrapText="1"/>
    </xf>
    <xf numFmtId="0" fontId="26" fillId="0" borderId="2" xfId="5" applyFont="1" applyBorder="1" applyAlignment="1">
      <alignment horizontal="center" vertical="top" wrapText="1"/>
    </xf>
    <xf numFmtId="0" fontId="26" fillId="0" borderId="10" xfId="5" applyFont="1" applyBorder="1" applyAlignment="1">
      <alignment horizontal="center" vertical="top" wrapText="1"/>
    </xf>
    <xf numFmtId="0" fontId="38" fillId="0" borderId="0" xfId="5" applyFont="1" applyAlignment="1">
      <alignment horizontal="right" vertical="top"/>
    </xf>
    <xf numFmtId="0" fontId="40" fillId="0" borderId="14" xfId="5" applyFont="1" applyBorder="1" applyAlignment="1">
      <alignment horizontal="center" vertical="top"/>
    </xf>
    <xf numFmtId="0" fontId="40" fillId="0" borderId="8" xfId="5" applyFont="1" applyBorder="1" applyAlignment="1">
      <alignment horizontal="center" vertical="top"/>
    </xf>
    <xf numFmtId="0" fontId="40" fillId="0" borderId="13" xfId="5" applyFont="1" applyBorder="1" applyAlignment="1">
      <alignment horizontal="center" vertical="top"/>
    </xf>
    <xf numFmtId="0" fontId="38" fillId="0" borderId="0" xfId="5" applyFont="1" applyAlignment="1">
      <alignment horizontal="left" vertical="center" wrapText="1"/>
    </xf>
    <xf numFmtId="166" fontId="15" fillId="0" borderId="5" xfId="15" applyNumberFormat="1" applyBorder="1" applyAlignment="1">
      <alignment horizontal="center"/>
    </xf>
    <xf numFmtId="166" fontId="17" fillId="0" borderId="5" xfId="15" applyNumberFormat="1" applyFont="1" applyBorder="1" applyAlignment="1">
      <alignment horizontal="center"/>
    </xf>
    <xf numFmtId="166" fontId="25" fillId="0" borderId="0" xfId="22" applyNumberFormat="1" applyFont="1" applyAlignment="1">
      <alignment horizontal="center"/>
    </xf>
    <xf numFmtId="166" fontId="25" fillId="2" borderId="0" xfId="22" applyNumberFormat="1" applyFont="1" applyFill="1" applyAlignment="1">
      <alignment horizontal="center"/>
    </xf>
    <xf numFmtId="166" fontId="25" fillId="2" borderId="0" xfId="22" applyNumberFormat="1" applyFont="1" applyFill="1" applyAlignment="1">
      <alignment horizontal="center" vertical="center" wrapText="1"/>
    </xf>
    <xf numFmtId="166" fontId="19" fillId="0" borderId="0" xfId="22" applyNumberFormat="1" applyFont="1" applyAlignment="1">
      <alignment horizontal="center"/>
    </xf>
    <xf numFmtId="166" fontId="19" fillId="2" borderId="0" xfId="22" applyNumberFormat="1" applyFont="1" applyFill="1" applyAlignment="1">
      <alignment horizontal="center"/>
    </xf>
    <xf numFmtId="2" fontId="22" fillId="0" borderId="12" xfId="22" applyNumberFormat="1" applyBorder="1" applyAlignment="1">
      <alignment horizontal="center" vertical="top"/>
    </xf>
    <xf numFmtId="2" fontId="22" fillId="0" borderId="4" xfId="22" applyNumberFormat="1" applyBorder="1" applyAlignment="1">
      <alignment horizontal="center" vertical="top"/>
    </xf>
    <xf numFmtId="2" fontId="22" fillId="0" borderId="6" xfId="22" applyNumberFormat="1" applyBorder="1" applyAlignment="1">
      <alignment horizontal="center" vertical="top"/>
    </xf>
    <xf numFmtId="166" fontId="19" fillId="0" borderId="14" xfId="0" applyFont="1" applyBorder="1" applyAlignment="1">
      <alignment horizontal="right" vertical="center"/>
    </xf>
    <xf numFmtId="166" fontId="19" fillId="0" borderId="8" xfId="0" applyFont="1" applyBorder="1" applyAlignment="1">
      <alignment horizontal="right" vertical="center"/>
    </xf>
    <xf numFmtId="166" fontId="19" fillId="0" borderId="13" xfId="0" applyFont="1" applyBorder="1" applyAlignment="1">
      <alignment horizontal="right" vertical="center"/>
    </xf>
    <xf numFmtId="166" fontId="73" fillId="0" borderId="0" xfId="0" applyFont="1" applyAlignment="1">
      <alignment horizontal="right" vertical="center"/>
    </xf>
    <xf numFmtId="166" fontId="25" fillId="0" borderId="14" xfId="0" applyFont="1" applyBorder="1" applyAlignment="1">
      <alignment horizontal="right" vertical="center"/>
    </xf>
    <xf numFmtId="166" fontId="25" fillId="0" borderId="8" xfId="0" applyFont="1" applyBorder="1" applyAlignment="1">
      <alignment horizontal="right" vertical="center"/>
    </xf>
    <xf numFmtId="166" fontId="25" fillId="0" borderId="13" xfId="0" applyFont="1" applyBorder="1" applyAlignment="1">
      <alignment horizontal="right" vertical="center"/>
    </xf>
    <xf numFmtId="166" fontId="116" fillId="0" borderId="0" xfId="0" applyFont="1" applyAlignment="1">
      <alignment vertical="center"/>
    </xf>
    <xf numFmtId="166" fontId="97" fillId="0" borderId="5" xfId="0" applyFont="1" applyBorder="1" applyAlignment="1">
      <alignment horizontal="center" vertical="center"/>
    </xf>
    <xf numFmtId="166" fontId="19" fillId="3" borderId="14" xfId="22" applyNumberFormat="1" applyFont="1" applyFill="1" applyBorder="1" applyAlignment="1">
      <alignment horizontal="center" vertical="center"/>
    </xf>
    <xf numFmtId="166" fontId="19" fillId="3" borderId="8" xfId="22" applyNumberFormat="1" applyFont="1" applyFill="1" applyBorder="1" applyAlignment="1">
      <alignment horizontal="center" vertical="center"/>
    </xf>
    <xf numFmtId="166" fontId="19" fillId="3" borderId="13" xfId="22" applyNumberFormat="1" applyFont="1" applyFill="1" applyBorder="1" applyAlignment="1">
      <alignment horizontal="center" vertical="center"/>
    </xf>
    <xf numFmtId="166" fontId="19" fillId="25" borderId="14" xfId="22" applyNumberFormat="1" applyFont="1" applyFill="1" applyBorder="1" applyAlignment="1">
      <alignment horizontal="center" vertical="center"/>
    </xf>
    <xf numFmtId="166" fontId="19" fillId="25" borderId="8" xfId="22" applyNumberFormat="1" applyFont="1" applyFill="1" applyBorder="1" applyAlignment="1">
      <alignment horizontal="center" vertical="center"/>
    </xf>
    <xf numFmtId="166" fontId="19" fillId="25" borderId="13" xfId="22" applyNumberFormat="1" applyFont="1" applyFill="1" applyBorder="1" applyAlignment="1">
      <alignment horizontal="center" vertical="center"/>
    </xf>
    <xf numFmtId="166" fontId="19" fillId="0" borderId="1" xfId="22" applyNumberFormat="1" applyFont="1" applyBorder="1" applyAlignment="1">
      <alignment horizontal="center" vertical="center" wrapText="1"/>
    </xf>
    <xf numFmtId="166" fontId="19" fillId="0" borderId="2" xfId="22" applyNumberFormat="1" applyFont="1" applyBorder="1" applyAlignment="1">
      <alignment horizontal="center" vertical="center" wrapText="1"/>
    </xf>
    <xf numFmtId="166" fontId="19" fillId="0" borderId="10" xfId="22" applyNumberFormat="1" applyFont="1" applyBorder="1" applyAlignment="1">
      <alignment horizontal="center" vertical="center" wrapText="1"/>
    </xf>
    <xf numFmtId="166" fontId="19" fillId="4" borderId="14" xfId="22" applyNumberFormat="1" applyFont="1" applyFill="1" applyBorder="1" applyAlignment="1">
      <alignment horizontal="center" vertical="center"/>
    </xf>
    <xf numFmtId="166" fontId="19" fillId="4" borderId="8" xfId="22" applyNumberFormat="1" applyFont="1" applyFill="1" applyBorder="1" applyAlignment="1">
      <alignment horizontal="center" vertical="center"/>
    </xf>
    <xf numFmtId="166" fontId="19" fillId="4" borderId="13" xfId="22" applyNumberFormat="1" applyFont="1" applyFill="1" applyBorder="1" applyAlignment="1">
      <alignment horizontal="center" vertical="center"/>
    </xf>
    <xf numFmtId="166" fontId="19" fillId="8" borderId="5" xfId="22" applyNumberFormat="1" applyFont="1" applyFill="1" applyBorder="1" applyAlignment="1">
      <alignment horizontal="center" vertical="center"/>
    </xf>
    <xf numFmtId="166" fontId="119" fillId="0" borderId="14" xfId="139" applyNumberFormat="1" applyFont="1" applyBorder="1" applyAlignment="1">
      <alignment horizontal="center" vertical="center"/>
    </xf>
    <xf numFmtId="166" fontId="120" fillId="0" borderId="8" xfId="139" applyNumberFormat="1" applyFont="1" applyBorder="1" applyAlignment="1">
      <alignment horizontal="center" vertical="center"/>
    </xf>
    <xf numFmtId="166" fontId="120" fillId="0" borderId="13" xfId="139" applyNumberFormat="1" applyFont="1" applyBorder="1" applyAlignment="1">
      <alignment horizontal="center" vertical="center"/>
    </xf>
    <xf numFmtId="166" fontId="3" fillId="0" borderId="14" xfId="139" applyNumberFormat="1" applyBorder="1" applyAlignment="1">
      <alignment horizontal="center" vertical="center"/>
    </xf>
    <xf numFmtId="166" fontId="3" fillId="0" borderId="8" xfId="139" applyNumberFormat="1" applyBorder="1" applyAlignment="1">
      <alignment horizontal="center" vertical="center"/>
    </xf>
    <xf numFmtId="166" fontId="3" fillId="0" borderId="13" xfId="139" applyNumberFormat="1" applyBorder="1" applyAlignment="1">
      <alignment horizontal="center" vertical="center"/>
    </xf>
    <xf numFmtId="166" fontId="49" fillId="0" borderId="1" xfId="139" applyNumberFormat="1" applyFont="1" applyBorder="1" applyAlignment="1">
      <alignment horizontal="center" vertical="center"/>
    </xf>
    <xf numFmtId="166" fontId="49" fillId="0" borderId="10" xfId="139" applyNumberFormat="1" applyFont="1" applyBorder="1" applyAlignment="1">
      <alignment horizontal="center" vertical="center"/>
    </xf>
    <xf numFmtId="166" fontId="49" fillId="0" borderId="1" xfId="139" applyNumberFormat="1" applyFont="1" applyBorder="1" applyAlignment="1">
      <alignment horizontal="center" vertical="center" wrapText="1"/>
    </xf>
    <xf numFmtId="166" fontId="49" fillId="0" borderId="10" xfId="139" applyNumberFormat="1" applyFont="1" applyBorder="1" applyAlignment="1">
      <alignment horizontal="center" vertical="center" wrapText="1"/>
    </xf>
    <xf numFmtId="166" fontId="25" fillId="0" borderId="0" xfId="22" applyNumberFormat="1" applyFont="1" applyAlignment="1">
      <alignment horizontal="center" vertical="center" wrapText="1"/>
    </xf>
    <xf numFmtId="166" fontId="49" fillId="0" borderId="2" xfId="139" applyNumberFormat="1" applyFont="1" applyBorder="1" applyAlignment="1">
      <alignment horizontal="center" vertical="center"/>
    </xf>
    <xf numFmtId="3" fontId="19" fillId="0" borderId="1" xfId="139" applyNumberFormat="1" applyFont="1" applyBorder="1" applyAlignment="1">
      <alignment horizontal="center" vertical="center" wrapText="1"/>
    </xf>
    <xf numFmtId="3" fontId="19" fillId="0" borderId="2" xfId="139" applyNumberFormat="1" applyFont="1" applyBorder="1" applyAlignment="1">
      <alignment horizontal="center" vertical="center" wrapText="1"/>
    </xf>
    <xf numFmtId="3" fontId="19" fillId="0" borderId="10" xfId="139" applyNumberFormat="1" applyFont="1" applyBorder="1" applyAlignment="1">
      <alignment horizontal="center" vertical="center" wrapText="1"/>
    </xf>
    <xf numFmtId="177" fontId="19" fillId="0" borderId="1" xfId="139" applyNumberFormat="1" applyFont="1" applyBorder="1" applyAlignment="1">
      <alignment horizontal="center" vertical="center"/>
    </xf>
    <xf numFmtId="177" fontId="19" fillId="0" borderId="2" xfId="139" applyNumberFormat="1" applyFont="1" applyBorder="1" applyAlignment="1">
      <alignment horizontal="center" vertical="center"/>
    </xf>
    <xf numFmtId="177" fontId="19" fillId="0" borderId="10" xfId="139" applyNumberFormat="1" applyFont="1" applyBorder="1" applyAlignment="1">
      <alignment horizontal="center" vertical="center"/>
    </xf>
    <xf numFmtId="166" fontId="49" fillId="0" borderId="14" xfId="139" applyNumberFormat="1" applyFont="1" applyBorder="1" applyAlignment="1">
      <alignment horizontal="center" vertical="center"/>
    </xf>
    <xf numFmtId="166" fontId="49" fillId="0" borderId="13" xfId="139" applyNumberFormat="1" applyFont="1" applyBorder="1" applyAlignment="1">
      <alignment horizontal="center" vertical="center"/>
    </xf>
    <xf numFmtId="166" fontId="19" fillId="0" borderId="14" xfId="22" applyNumberFormat="1" applyFont="1" applyBorder="1" applyAlignment="1">
      <alignment horizontal="center" vertical="center"/>
    </xf>
    <xf numFmtId="166" fontId="19" fillId="0" borderId="13" xfId="22" applyNumberFormat="1" applyFont="1" applyBorder="1" applyAlignment="1">
      <alignment horizontal="center" vertical="center"/>
    </xf>
  </cellXfs>
  <cellStyles count="739">
    <cellStyle name="20% - Accent1 2" xfId="97" xr:uid="{00000000-0005-0000-0000-000000000000}"/>
    <cellStyle name="20% - Accent2 2" xfId="98" xr:uid="{00000000-0005-0000-0000-000001000000}"/>
    <cellStyle name="20% - Accent3 2" xfId="99" xr:uid="{00000000-0005-0000-0000-000002000000}"/>
    <cellStyle name="20% - Accent4 2" xfId="100" xr:uid="{00000000-0005-0000-0000-000003000000}"/>
    <cellStyle name="20% - Accent5 2" xfId="101" xr:uid="{00000000-0005-0000-0000-000004000000}"/>
    <cellStyle name="20% - Accent6 2" xfId="102" xr:uid="{00000000-0005-0000-0000-000005000000}"/>
    <cellStyle name="40% - Accent1 2" xfId="103" xr:uid="{00000000-0005-0000-0000-000006000000}"/>
    <cellStyle name="40% - Accent2 2" xfId="104" xr:uid="{00000000-0005-0000-0000-000007000000}"/>
    <cellStyle name="40% - Accent3 2" xfId="105" xr:uid="{00000000-0005-0000-0000-000008000000}"/>
    <cellStyle name="40% - Accent4 2" xfId="106" xr:uid="{00000000-0005-0000-0000-000009000000}"/>
    <cellStyle name="40% - Accent5 2" xfId="107" xr:uid="{00000000-0005-0000-0000-00000A000000}"/>
    <cellStyle name="40% - Accent6 2" xfId="108" xr:uid="{00000000-0005-0000-0000-00000B000000}"/>
    <cellStyle name="60% - Accent1 2" xfId="109" xr:uid="{00000000-0005-0000-0000-00000C000000}"/>
    <cellStyle name="60% - Accent2 2" xfId="110" xr:uid="{00000000-0005-0000-0000-00000D000000}"/>
    <cellStyle name="60% - Accent3 2" xfId="111" xr:uid="{00000000-0005-0000-0000-00000E000000}"/>
    <cellStyle name="60% - Accent4 2" xfId="112" xr:uid="{00000000-0005-0000-0000-00000F000000}"/>
    <cellStyle name="60% - Accent5 2" xfId="113" xr:uid="{00000000-0005-0000-0000-000010000000}"/>
    <cellStyle name="60% - Accent6 2" xfId="114" xr:uid="{00000000-0005-0000-0000-000011000000}"/>
    <cellStyle name="Accent1 2" xfId="115" xr:uid="{00000000-0005-0000-0000-000012000000}"/>
    <cellStyle name="Accent2 2" xfId="116" xr:uid="{00000000-0005-0000-0000-000013000000}"/>
    <cellStyle name="Accent3 2" xfId="117" xr:uid="{00000000-0005-0000-0000-000014000000}"/>
    <cellStyle name="Accent4 2" xfId="118" xr:uid="{00000000-0005-0000-0000-000015000000}"/>
    <cellStyle name="Accent5 2" xfId="119" xr:uid="{00000000-0005-0000-0000-000016000000}"/>
    <cellStyle name="Accent6 2" xfId="120" xr:uid="{00000000-0005-0000-0000-000017000000}"/>
    <cellStyle name="Bad 2" xfId="121" xr:uid="{00000000-0005-0000-0000-000018000000}"/>
    <cellStyle name="Calculation 2" xfId="122" xr:uid="{00000000-0005-0000-0000-000019000000}"/>
    <cellStyle name="Check Cell 2" xfId="123" xr:uid="{00000000-0005-0000-0000-00001A000000}"/>
    <cellStyle name="Comma 2" xfId="95" xr:uid="{00000000-0005-0000-0000-00001B000000}"/>
    <cellStyle name="Comma 2 2" xfId="154" xr:uid="{00000000-0005-0000-0000-00001C000000}"/>
    <cellStyle name="Comma 2 3" xfId="155" xr:uid="{00000000-0005-0000-0000-00001D000000}"/>
    <cellStyle name="Comma 2 4" xfId="156" xr:uid="{00000000-0005-0000-0000-00001E000000}"/>
    <cellStyle name="Comma 3" xfId="28" xr:uid="{00000000-0005-0000-0000-00001F000000}"/>
    <cellStyle name="Comma 4" xfId="157" xr:uid="{00000000-0005-0000-0000-000020000000}"/>
    <cellStyle name="Comma 5" xfId="158" xr:uid="{00000000-0005-0000-0000-000021000000}"/>
    <cellStyle name="Excel Built-in Normal" xfId="159" xr:uid="{00000000-0005-0000-0000-000022000000}"/>
    <cellStyle name="Explanatory Text 2" xfId="124" xr:uid="{00000000-0005-0000-0000-000023000000}"/>
    <cellStyle name="Good 2" xfId="125" xr:uid="{00000000-0005-0000-0000-000024000000}"/>
    <cellStyle name="Heading 1 2" xfId="126" xr:uid="{00000000-0005-0000-0000-000025000000}"/>
    <cellStyle name="Heading 2 2" xfId="127" xr:uid="{00000000-0005-0000-0000-000026000000}"/>
    <cellStyle name="Heading 3 2" xfId="128" xr:uid="{00000000-0005-0000-0000-000027000000}"/>
    <cellStyle name="Heading 4 2" xfId="129" xr:uid="{00000000-0005-0000-0000-000028000000}"/>
    <cellStyle name="Hyperlink 2" xfId="160" xr:uid="{00000000-0005-0000-0000-00002A000000}"/>
    <cellStyle name="Hyperlink 2 2" xfId="161" xr:uid="{00000000-0005-0000-0000-00002B000000}"/>
    <cellStyle name="Hyperlink 3" xfId="162" xr:uid="{00000000-0005-0000-0000-00002C000000}"/>
    <cellStyle name="Input 2" xfId="130" xr:uid="{00000000-0005-0000-0000-00002D000000}"/>
    <cellStyle name="Linked Cell 2" xfId="131" xr:uid="{00000000-0005-0000-0000-00002E000000}"/>
    <cellStyle name="Neutral 2" xfId="132" xr:uid="{00000000-0005-0000-0000-00002F000000}"/>
    <cellStyle name="Normal" xfId="0" builtinId="0"/>
    <cellStyle name="Normal 10" xfId="8" xr:uid="{00000000-0005-0000-0000-000031000000}"/>
    <cellStyle name="Normal 10 2" xfId="37" xr:uid="{00000000-0005-0000-0000-000032000000}"/>
    <cellStyle name="Normal 10 2 2" xfId="76" xr:uid="{00000000-0005-0000-0000-000033000000}"/>
    <cellStyle name="Normal 10 2 2 2" xfId="163" xr:uid="{00000000-0005-0000-0000-000034000000}"/>
    <cellStyle name="Normal 10 2 2 2 2" xfId="164" xr:uid="{00000000-0005-0000-0000-000035000000}"/>
    <cellStyle name="Normal 10 2 2 2 2 2" xfId="165" xr:uid="{00000000-0005-0000-0000-000036000000}"/>
    <cellStyle name="Normal 10 2 2 2 3" xfId="166" xr:uid="{00000000-0005-0000-0000-000037000000}"/>
    <cellStyle name="Normal 10 2 2 3" xfId="167" xr:uid="{00000000-0005-0000-0000-000038000000}"/>
    <cellStyle name="Normal 10 2 2 3 2" xfId="168" xr:uid="{00000000-0005-0000-0000-000039000000}"/>
    <cellStyle name="Normal 10 2 2 4" xfId="169" xr:uid="{00000000-0005-0000-0000-00003A000000}"/>
    <cellStyle name="Normal 10 2 3" xfId="170" xr:uid="{00000000-0005-0000-0000-00003B000000}"/>
    <cellStyle name="Normal 10 2 3 2" xfId="171" xr:uid="{00000000-0005-0000-0000-00003C000000}"/>
    <cellStyle name="Normal 10 2 3 2 2" xfId="172" xr:uid="{00000000-0005-0000-0000-00003D000000}"/>
    <cellStyle name="Normal 10 2 3 3" xfId="173" xr:uid="{00000000-0005-0000-0000-00003E000000}"/>
    <cellStyle name="Normal 10 2 4" xfId="174" xr:uid="{00000000-0005-0000-0000-00003F000000}"/>
    <cellStyle name="Normal 10 2 4 2" xfId="175" xr:uid="{00000000-0005-0000-0000-000040000000}"/>
    <cellStyle name="Normal 10 2 5" xfId="176" xr:uid="{00000000-0005-0000-0000-000041000000}"/>
    <cellStyle name="Normal 10 3" xfId="58" xr:uid="{00000000-0005-0000-0000-000042000000}"/>
    <cellStyle name="Normal 10 3 2" xfId="177" xr:uid="{00000000-0005-0000-0000-000043000000}"/>
    <cellStyle name="Normal 10 3 2 2" xfId="178" xr:uid="{00000000-0005-0000-0000-000044000000}"/>
    <cellStyle name="Normal 10 3 2 2 2" xfId="179" xr:uid="{00000000-0005-0000-0000-000045000000}"/>
    <cellStyle name="Normal 10 3 2 3" xfId="180" xr:uid="{00000000-0005-0000-0000-000046000000}"/>
    <cellStyle name="Normal 10 3 3" xfId="181" xr:uid="{00000000-0005-0000-0000-000047000000}"/>
    <cellStyle name="Normal 10 3 3 2" xfId="182" xr:uid="{00000000-0005-0000-0000-000048000000}"/>
    <cellStyle name="Normal 10 3 4" xfId="183" xr:uid="{00000000-0005-0000-0000-000049000000}"/>
    <cellStyle name="Normal 10 4" xfId="89" xr:uid="{00000000-0005-0000-0000-00004A000000}"/>
    <cellStyle name="Normal 10 4 2" xfId="184" xr:uid="{00000000-0005-0000-0000-00004B000000}"/>
    <cellStyle name="Normal 10 4 2 2" xfId="185" xr:uid="{00000000-0005-0000-0000-00004C000000}"/>
    <cellStyle name="Normal 10 4 3" xfId="186" xr:uid="{00000000-0005-0000-0000-00004D000000}"/>
    <cellStyle name="Normal 10 5" xfId="187" xr:uid="{00000000-0005-0000-0000-00004E000000}"/>
    <cellStyle name="Normal 10 5 2" xfId="188" xr:uid="{00000000-0005-0000-0000-00004F000000}"/>
    <cellStyle name="Normal 10 6" xfId="189" xr:uid="{00000000-0005-0000-0000-000050000000}"/>
    <cellStyle name="Normal 10 6 2" xfId="190" xr:uid="{00000000-0005-0000-0000-000051000000}"/>
    <cellStyle name="Normal 10 7" xfId="191" xr:uid="{00000000-0005-0000-0000-000052000000}"/>
    <cellStyle name="Normal 10 7 2" xfId="192" xr:uid="{00000000-0005-0000-0000-000053000000}"/>
    <cellStyle name="Normal 10 8" xfId="193" xr:uid="{00000000-0005-0000-0000-000054000000}"/>
    <cellStyle name="Normal 11" xfId="10" xr:uid="{00000000-0005-0000-0000-000055000000}"/>
    <cellStyle name="Normal 11 2" xfId="39" xr:uid="{00000000-0005-0000-0000-000056000000}"/>
    <cellStyle name="Normal 11 2 2" xfId="78" xr:uid="{00000000-0005-0000-0000-000057000000}"/>
    <cellStyle name="Normal 11 2 2 2" xfId="194" xr:uid="{00000000-0005-0000-0000-000058000000}"/>
    <cellStyle name="Normal 11 2 2 2 2" xfId="195" xr:uid="{00000000-0005-0000-0000-000059000000}"/>
    <cellStyle name="Normal 11 2 2 2 2 2" xfId="196" xr:uid="{00000000-0005-0000-0000-00005A000000}"/>
    <cellStyle name="Normal 11 2 2 2 3" xfId="197" xr:uid="{00000000-0005-0000-0000-00005B000000}"/>
    <cellStyle name="Normal 11 2 2 3" xfId="198" xr:uid="{00000000-0005-0000-0000-00005C000000}"/>
    <cellStyle name="Normal 11 2 2 3 2" xfId="199" xr:uid="{00000000-0005-0000-0000-00005D000000}"/>
    <cellStyle name="Normal 11 2 2 4" xfId="200" xr:uid="{00000000-0005-0000-0000-00005E000000}"/>
    <cellStyle name="Normal 11 2 3" xfId="201" xr:uid="{00000000-0005-0000-0000-00005F000000}"/>
    <cellStyle name="Normal 11 2 3 2" xfId="202" xr:uid="{00000000-0005-0000-0000-000060000000}"/>
    <cellStyle name="Normal 11 2 3 2 2" xfId="203" xr:uid="{00000000-0005-0000-0000-000061000000}"/>
    <cellStyle name="Normal 11 2 3 3" xfId="204" xr:uid="{00000000-0005-0000-0000-000062000000}"/>
    <cellStyle name="Normal 11 2 4" xfId="205" xr:uid="{00000000-0005-0000-0000-000063000000}"/>
    <cellStyle name="Normal 11 2 4 2" xfId="206" xr:uid="{00000000-0005-0000-0000-000064000000}"/>
    <cellStyle name="Normal 11 2 5" xfId="207" xr:uid="{00000000-0005-0000-0000-000065000000}"/>
    <cellStyle name="Normal 11 3" xfId="60" xr:uid="{00000000-0005-0000-0000-000066000000}"/>
    <cellStyle name="Normal 11 3 2" xfId="208" xr:uid="{00000000-0005-0000-0000-000067000000}"/>
    <cellStyle name="Normal 11 3 2 2" xfId="209" xr:uid="{00000000-0005-0000-0000-000068000000}"/>
    <cellStyle name="Normal 11 3 2 2 2" xfId="210" xr:uid="{00000000-0005-0000-0000-000069000000}"/>
    <cellStyle name="Normal 11 3 2 3" xfId="211" xr:uid="{00000000-0005-0000-0000-00006A000000}"/>
    <cellStyle name="Normal 11 3 3" xfId="212" xr:uid="{00000000-0005-0000-0000-00006B000000}"/>
    <cellStyle name="Normal 11 3 3 2" xfId="213" xr:uid="{00000000-0005-0000-0000-00006C000000}"/>
    <cellStyle name="Normal 11 3 4" xfId="214" xr:uid="{00000000-0005-0000-0000-00006D000000}"/>
    <cellStyle name="Normal 11 4" xfId="215" xr:uid="{00000000-0005-0000-0000-00006E000000}"/>
    <cellStyle name="Normal 11 4 2" xfId="216" xr:uid="{00000000-0005-0000-0000-00006F000000}"/>
    <cellStyle name="Normal 11 4 2 2" xfId="217" xr:uid="{00000000-0005-0000-0000-000070000000}"/>
    <cellStyle name="Normal 11 4 3" xfId="218" xr:uid="{00000000-0005-0000-0000-000071000000}"/>
    <cellStyle name="Normal 11 5" xfId="219" xr:uid="{00000000-0005-0000-0000-000072000000}"/>
    <cellStyle name="Normal 11 5 2" xfId="220" xr:uid="{00000000-0005-0000-0000-000073000000}"/>
    <cellStyle name="Normal 11 6" xfId="221" xr:uid="{00000000-0005-0000-0000-000074000000}"/>
    <cellStyle name="Normal 12" xfId="9" xr:uid="{00000000-0005-0000-0000-000075000000}"/>
    <cellStyle name="Normal 12 2" xfId="30" xr:uid="{00000000-0005-0000-0000-000076000000}"/>
    <cellStyle name="Normal 12 2 2" xfId="48" xr:uid="{00000000-0005-0000-0000-000077000000}"/>
    <cellStyle name="Normal 12 2 2 2" xfId="87" xr:uid="{00000000-0005-0000-0000-000078000000}"/>
    <cellStyle name="Normal 12 2 2 2 2" xfId="222" xr:uid="{00000000-0005-0000-0000-000079000000}"/>
    <cellStyle name="Normal 12 2 2 2 2 2" xfId="223" xr:uid="{00000000-0005-0000-0000-00007A000000}"/>
    <cellStyle name="Normal 12 2 2 2 2 2 2" xfId="224" xr:uid="{00000000-0005-0000-0000-00007B000000}"/>
    <cellStyle name="Normal 12 2 2 2 2 3" xfId="225" xr:uid="{00000000-0005-0000-0000-00007C000000}"/>
    <cellStyle name="Normal 12 2 2 2 3" xfId="226" xr:uid="{00000000-0005-0000-0000-00007D000000}"/>
    <cellStyle name="Normal 12 2 2 2 3 2" xfId="227" xr:uid="{00000000-0005-0000-0000-00007E000000}"/>
    <cellStyle name="Normal 12 2 2 2 4" xfId="228" xr:uid="{00000000-0005-0000-0000-00007F000000}"/>
    <cellStyle name="Normal 12 2 2 3" xfId="229" xr:uid="{00000000-0005-0000-0000-000080000000}"/>
    <cellStyle name="Normal 12 2 2 3 2" xfId="230" xr:uid="{00000000-0005-0000-0000-000081000000}"/>
    <cellStyle name="Normal 12 2 2 3 2 2" xfId="231" xr:uid="{00000000-0005-0000-0000-000082000000}"/>
    <cellStyle name="Normal 12 2 2 3 3" xfId="232" xr:uid="{00000000-0005-0000-0000-000083000000}"/>
    <cellStyle name="Normal 12 2 2 4" xfId="233" xr:uid="{00000000-0005-0000-0000-000084000000}"/>
    <cellStyle name="Normal 12 2 2 4 2" xfId="234" xr:uid="{00000000-0005-0000-0000-000085000000}"/>
    <cellStyle name="Normal 12 2 2 5" xfId="235" xr:uid="{00000000-0005-0000-0000-000086000000}"/>
    <cellStyle name="Normal 12 2 3" xfId="69" xr:uid="{00000000-0005-0000-0000-000087000000}"/>
    <cellStyle name="Normal 12 2 3 2" xfId="236" xr:uid="{00000000-0005-0000-0000-000088000000}"/>
    <cellStyle name="Normal 12 2 3 2 2" xfId="237" xr:uid="{00000000-0005-0000-0000-000089000000}"/>
    <cellStyle name="Normal 12 2 3 2 2 2" xfId="238" xr:uid="{00000000-0005-0000-0000-00008A000000}"/>
    <cellStyle name="Normal 12 2 3 2 3" xfId="239" xr:uid="{00000000-0005-0000-0000-00008B000000}"/>
    <cellStyle name="Normal 12 2 3 3" xfId="240" xr:uid="{00000000-0005-0000-0000-00008C000000}"/>
    <cellStyle name="Normal 12 2 3 3 2" xfId="241" xr:uid="{00000000-0005-0000-0000-00008D000000}"/>
    <cellStyle name="Normal 12 2 3 4" xfId="242" xr:uid="{00000000-0005-0000-0000-00008E000000}"/>
    <cellStyle name="Normal 12 2 4" xfId="243" xr:uid="{00000000-0005-0000-0000-00008F000000}"/>
    <cellStyle name="Normal 12 2 4 2" xfId="244" xr:uid="{00000000-0005-0000-0000-000090000000}"/>
    <cellStyle name="Normal 12 2 4 2 2" xfId="245" xr:uid="{00000000-0005-0000-0000-000091000000}"/>
    <cellStyle name="Normal 12 2 4 3" xfId="246" xr:uid="{00000000-0005-0000-0000-000092000000}"/>
    <cellStyle name="Normal 12 2 5" xfId="247" xr:uid="{00000000-0005-0000-0000-000093000000}"/>
    <cellStyle name="Normal 12 2 5 2" xfId="248" xr:uid="{00000000-0005-0000-0000-000094000000}"/>
    <cellStyle name="Normal 12 2 6" xfId="249" xr:uid="{00000000-0005-0000-0000-000095000000}"/>
    <cellStyle name="Normal 12 3" xfId="38" xr:uid="{00000000-0005-0000-0000-000096000000}"/>
    <cellStyle name="Normal 12 3 2" xfId="77" xr:uid="{00000000-0005-0000-0000-000097000000}"/>
    <cellStyle name="Normal 12 3 2 2" xfId="250" xr:uid="{00000000-0005-0000-0000-000098000000}"/>
    <cellStyle name="Normal 12 3 2 2 2" xfId="251" xr:uid="{00000000-0005-0000-0000-000099000000}"/>
    <cellStyle name="Normal 12 3 2 2 2 2" xfId="252" xr:uid="{00000000-0005-0000-0000-00009A000000}"/>
    <cellStyle name="Normal 12 3 2 2 3" xfId="253" xr:uid="{00000000-0005-0000-0000-00009B000000}"/>
    <cellStyle name="Normal 12 3 2 3" xfId="254" xr:uid="{00000000-0005-0000-0000-00009C000000}"/>
    <cellStyle name="Normal 12 3 2 3 2" xfId="255" xr:uid="{00000000-0005-0000-0000-00009D000000}"/>
    <cellStyle name="Normal 12 3 2 4" xfId="256" xr:uid="{00000000-0005-0000-0000-00009E000000}"/>
    <cellStyle name="Normal 12 3 3" xfId="257" xr:uid="{00000000-0005-0000-0000-00009F000000}"/>
    <cellStyle name="Normal 12 3 3 2" xfId="258" xr:uid="{00000000-0005-0000-0000-0000A0000000}"/>
    <cellStyle name="Normal 12 3 3 2 2" xfId="259" xr:uid="{00000000-0005-0000-0000-0000A1000000}"/>
    <cellStyle name="Normal 12 3 3 3" xfId="260" xr:uid="{00000000-0005-0000-0000-0000A2000000}"/>
    <cellStyle name="Normal 12 3 4" xfId="261" xr:uid="{00000000-0005-0000-0000-0000A3000000}"/>
    <cellStyle name="Normal 12 3 4 2" xfId="262" xr:uid="{00000000-0005-0000-0000-0000A4000000}"/>
    <cellStyle name="Normal 12 3 5" xfId="263" xr:uid="{00000000-0005-0000-0000-0000A5000000}"/>
    <cellStyle name="Normal 12 4" xfId="59" xr:uid="{00000000-0005-0000-0000-0000A6000000}"/>
    <cellStyle name="Normal 12 4 2" xfId="264" xr:uid="{00000000-0005-0000-0000-0000A7000000}"/>
    <cellStyle name="Normal 12 4 2 2" xfId="265" xr:uid="{00000000-0005-0000-0000-0000A8000000}"/>
    <cellStyle name="Normal 12 4 2 2 2" xfId="266" xr:uid="{00000000-0005-0000-0000-0000A9000000}"/>
    <cellStyle name="Normal 12 4 2 3" xfId="267" xr:uid="{00000000-0005-0000-0000-0000AA000000}"/>
    <cellStyle name="Normal 12 4 3" xfId="268" xr:uid="{00000000-0005-0000-0000-0000AB000000}"/>
    <cellStyle name="Normal 12 4 3 2" xfId="269" xr:uid="{00000000-0005-0000-0000-0000AC000000}"/>
    <cellStyle name="Normal 12 4 4" xfId="270" xr:uid="{00000000-0005-0000-0000-0000AD000000}"/>
    <cellStyle name="Normal 12 5" xfId="271" xr:uid="{00000000-0005-0000-0000-0000AE000000}"/>
    <cellStyle name="Normal 12 5 2" xfId="272" xr:uid="{00000000-0005-0000-0000-0000AF000000}"/>
    <cellStyle name="Normal 12 5 2 2" xfId="273" xr:uid="{00000000-0005-0000-0000-0000B0000000}"/>
    <cellStyle name="Normal 12 5 3" xfId="274" xr:uid="{00000000-0005-0000-0000-0000B1000000}"/>
    <cellStyle name="Normal 12 6" xfId="275" xr:uid="{00000000-0005-0000-0000-0000B2000000}"/>
    <cellStyle name="Normal 12 6 2" xfId="276" xr:uid="{00000000-0005-0000-0000-0000B3000000}"/>
    <cellStyle name="Normal 12 7" xfId="277" xr:uid="{00000000-0005-0000-0000-0000B4000000}"/>
    <cellStyle name="Normal 13" xfId="11" xr:uid="{00000000-0005-0000-0000-0000B5000000}"/>
    <cellStyle name="Normal 13 2" xfId="29" xr:uid="{00000000-0005-0000-0000-0000B6000000}"/>
    <cellStyle name="Normal 13 2 2" xfId="47" xr:uid="{00000000-0005-0000-0000-0000B7000000}"/>
    <cellStyle name="Normal 13 2 2 2" xfId="86" xr:uid="{00000000-0005-0000-0000-0000B8000000}"/>
    <cellStyle name="Normal 13 2 2 2 2" xfId="278" xr:uid="{00000000-0005-0000-0000-0000B9000000}"/>
    <cellStyle name="Normal 13 2 2 2 2 2" xfId="279" xr:uid="{00000000-0005-0000-0000-0000BA000000}"/>
    <cellStyle name="Normal 13 2 2 2 2 2 2" xfId="280" xr:uid="{00000000-0005-0000-0000-0000BB000000}"/>
    <cellStyle name="Normal 13 2 2 2 2 3" xfId="281" xr:uid="{00000000-0005-0000-0000-0000BC000000}"/>
    <cellStyle name="Normal 13 2 2 2 3" xfId="282" xr:uid="{00000000-0005-0000-0000-0000BD000000}"/>
    <cellStyle name="Normal 13 2 2 2 3 2" xfId="283" xr:uid="{00000000-0005-0000-0000-0000BE000000}"/>
    <cellStyle name="Normal 13 2 2 2 4" xfId="284" xr:uid="{00000000-0005-0000-0000-0000BF000000}"/>
    <cellStyle name="Normal 13 2 2 3" xfId="285" xr:uid="{00000000-0005-0000-0000-0000C0000000}"/>
    <cellStyle name="Normal 13 2 2 3 2" xfId="286" xr:uid="{00000000-0005-0000-0000-0000C1000000}"/>
    <cellStyle name="Normal 13 2 2 3 2 2" xfId="287" xr:uid="{00000000-0005-0000-0000-0000C2000000}"/>
    <cellStyle name="Normal 13 2 2 3 3" xfId="288" xr:uid="{00000000-0005-0000-0000-0000C3000000}"/>
    <cellStyle name="Normal 13 2 2 4" xfId="289" xr:uid="{00000000-0005-0000-0000-0000C4000000}"/>
    <cellStyle name="Normal 13 2 2 4 2" xfId="290" xr:uid="{00000000-0005-0000-0000-0000C5000000}"/>
    <cellStyle name="Normal 13 2 2 5" xfId="291" xr:uid="{00000000-0005-0000-0000-0000C6000000}"/>
    <cellStyle name="Normal 13 2 3" xfId="68" xr:uid="{00000000-0005-0000-0000-0000C7000000}"/>
    <cellStyle name="Normal 13 2 3 2" xfId="292" xr:uid="{00000000-0005-0000-0000-0000C8000000}"/>
    <cellStyle name="Normal 13 2 3 2 2" xfId="293" xr:uid="{00000000-0005-0000-0000-0000C9000000}"/>
    <cellStyle name="Normal 13 2 3 2 2 2" xfId="294" xr:uid="{00000000-0005-0000-0000-0000CA000000}"/>
    <cellStyle name="Normal 13 2 3 2 3" xfId="295" xr:uid="{00000000-0005-0000-0000-0000CB000000}"/>
    <cellStyle name="Normal 13 2 3 3" xfId="296" xr:uid="{00000000-0005-0000-0000-0000CC000000}"/>
    <cellStyle name="Normal 13 2 3 3 2" xfId="297" xr:uid="{00000000-0005-0000-0000-0000CD000000}"/>
    <cellStyle name="Normal 13 2 3 4" xfId="298" xr:uid="{00000000-0005-0000-0000-0000CE000000}"/>
    <cellStyle name="Normal 13 2 4" xfId="299" xr:uid="{00000000-0005-0000-0000-0000CF000000}"/>
    <cellStyle name="Normal 13 2 4 2" xfId="300" xr:uid="{00000000-0005-0000-0000-0000D0000000}"/>
    <cellStyle name="Normal 13 2 4 2 2" xfId="301" xr:uid="{00000000-0005-0000-0000-0000D1000000}"/>
    <cellStyle name="Normal 13 2 4 3" xfId="302" xr:uid="{00000000-0005-0000-0000-0000D2000000}"/>
    <cellStyle name="Normal 13 2 5" xfId="303" xr:uid="{00000000-0005-0000-0000-0000D3000000}"/>
    <cellStyle name="Normal 13 2 5 2" xfId="304" xr:uid="{00000000-0005-0000-0000-0000D4000000}"/>
    <cellStyle name="Normal 13 2 6" xfId="305" xr:uid="{00000000-0005-0000-0000-0000D5000000}"/>
    <cellStyle name="Normal 13 3" xfId="40" xr:uid="{00000000-0005-0000-0000-0000D6000000}"/>
    <cellStyle name="Normal 13 3 2" xfId="79" xr:uid="{00000000-0005-0000-0000-0000D7000000}"/>
    <cellStyle name="Normal 13 3 2 2" xfId="306" xr:uid="{00000000-0005-0000-0000-0000D8000000}"/>
    <cellStyle name="Normal 13 3 2 2 2" xfId="307" xr:uid="{00000000-0005-0000-0000-0000D9000000}"/>
    <cellStyle name="Normal 13 3 2 2 2 2" xfId="308" xr:uid="{00000000-0005-0000-0000-0000DA000000}"/>
    <cellStyle name="Normal 13 3 2 2 3" xfId="309" xr:uid="{00000000-0005-0000-0000-0000DB000000}"/>
    <cellStyle name="Normal 13 3 2 3" xfId="310" xr:uid="{00000000-0005-0000-0000-0000DC000000}"/>
    <cellStyle name="Normal 13 3 2 3 2" xfId="311" xr:uid="{00000000-0005-0000-0000-0000DD000000}"/>
    <cellStyle name="Normal 13 3 2 4" xfId="312" xr:uid="{00000000-0005-0000-0000-0000DE000000}"/>
    <cellStyle name="Normal 13 3 3" xfId="313" xr:uid="{00000000-0005-0000-0000-0000DF000000}"/>
    <cellStyle name="Normal 13 3 3 2" xfId="314" xr:uid="{00000000-0005-0000-0000-0000E0000000}"/>
    <cellStyle name="Normal 13 3 3 2 2" xfId="315" xr:uid="{00000000-0005-0000-0000-0000E1000000}"/>
    <cellStyle name="Normal 13 3 3 3" xfId="316" xr:uid="{00000000-0005-0000-0000-0000E2000000}"/>
    <cellStyle name="Normal 13 3 4" xfId="317" xr:uid="{00000000-0005-0000-0000-0000E3000000}"/>
    <cellStyle name="Normal 13 3 4 2" xfId="318" xr:uid="{00000000-0005-0000-0000-0000E4000000}"/>
    <cellStyle name="Normal 13 3 5" xfId="319" xr:uid="{00000000-0005-0000-0000-0000E5000000}"/>
    <cellStyle name="Normal 13 4" xfId="61" xr:uid="{00000000-0005-0000-0000-0000E6000000}"/>
    <cellStyle name="Normal 13 4 2" xfId="320" xr:uid="{00000000-0005-0000-0000-0000E7000000}"/>
    <cellStyle name="Normal 13 4 2 2" xfId="321" xr:uid="{00000000-0005-0000-0000-0000E8000000}"/>
    <cellStyle name="Normal 13 4 2 2 2" xfId="322" xr:uid="{00000000-0005-0000-0000-0000E9000000}"/>
    <cellStyle name="Normal 13 4 2 3" xfId="323" xr:uid="{00000000-0005-0000-0000-0000EA000000}"/>
    <cellStyle name="Normal 13 4 3" xfId="324" xr:uid="{00000000-0005-0000-0000-0000EB000000}"/>
    <cellStyle name="Normal 13 4 3 2" xfId="325" xr:uid="{00000000-0005-0000-0000-0000EC000000}"/>
    <cellStyle name="Normal 13 4 4" xfId="326" xr:uid="{00000000-0005-0000-0000-0000ED000000}"/>
    <cellStyle name="Normal 13 5" xfId="327" xr:uid="{00000000-0005-0000-0000-0000EE000000}"/>
    <cellStyle name="Normal 13 5 2" xfId="328" xr:uid="{00000000-0005-0000-0000-0000EF000000}"/>
    <cellStyle name="Normal 13 5 2 2" xfId="329" xr:uid="{00000000-0005-0000-0000-0000F0000000}"/>
    <cellStyle name="Normal 13 5 3" xfId="330" xr:uid="{00000000-0005-0000-0000-0000F1000000}"/>
    <cellStyle name="Normal 13 6" xfId="331" xr:uid="{00000000-0005-0000-0000-0000F2000000}"/>
    <cellStyle name="Normal 13 6 2" xfId="332" xr:uid="{00000000-0005-0000-0000-0000F3000000}"/>
    <cellStyle name="Normal 13 7" xfId="333" xr:uid="{00000000-0005-0000-0000-0000F4000000}"/>
    <cellStyle name="Normal 14" xfId="12" xr:uid="{00000000-0005-0000-0000-0000F5000000}"/>
    <cellStyle name="Normal 14 2" xfId="41" xr:uid="{00000000-0005-0000-0000-0000F6000000}"/>
    <cellStyle name="Normal 14 2 2" xfId="80" xr:uid="{00000000-0005-0000-0000-0000F7000000}"/>
    <cellStyle name="Normal 14 2 2 2" xfId="334" xr:uid="{00000000-0005-0000-0000-0000F8000000}"/>
    <cellStyle name="Normal 14 2 2 2 2" xfId="335" xr:uid="{00000000-0005-0000-0000-0000F9000000}"/>
    <cellStyle name="Normal 14 2 2 2 2 2" xfId="336" xr:uid="{00000000-0005-0000-0000-0000FA000000}"/>
    <cellStyle name="Normal 14 2 2 2 3" xfId="337" xr:uid="{00000000-0005-0000-0000-0000FB000000}"/>
    <cellStyle name="Normal 14 2 2 3" xfId="338" xr:uid="{00000000-0005-0000-0000-0000FC000000}"/>
    <cellStyle name="Normal 14 2 2 3 2" xfId="339" xr:uid="{00000000-0005-0000-0000-0000FD000000}"/>
    <cellStyle name="Normal 14 2 2 4" xfId="340" xr:uid="{00000000-0005-0000-0000-0000FE000000}"/>
    <cellStyle name="Normal 14 2 3" xfId="341" xr:uid="{00000000-0005-0000-0000-0000FF000000}"/>
    <cellStyle name="Normal 14 2 3 2" xfId="342" xr:uid="{00000000-0005-0000-0000-000000010000}"/>
    <cellStyle name="Normal 14 2 3 2 2" xfId="343" xr:uid="{00000000-0005-0000-0000-000001010000}"/>
    <cellStyle name="Normal 14 2 3 3" xfId="344" xr:uid="{00000000-0005-0000-0000-000002010000}"/>
    <cellStyle name="Normal 14 2 4" xfId="345" xr:uid="{00000000-0005-0000-0000-000003010000}"/>
    <cellStyle name="Normal 14 2 4 2" xfId="346" xr:uid="{00000000-0005-0000-0000-000004010000}"/>
    <cellStyle name="Normal 14 2 5" xfId="347" xr:uid="{00000000-0005-0000-0000-000005010000}"/>
    <cellStyle name="Normal 14 3" xfId="62" xr:uid="{00000000-0005-0000-0000-000006010000}"/>
    <cellStyle name="Normal 14 3 2" xfId="348" xr:uid="{00000000-0005-0000-0000-000007010000}"/>
    <cellStyle name="Normal 14 3 2 2" xfId="349" xr:uid="{00000000-0005-0000-0000-000008010000}"/>
    <cellStyle name="Normal 14 3 2 2 2" xfId="350" xr:uid="{00000000-0005-0000-0000-000009010000}"/>
    <cellStyle name="Normal 14 3 2 3" xfId="351" xr:uid="{00000000-0005-0000-0000-00000A010000}"/>
    <cellStyle name="Normal 14 3 3" xfId="352" xr:uid="{00000000-0005-0000-0000-00000B010000}"/>
    <cellStyle name="Normal 14 3 3 2" xfId="353" xr:uid="{00000000-0005-0000-0000-00000C010000}"/>
    <cellStyle name="Normal 14 3 4" xfId="354" xr:uid="{00000000-0005-0000-0000-00000D010000}"/>
    <cellStyle name="Normal 14 4" xfId="355" xr:uid="{00000000-0005-0000-0000-00000E010000}"/>
    <cellStyle name="Normal 14 4 2" xfId="356" xr:uid="{00000000-0005-0000-0000-00000F010000}"/>
    <cellStyle name="Normal 14 4 2 2" xfId="357" xr:uid="{00000000-0005-0000-0000-000010010000}"/>
    <cellStyle name="Normal 14 4 3" xfId="358" xr:uid="{00000000-0005-0000-0000-000011010000}"/>
    <cellStyle name="Normal 14 5" xfId="359" xr:uid="{00000000-0005-0000-0000-000012010000}"/>
    <cellStyle name="Normal 14 5 2" xfId="360" xr:uid="{00000000-0005-0000-0000-000013010000}"/>
    <cellStyle name="Normal 14 6" xfId="361" xr:uid="{00000000-0005-0000-0000-000014010000}"/>
    <cellStyle name="Normal 15" xfId="19" xr:uid="{00000000-0005-0000-0000-000015010000}"/>
    <cellStyle name="Normal 15 2" xfId="44" xr:uid="{00000000-0005-0000-0000-000016010000}"/>
    <cellStyle name="Normal 15 2 2" xfId="83" xr:uid="{00000000-0005-0000-0000-000017010000}"/>
    <cellStyle name="Normal 15 2 2 2" xfId="362" xr:uid="{00000000-0005-0000-0000-000018010000}"/>
    <cellStyle name="Normal 15 2 2 2 2" xfId="92" xr:uid="{00000000-0005-0000-0000-000019010000}"/>
    <cellStyle name="Normal 15 2 2 2 2 2" xfId="363" xr:uid="{00000000-0005-0000-0000-00001A010000}"/>
    <cellStyle name="Normal 15 2 2 2 2 2 2" xfId="364" xr:uid="{00000000-0005-0000-0000-00001B010000}"/>
    <cellStyle name="Normal 15 2 2 2 2 2 2 2" xfId="365" xr:uid="{00000000-0005-0000-0000-00001C010000}"/>
    <cellStyle name="Normal 15 2 2 2 2 2 3" xfId="366" xr:uid="{00000000-0005-0000-0000-00001D010000}"/>
    <cellStyle name="Normal 15 2 2 2 2 3" xfId="367" xr:uid="{00000000-0005-0000-0000-00001E010000}"/>
    <cellStyle name="Normal 15 2 2 2 2 3 2" xfId="368" xr:uid="{00000000-0005-0000-0000-00001F010000}"/>
    <cellStyle name="Normal 15 2 2 2 2 4" xfId="369" xr:uid="{00000000-0005-0000-0000-000020010000}"/>
    <cellStyle name="Normal 15 2 2 2 3" xfId="370" xr:uid="{00000000-0005-0000-0000-000021010000}"/>
    <cellStyle name="Normal 15 2 2 2 3 2" xfId="371" xr:uid="{00000000-0005-0000-0000-000022010000}"/>
    <cellStyle name="Normal 15 2 2 2 4" xfId="372" xr:uid="{00000000-0005-0000-0000-000023010000}"/>
    <cellStyle name="Normal 15 2 2 3" xfId="373" xr:uid="{00000000-0005-0000-0000-000024010000}"/>
    <cellStyle name="Normal 15 2 2 3 2" xfId="374" xr:uid="{00000000-0005-0000-0000-000025010000}"/>
    <cellStyle name="Normal 15 2 2 4" xfId="375" xr:uid="{00000000-0005-0000-0000-000026010000}"/>
    <cellStyle name="Normal 15 2 3" xfId="376" xr:uid="{00000000-0005-0000-0000-000027010000}"/>
    <cellStyle name="Normal 15 2 3 2" xfId="377" xr:uid="{00000000-0005-0000-0000-000028010000}"/>
    <cellStyle name="Normal 15 2 3 2 2" xfId="378" xr:uid="{00000000-0005-0000-0000-000029010000}"/>
    <cellStyle name="Normal 15 2 3 3" xfId="379" xr:uid="{00000000-0005-0000-0000-00002A010000}"/>
    <cellStyle name="Normal 15 2 4" xfId="380" xr:uid="{00000000-0005-0000-0000-00002B010000}"/>
    <cellStyle name="Normal 15 2 4 2" xfId="381" xr:uid="{00000000-0005-0000-0000-00002C010000}"/>
    <cellStyle name="Normal 15 2 5" xfId="93" xr:uid="{00000000-0005-0000-0000-00002D010000}"/>
    <cellStyle name="Normal 15 2 5 2" xfId="382" xr:uid="{00000000-0005-0000-0000-00002E010000}"/>
    <cellStyle name="Normal 15 2 6" xfId="94" xr:uid="{00000000-0005-0000-0000-00002F010000}"/>
    <cellStyle name="Normal 15 2 6 2" xfId="383" xr:uid="{00000000-0005-0000-0000-000030010000}"/>
    <cellStyle name="Normal 15 3" xfId="21" xr:uid="{00000000-0005-0000-0000-000031010000}"/>
    <cellStyle name="Normal 15 4" xfId="65" xr:uid="{00000000-0005-0000-0000-000032010000}"/>
    <cellStyle name="Normal 15 4 2" xfId="384" xr:uid="{00000000-0005-0000-0000-000033010000}"/>
    <cellStyle name="Normal 15 4 2 2" xfId="385" xr:uid="{00000000-0005-0000-0000-000034010000}"/>
    <cellStyle name="Normal 15 4 2 2 2" xfId="386" xr:uid="{00000000-0005-0000-0000-000035010000}"/>
    <cellStyle name="Normal 15 4 2 3" xfId="387" xr:uid="{00000000-0005-0000-0000-000036010000}"/>
    <cellStyle name="Normal 15 4 3" xfId="388" xr:uid="{00000000-0005-0000-0000-000037010000}"/>
    <cellStyle name="Normal 15 4 3 2" xfId="389" xr:uid="{00000000-0005-0000-0000-000038010000}"/>
    <cellStyle name="Normal 15 4 4" xfId="390" xr:uid="{00000000-0005-0000-0000-000039010000}"/>
    <cellStyle name="Normal 15 5" xfId="90" xr:uid="{00000000-0005-0000-0000-00003A010000}"/>
    <cellStyle name="Normal 15 5 2" xfId="391" xr:uid="{00000000-0005-0000-0000-00003B010000}"/>
    <cellStyle name="Normal 15 5 2 2" xfId="392" xr:uid="{00000000-0005-0000-0000-00003C010000}"/>
    <cellStyle name="Normal 15 5 3" xfId="393" xr:uid="{00000000-0005-0000-0000-00003D010000}"/>
    <cellStyle name="Normal 15 6" xfId="91" xr:uid="{00000000-0005-0000-0000-00003E010000}"/>
    <cellStyle name="Normal 15 6 2" xfId="394" xr:uid="{00000000-0005-0000-0000-00003F010000}"/>
    <cellStyle name="Normal 15 7" xfId="395" xr:uid="{00000000-0005-0000-0000-000040010000}"/>
    <cellStyle name="Normal 15 7 2" xfId="396" xr:uid="{00000000-0005-0000-0000-000041010000}"/>
    <cellStyle name="Normal 15 8" xfId="397" xr:uid="{00000000-0005-0000-0000-000042010000}"/>
    <cellStyle name="Normal 16" xfId="26" xr:uid="{00000000-0005-0000-0000-000043010000}"/>
    <cellStyle name="Normal 16 2" xfId="46" xr:uid="{00000000-0005-0000-0000-000044010000}"/>
    <cellStyle name="Normal 16 2 2" xfId="85" xr:uid="{00000000-0005-0000-0000-000045010000}"/>
    <cellStyle name="Normal 16 2 2 2" xfId="398" xr:uid="{00000000-0005-0000-0000-000046010000}"/>
    <cellStyle name="Normal 16 2 2 2 2" xfId="399" xr:uid="{00000000-0005-0000-0000-000047010000}"/>
    <cellStyle name="Normal 16 2 2 2 2 2" xfId="400" xr:uid="{00000000-0005-0000-0000-000048010000}"/>
    <cellStyle name="Normal 16 2 2 2 3" xfId="401" xr:uid="{00000000-0005-0000-0000-000049010000}"/>
    <cellStyle name="Normal 16 2 2 3" xfId="402" xr:uid="{00000000-0005-0000-0000-00004A010000}"/>
    <cellStyle name="Normal 16 2 2 3 2" xfId="403" xr:uid="{00000000-0005-0000-0000-00004B010000}"/>
    <cellStyle name="Normal 16 2 2 4" xfId="404" xr:uid="{00000000-0005-0000-0000-00004C010000}"/>
    <cellStyle name="Normal 16 2 3" xfId="405" xr:uid="{00000000-0005-0000-0000-00004D010000}"/>
    <cellStyle name="Normal 16 2 3 2" xfId="406" xr:uid="{00000000-0005-0000-0000-00004E010000}"/>
    <cellStyle name="Normal 16 2 3 2 2" xfId="407" xr:uid="{00000000-0005-0000-0000-00004F010000}"/>
    <cellStyle name="Normal 16 2 3 3" xfId="408" xr:uid="{00000000-0005-0000-0000-000050010000}"/>
    <cellStyle name="Normal 16 2 4" xfId="409" xr:uid="{00000000-0005-0000-0000-000051010000}"/>
    <cellStyle name="Normal 16 2 4 2" xfId="410" xr:uid="{00000000-0005-0000-0000-000052010000}"/>
    <cellStyle name="Normal 16 2 5" xfId="411" xr:uid="{00000000-0005-0000-0000-000053010000}"/>
    <cellStyle name="Normal 16 3" xfId="67" xr:uid="{00000000-0005-0000-0000-000054010000}"/>
    <cellStyle name="Normal 16 3 2" xfId="412" xr:uid="{00000000-0005-0000-0000-000055010000}"/>
    <cellStyle name="Normal 16 3 2 2" xfId="413" xr:uid="{00000000-0005-0000-0000-000056010000}"/>
    <cellStyle name="Normal 16 3 2 2 2" xfId="414" xr:uid="{00000000-0005-0000-0000-000057010000}"/>
    <cellStyle name="Normal 16 3 2 3" xfId="415" xr:uid="{00000000-0005-0000-0000-000058010000}"/>
    <cellStyle name="Normal 16 3 3" xfId="416" xr:uid="{00000000-0005-0000-0000-000059010000}"/>
    <cellStyle name="Normal 16 3 3 2" xfId="417" xr:uid="{00000000-0005-0000-0000-00005A010000}"/>
    <cellStyle name="Normal 16 3 4" xfId="418" xr:uid="{00000000-0005-0000-0000-00005B010000}"/>
    <cellStyle name="Normal 16 4" xfId="142" xr:uid="{00000000-0005-0000-0000-00005C010000}"/>
    <cellStyle name="Normal 16 4 2" xfId="419" xr:uid="{00000000-0005-0000-0000-00005D010000}"/>
    <cellStyle name="Normal 16 4 2 2" xfId="420" xr:uid="{00000000-0005-0000-0000-00005E010000}"/>
    <cellStyle name="Normal 16 5" xfId="421" xr:uid="{00000000-0005-0000-0000-00005F010000}"/>
    <cellStyle name="Normal 16 5 2" xfId="422" xr:uid="{00000000-0005-0000-0000-000060010000}"/>
    <cellStyle name="Normal 16 6" xfId="423" xr:uid="{00000000-0005-0000-0000-000061010000}"/>
    <cellStyle name="Normal 17" xfId="20" xr:uid="{00000000-0005-0000-0000-000062010000}"/>
    <cellStyle name="Normal 17 2" xfId="45" xr:uid="{00000000-0005-0000-0000-000063010000}"/>
    <cellStyle name="Normal 17 2 2" xfId="84" xr:uid="{00000000-0005-0000-0000-000064010000}"/>
    <cellStyle name="Normal 17 2 2 2" xfId="424" xr:uid="{00000000-0005-0000-0000-000065010000}"/>
    <cellStyle name="Normal 17 2 2 2 2" xfId="425" xr:uid="{00000000-0005-0000-0000-000066010000}"/>
    <cellStyle name="Normal 17 2 2 2 2 2" xfId="426" xr:uid="{00000000-0005-0000-0000-000067010000}"/>
    <cellStyle name="Normal 17 2 2 2 3" xfId="427" xr:uid="{00000000-0005-0000-0000-000068010000}"/>
    <cellStyle name="Normal 17 2 2 3" xfId="428" xr:uid="{00000000-0005-0000-0000-000069010000}"/>
    <cellStyle name="Normal 17 2 2 3 2" xfId="429" xr:uid="{00000000-0005-0000-0000-00006A010000}"/>
    <cellStyle name="Normal 17 2 2 4" xfId="430" xr:uid="{00000000-0005-0000-0000-00006B010000}"/>
    <cellStyle name="Normal 17 2 3" xfId="431" xr:uid="{00000000-0005-0000-0000-00006C010000}"/>
    <cellStyle name="Normal 17 2 3 2" xfId="432" xr:uid="{00000000-0005-0000-0000-00006D010000}"/>
    <cellStyle name="Normal 17 2 3 2 2" xfId="433" xr:uid="{00000000-0005-0000-0000-00006E010000}"/>
    <cellStyle name="Normal 17 2 3 3" xfId="434" xr:uid="{00000000-0005-0000-0000-00006F010000}"/>
    <cellStyle name="Normal 17 2 4" xfId="435" xr:uid="{00000000-0005-0000-0000-000070010000}"/>
    <cellStyle name="Normal 17 2 4 2" xfId="436" xr:uid="{00000000-0005-0000-0000-000071010000}"/>
    <cellStyle name="Normal 17 2 5" xfId="437" xr:uid="{00000000-0005-0000-0000-000072010000}"/>
    <cellStyle name="Normal 17 3" xfId="66" xr:uid="{00000000-0005-0000-0000-000073010000}"/>
    <cellStyle name="Normal 17 3 2" xfId="438" xr:uid="{00000000-0005-0000-0000-000074010000}"/>
    <cellStyle name="Normal 17 3 2 2" xfId="439" xr:uid="{00000000-0005-0000-0000-000075010000}"/>
    <cellStyle name="Normal 17 3 2 2 2" xfId="440" xr:uid="{00000000-0005-0000-0000-000076010000}"/>
    <cellStyle name="Normal 17 3 2 3" xfId="441" xr:uid="{00000000-0005-0000-0000-000077010000}"/>
    <cellStyle name="Normal 17 3 3" xfId="442" xr:uid="{00000000-0005-0000-0000-000078010000}"/>
    <cellStyle name="Normal 17 3 3 2" xfId="443" xr:uid="{00000000-0005-0000-0000-000079010000}"/>
    <cellStyle name="Normal 17 3 4" xfId="444" xr:uid="{00000000-0005-0000-0000-00007A010000}"/>
    <cellStyle name="Normal 17 4" xfId="445" xr:uid="{00000000-0005-0000-0000-00007B010000}"/>
    <cellStyle name="Normal 17 4 2" xfId="446" xr:uid="{00000000-0005-0000-0000-00007C010000}"/>
    <cellStyle name="Normal 17 4 2 2" xfId="447" xr:uid="{00000000-0005-0000-0000-00007D010000}"/>
    <cellStyle name="Normal 17 4 3" xfId="448" xr:uid="{00000000-0005-0000-0000-00007E010000}"/>
    <cellStyle name="Normal 17 5" xfId="449" xr:uid="{00000000-0005-0000-0000-00007F010000}"/>
    <cellStyle name="Normal 17 5 2" xfId="450" xr:uid="{00000000-0005-0000-0000-000080010000}"/>
    <cellStyle name="Normal 17 6" xfId="451" xr:uid="{00000000-0005-0000-0000-000081010000}"/>
    <cellStyle name="Normal 18" xfId="51" xr:uid="{00000000-0005-0000-0000-000082010000}"/>
    <cellStyle name="Normal 18 2" xfId="452" xr:uid="{00000000-0005-0000-0000-000083010000}"/>
    <cellStyle name="Normal 18 2 4" xfId="453" xr:uid="{00000000-0005-0000-0000-000084010000}"/>
    <cellStyle name="Normal 18 2 4 2" xfId="454" xr:uid="{00000000-0005-0000-0000-000085010000}"/>
    <cellStyle name="Normal 18 2 4 2 2" xfId="455" xr:uid="{00000000-0005-0000-0000-000086010000}"/>
    <cellStyle name="Normal 18 2 4 2 2 2" xfId="456" xr:uid="{00000000-0005-0000-0000-000087010000}"/>
    <cellStyle name="Normal 18 2 4 2 3" xfId="457" xr:uid="{00000000-0005-0000-0000-000088010000}"/>
    <cellStyle name="Normal 18 2 4 3" xfId="458" xr:uid="{00000000-0005-0000-0000-000089010000}"/>
    <cellStyle name="Normal 18 2 4 3 2" xfId="459" xr:uid="{00000000-0005-0000-0000-00008A010000}"/>
    <cellStyle name="Normal 18 2 4 4" xfId="460" xr:uid="{00000000-0005-0000-0000-00008B010000}"/>
    <cellStyle name="Normal 19" xfId="50" xr:uid="{00000000-0005-0000-0000-00008C010000}"/>
    <cellStyle name="Normal 19 2" xfId="461" xr:uid="{00000000-0005-0000-0000-00008D010000}"/>
    <cellStyle name="Normal 19 2 2" xfId="462" xr:uid="{00000000-0005-0000-0000-00008E010000}"/>
    <cellStyle name="Normal 19 2 2 2" xfId="463" xr:uid="{00000000-0005-0000-0000-00008F010000}"/>
    <cellStyle name="Normal 19 2 3" xfId="464" xr:uid="{00000000-0005-0000-0000-000090010000}"/>
    <cellStyle name="Normal 19 3" xfId="465" xr:uid="{00000000-0005-0000-0000-000091010000}"/>
    <cellStyle name="Normal 19 3 2" xfId="466" xr:uid="{00000000-0005-0000-0000-000092010000}"/>
    <cellStyle name="Normal 2" xfId="1" xr:uid="{00000000-0005-0000-0000-000093010000}"/>
    <cellStyle name="Normal 2 10" xfId="25" xr:uid="{00000000-0005-0000-0000-000094010000}"/>
    <cellStyle name="Normal 2 15" xfId="143" xr:uid="{00000000-0005-0000-0000-000095010000}"/>
    <cellStyle name="Normal 2 15 2" xfId="144" xr:uid="{00000000-0005-0000-0000-000096010000}"/>
    <cellStyle name="Normal 2 15 2 2" xfId="145" xr:uid="{00000000-0005-0000-0000-000097010000}"/>
    <cellStyle name="Normal 2 15 2 2 2" xfId="467" xr:uid="{00000000-0005-0000-0000-000098010000}"/>
    <cellStyle name="Normal 2 15 2 2 2 2" xfId="468" xr:uid="{00000000-0005-0000-0000-000099010000}"/>
    <cellStyle name="Normal 2 15 2 2 3" xfId="469" xr:uid="{00000000-0005-0000-0000-00009A010000}"/>
    <cellStyle name="Normal 2 15 2 2 3 2" xfId="470" xr:uid="{00000000-0005-0000-0000-00009B010000}"/>
    <cellStyle name="Normal 2 15 2 2 4" xfId="471" xr:uid="{00000000-0005-0000-0000-00009C010000}"/>
    <cellStyle name="Normal 2 15 2 2 5" xfId="472" xr:uid="{00000000-0005-0000-0000-00009D010000}"/>
    <cellStyle name="Normal 2 15 2 3" xfId="473" xr:uid="{00000000-0005-0000-0000-00009E010000}"/>
    <cellStyle name="Normal 2 15 2 3 2" xfId="474" xr:uid="{00000000-0005-0000-0000-00009F010000}"/>
    <cellStyle name="Normal 2 15 2 3 3" xfId="152" xr:uid="{00000000-0005-0000-0000-0000A0010000}"/>
    <cellStyle name="Normal 2 15 2 4" xfId="475" xr:uid="{00000000-0005-0000-0000-0000A1010000}"/>
    <cellStyle name="Normal 2 15 2 4 2" xfId="476" xr:uid="{00000000-0005-0000-0000-0000A2010000}"/>
    <cellStyle name="Normal 2 15 2 5" xfId="477" xr:uid="{00000000-0005-0000-0000-0000A3010000}"/>
    <cellStyle name="Normal 2 2" xfId="13" xr:uid="{00000000-0005-0000-0000-0000A4010000}"/>
    <cellStyle name="Normal 2 2 2" xfId="15" xr:uid="{00000000-0005-0000-0000-0000A5010000}"/>
    <cellStyle name="Normal 2 2 2 2" xfId="42" xr:uid="{00000000-0005-0000-0000-0000A6010000}"/>
    <cellStyle name="Normal 2 2 2 2 2" xfId="81" xr:uid="{00000000-0005-0000-0000-0000A7010000}"/>
    <cellStyle name="Normal 2 2 2 2 2 2" xfId="478" xr:uid="{00000000-0005-0000-0000-0000A8010000}"/>
    <cellStyle name="Normal 2 2 2 2 2 2 2" xfId="479" xr:uid="{00000000-0005-0000-0000-0000A9010000}"/>
    <cellStyle name="Normal 2 2 2 2 2 2 2 2" xfId="480" xr:uid="{00000000-0005-0000-0000-0000AA010000}"/>
    <cellStyle name="Normal 2 2 2 2 2 2 3" xfId="481" xr:uid="{00000000-0005-0000-0000-0000AB010000}"/>
    <cellStyle name="Normal 2 2 2 2 2 3" xfId="482" xr:uid="{00000000-0005-0000-0000-0000AC010000}"/>
    <cellStyle name="Normal 2 2 2 2 2 3 2" xfId="483" xr:uid="{00000000-0005-0000-0000-0000AD010000}"/>
    <cellStyle name="Normal 2 2 2 2 2 4" xfId="484" xr:uid="{00000000-0005-0000-0000-0000AE010000}"/>
    <cellStyle name="Normal 2 2 2 2 2 5" xfId="485" xr:uid="{00000000-0005-0000-0000-0000AF010000}"/>
    <cellStyle name="Normal 2 2 2 2 3" xfId="141" xr:uid="{00000000-0005-0000-0000-0000B0010000}"/>
    <cellStyle name="Normal 2 2 2 2 3 2" xfId="486" xr:uid="{00000000-0005-0000-0000-0000B1010000}"/>
    <cellStyle name="Normal 2 2 2 2 3 2 2" xfId="487" xr:uid="{00000000-0005-0000-0000-0000B2010000}"/>
    <cellStyle name="Normal 2 2 2 2 3 2 3" xfId="149" xr:uid="{00000000-0005-0000-0000-0000B3010000}"/>
    <cellStyle name="Normal 2 2 2 2 3 3" xfId="488" xr:uid="{00000000-0005-0000-0000-0000B4010000}"/>
    <cellStyle name="Normal 2 2 2 2 3 4" xfId="489" xr:uid="{00000000-0005-0000-0000-0000B5010000}"/>
    <cellStyle name="Normal 2 2 2 2 4" xfId="490" xr:uid="{00000000-0005-0000-0000-0000B6010000}"/>
    <cellStyle name="Normal 2 2 2 2 4 2" xfId="491" xr:uid="{00000000-0005-0000-0000-0000B7010000}"/>
    <cellStyle name="Normal 2 2 2 2 4 3" xfId="151" xr:uid="{00000000-0005-0000-0000-0000B8010000}"/>
    <cellStyle name="Normal 2 2 2 2 5" xfId="492" xr:uid="{00000000-0005-0000-0000-0000B9010000}"/>
    <cellStyle name="Normal 2 2 2 2 6" xfId="493" xr:uid="{00000000-0005-0000-0000-0000BA010000}"/>
    <cellStyle name="Normal 2 2 2 3" xfId="63" xr:uid="{00000000-0005-0000-0000-0000BB010000}"/>
    <cellStyle name="Normal 2 2 2 3 2" xfId="494" xr:uid="{00000000-0005-0000-0000-0000BC010000}"/>
    <cellStyle name="Normal 2 2 2 3 2 2" xfId="495" xr:uid="{00000000-0005-0000-0000-0000BD010000}"/>
    <cellStyle name="Normal 2 2 2 3 2 2 2" xfId="496" xr:uid="{00000000-0005-0000-0000-0000BE010000}"/>
    <cellStyle name="Normal 2 2 2 3 2 3" xfId="497" xr:uid="{00000000-0005-0000-0000-0000BF010000}"/>
    <cellStyle name="Normal 2 2 2 3 3" xfId="498" xr:uid="{00000000-0005-0000-0000-0000C0010000}"/>
    <cellStyle name="Normal 2 2 2 3 3 2" xfId="499" xr:uid="{00000000-0005-0000-0000-0000C1010000}"/>
    <cellStyle name="Normal 2 2 2 3 4" xfId="500" xr:uid="{00000000-0005-0000-0000-0000C2010000}"/>
    <cellStyle name="Normal 2 2 2 4" xfId="139" xr:uid="{00000000-0005-0000-0000-0000C3010000}"/>
    <cellStyle name="Normal 2 2 2 4 2" xfId="501" xr:uid="{00000000-0005-0000-0000-0000C4010000}"/>
    <cellStyle name="Normal 2 2 2 4 2 2" xfId="502" xr:uid="{00000000-0005-0000-0000-0000C5010000}"/>
    <cellStyle name="Normal 2 2 2 4 3" xfId="503" xr:uid="{00000000-0005-0000-0000-0000C6010000}"/>
    <cellStyle name="Normal 2 2 2 4 3 2" xfId="504" xr:uid="{00000000-0005-0000-0000-0000C7010000}"/>
    <cellStyle name="Normal 2 2 2 4 4" xfId="505" xr:uid="{00000000-0005-0000-0000-0000C8010000}"/>
    <cellStyle name="Normal 2 2 2 4 4 2" xfId="506" xr:uid="{00000000-0005-0000-0000-0000C9010000}"/>
    <cellStyle name="Normal 2 2 2 4 4 3" xfId="148" xr:uid="{00000000-0005-0000-0000-0000CA010000}"/>
    <cellStyle name="Normal 2 2 2 4 5" xfId="507" xr:uid="{00000000-0005-0000-0000-0000CB010000}"/>
    <cellStyle name="Normal 2 2 2 4 6" xfId="150" xr:uid="{00000000-0005-0000-0000-0000CC010000}"/>
    <cellStyle name="Normal 2 2 2 4 7" xfId="508" xr:uid="{00000000-0005-0000-0000-0000CD010000}"/>
    <cellStyle name="Normal 2 2 2 5" xfId="147" xr:uid="{00000000-0005-0000-0000-0000CE010000}"/>
    <cellStyle name="Normal 2 2 2 5 2" xfId="509" xr:uid="{00000000-0005-0000-0000-0000CF010000}"/>
    <cellStyle name="Normal 2 2 2 6" xfId="510" xr:uid="{00000000-0005-0000-0000-0000D0010000}"/>
    <cellStyle name="Normal 2 2 2 6 2" xfId="511" xr:uid="{00000000-0005-0000-0000-0000D1010000}"/>
    <cellStyle name="Normal 2 2 2 7" xfId="512" xr:uid="{00000000-0005-0000-0000-0000D2010000}"/>
    <cellStyle name="Normal 2 3" xfId="24" xr:uid="{00000000-0005-0000-0000-0000D3010000}"/>
    <cellStyle name="Normal 2 3 2" xfId="513" xr:uid="{00000000-0005-0000-0000-0000D4010000}"/>
    <cellStyle name="Normal 2 3 3" xfId="514" xr:uid="{00000000-0005-0000-0000-0000D5010000}"/>
    <cellStyle name="Normal 2 4" xfId="23" xr:uid="{00000000-0005-0000-0000-0000D6010000}"/>
    <cellStyle name="Normal 2 4 2" xfId="515" xr:uid="{00000000-0005-0000-0000-0000D7010000}"/>
    <cellStyle name="Normal 2 5" xfId="516" xr:uid="{00000000-0005-0000-0000-0000D8010000}"/>
    <cellStyle name="Normal 2 6" xfId="517" xr:uid="{00000000-0005-0000-0000-0000D9010000}"/>
    <cellStyle name="Normal 2 7" xfId="518" xr:uid="{00000000-0005-0000-0000-0000DA010000}"/>
    <cellStyle name="Normal 20" xfId="27" xr:uid="{00000000-0005-0000-0000-0000DB010000}"/>
    <cellStyle name="Normal 21" xfId="519" xr:uid="{00000000-0005-0000-0000-0000DC010000}"/>
    <cellStyle name="Normal 21 2" xfId="520" xr:uid="{00000000-0005-0000-0000-0000DD010000}"/>
    <cellStyle name="Normal 3" xfId="16" xr:uid="{00000000-0005-0000-0000-0000DE010000}"/>
    <cellStyle name="Normal 3 11" xfId="738" xr:uid="{00000000-0005-0000-0000-0000DF010000}"/>
    <cellStyle name="Normal 3 2" xfId="18" xr:uid="{00000000-0005-0000-0000-0000E0010000}"/>
    <cellStyle name="Normal 3 2 2" xfId="133" xr:uid="{00000000-0005-0000-0000-0000E1010000}"/>
    <cellStyle name="Normal 3 2 2 2" xfId="521" xr:uid="{00000000-0005-0000-0000-0000E2010000}"/>
    <cellStyle name="Normal 3 2 3" xfId="140" xr:uid="{00000000-0005-0000-0000-0000E3010000}"/>
    <cellStyle name="Normal 3 3" xfId="31" xr:uid="{00000000-0005-0000-0000-0000E4010000}"/>
    <cellStyle name="Normal 3 3 2" xfId="49" xr:uid="{00000000-0005-0000-0000-0000E5010000}"/>
    <cellStyle name="Normal 3 3 2 2" xfId="88" xr:uid="{00000000-0005-0000-0000-0000E6010000}"/>
    <cellStyle name="Normal 3 3 2 2 2" xfId="522" xr:uid="{00000000-0005-0000-0000-0000E7010000}"/>
    <cellStyle name="Normal 3 3 2 2 2 2" xfId="523" xr:uid="{00000000-0005-0000-0000-0000E8010000}"/>
    <cellStyle name="Normal 3 3 2 2 2 2 2" xfId="524" xr:uid="{00000000-0005-0000-0000-0000E9010000}"/>
    <cellStyle name="Normal 3 3 2 2 2 3" xfId="525" xr:uid="{00000000-0005-0000-0000-0000EA010000}"/>
    <cellStyle name="Normal 3 3 2 2 3" xfId="526" xr:uid="{00000000-0005-0000-0000-0000EB010000}"/>
    <cellStyle name="Normal 3 3 2 2 3 2" xfId="527" xr:uid="{00000000-0005-0000-0000-0000EC010000}"/>
    <cellStyle name="Normal 3 3 2 2 4" xfId="528" xr:uid="{00000000-0005-0000-0000-0000ED010000}"/>
    <cellStyle name="Normal 3 3 2 3" xfId="529" xr:uid="{00000000-0005-0000-0000-0000EE010000}"/>
    <cellStyle name="Normal 3 3 2 3 2" xfId="530" xr:uid="{00000000-0005-0000-0000-0000EF010000}"/>
    <cellStyle name="Normal 3 3 2 3 2 2" xfId="531" xr:uid="{00000000-0005-0000-0000-0000F0010000}"/>
    <cellStyle name="Normal 3 3 2 3 3" xfId="532" xr:uid="{00000000-0005-0000-0000-0000F1010000}"/>
    <cellStyle name="Normal 3 3 2 4" xfId="533" xr:uid="{00000000-0005-0000-0000-0000F2010000}"/>
    <cellStyle name="Normal 3 3 2 4 2" xfId="534" xr:uid="{00000000-0005-0000-0000-0000F3010000}"/>
    <cellStyle name="Normal 3 3 2 5" xfId="535" xr:uid="{00000000-0005-0000-0000-0000F4010000}"/>
    <cellStyle name="Normal 3 3 3" xfId="70" xr:uid="{00000000-0005-0000-0000-0000F5010000}"/>
    <cellStyle name="Normal 3 3 3 2" xfId="536" xr:uid="{00000000-0005-0000-0000-0000F6010000}"/>
    <cellStyle name="Normal 3 3 3 2 2" xfId="537" xr:uid="{00000000-0005-0000-0000-0000F7010000}"/>
    <cellStyle name="Normal 3 3 3 2 2 2" xfId="538" xr:uid="{00000000-0005-0000-0000-0000F8010000}"/>
    <cellStyle name="Normal 3 3 3 2 3" xfId="539" xr:uid="{00000000-0005-0000-0000-0000F9010000}"/>
    <cellStyle name="Normal 3 3 3 3" xfId="540" xr:uid="{00000000-0005-0000-0000-0000FA010000}"/>
    <cellStyle name="Normal 3 3 3 3 2" xfId="541" xr:uid="{00000000-0005-0000-0000-0000FB010000}"/>
    <cellStyle name="Normal 3 3 3 4" xfId="542" xr:uid="{00000000-0005-0000-0000-0000FC010000}"/>
    <cellStyle name="Normal 3 3 4" xfId="543" xr:uid="{00000000-0005-0000-0000-0000FD010000}"/>
    <cellStyle name="Normal 3 3 4 2" xfId="544" xr:uid="{00000000-0005-0000-0000-0000FE010000}"/>
    <cellStyle name="Normal 3 3 4 2 2" xfId="545" xr:uid="{00000000-0005-0000-0000-0000FF010000}"/>
    <cellStyle name="Normal 3 3 4 3" xfId="546" xr:uid="{00000000-0005-0000-0000-000000020000}"/>
    <cellStyle name="Normal 3 3 5" xfId="547" xr:uid="{00000000-0005-0000-0000-000001020000}"/>
    <cellStyle name="Normal 3 3 6" xfId="548" xr:uid="{00000000-0005-0000-0000-000002020000}"/>
    <cellStyle name="Normal 3 3 6 2" xfId="549" xr:uid="{00000000-0005-0000-0000-000003020000}"/>
    <cellStyle name="Normal 3 3 7" xfId="550" xr:uid="{00000000-0005-0000-0000-000004020000}"/>
    <cellStyle name="Normal 3 4" xfId="551" xr:uid="{00000000-0005-0000-0000-000005020000}"/>
    <cellStyle name="Normal 3 5" xfId="552" xr:uid="{00000000-0005-0000-0000-000006020000}"/>
    <cellStyle name="Normal 3 6" xfId="553" xr:uid="{00000000-0005-0000-0000-000007020000}"/>
    <cellStyle name="Normal 4" xfId="17" xr:uid="{00000000-0005-0000-0000-000008020000}"/>
    <cellStyle name="Normal 4 2" xfId="43" xr:uid="{00000000-0005-0000-0000-000009020000}"/>
    <cellStyle name="Normal 4 2 2" xfId="82" xr:uid="{00000000-0005-0000-0000-00000A020000}"/>
    <cellStyle name="Normal 4 2 2 2" xfId="554" xr:uid="{00000000-0005-0000-0000-00000B020000}"/>
    <cellStyle name="Normal 4 2 2 2 2" xfId="555" xr:uid="{00000000-0005-0000-0000-00000C020000}"/>
    <cellStyle name="Normal 4 2 2 2 2 2" xfId="556" xr:uid="{00000000-0005-0000-0000-00000D020000}"/>
    <cellStyle name="Normal 4 2 2 2 3" xfId="557" xr:uid="{00000000-0005-0000-0000-00000E020000}"/>
    <cellStyle name="Normal 4 2 2 3" xfId="558" xr:uid="{00000000-0005-0000-0000-00000F020000}"/>
    <cellStyle name="Normal 4 2 2 3 2" xfId="559" xr:uid="{00000000-0005-0000-0000-000010020000}"/>
    <cellStyle name="Normal 4 2 2 4" xfId="560" xr:uid="{00000000-0005-0000-0000-000011020000}"/>
    <cellStyle name="Normal 4 2 3" xfId="561" xr:uid="{00000000-0005-0000-0000-000012020000}"/>
    <cellStyle name="Normal 4 2 3 2" xfId="562" xr:uid="{00000000-0005-0000-0000-000013020000}"/>
    <cellStyle name="Normal 4 2 3 2 2" xfId="563" xr:uid="{00000000-0005-0000-0000-000014020000}"/>
    <cellStyle name="Normal 4 2 3 3" xfId="564" xr:uid="{00000000-0005-0000-0000-000015020000}"/>
    <cellStyle name="Normal 4 2 4" xfId="565" xr:uid="{00000000-0005-0000-0000-000016020000}"/>
    <cellStyle name="Normal 4 2 4 2" xfId="566" xr:uid="{00000000-0005-0000-0000-000017020000}"/>
    <cellStyle name="Normal 4 2 5" xfId="567" xr:uid="{00000000-0005-0000-0000-000018020000}"/>
    <cellStyle name="Normal 4 3" xfId="64" xr:uid="{00000000-0005-0000-0000-000019020000}"/>
    <cellStyle name="Normal 4 3 2" xfId="568" xr:uid="{00000000-0005-0000-0000-00001A020000}"/>
    <cellStyle name="Normal 4 3 2 2" xfId="569" xr:uid="{00000000-0005-0000-0000-00001B020000}"/>
    <cellStyle name="Normal 4 3 2 2 2" xfId="570" xr:uid="{00000000-0005-0000-0000-00001C020000}"/>
    <cellStyle name="Normal 4 3 2 3" xfId="571" xr:uid="{00000000-0005-0000-0000-00001D020000}"/>
    <cellStyle name="Normal 4 3 3" xfId="572" xr:uid="{00000000-0005-0000-0000-00001E020000}"/>
    <cellStyle name="Normal 4 3 3 2" xfId="573" xr:uid="{00000000-0005-0000-0000-00001F020000}"/>
    <cellStyle name="Normal 4 3 4" xfId="574" xr:uid="{00000000-0005-0000-0000-000020020000}"/>
    <cellStyle name="Normal 4 4" xfId="575" xr:uid="{00000000-0005-0000-0000-000021020000}"/>
    <cellStyle name="Normal 4 4 2" xfId="576" xr:uid="{00000000-0005-0000-0000-000022020000}"/>
    <cellStyle name="Normal 4 4 2 2" xfId="577" xr:uid="{00000000-0005-0000-0000-000023020000}"/>
    <cellStyle name="Normal 4 4 3" xfId="578" xr:uid="{00000000-0005-0000-0000-000024020000}"/>
    <cellStyle name="Normal 4 5" xfId="579" xr:uid="{00000000-0005-0000-0000-000025020000}"/>
    <cellStyle name="Normal 4 5 2" xfId="580" xr:uid="{00000000-0005-0000-0000-000026020000}"/>
    <cellStyle name="Normal 4 5 2 2" xfId="581" xr:uid="{00000000-0005-0000-0000-000027020000}"/>
    <cellStyle name="Normal 4 5 3" xfId="582" xr:uid="{00000000-0005-0000-0000-000028020000}"/>
    <cellStyle name="Normal 4 6" xfId="583" xr:uid="{00000000-0005-0000-0000-000029020000}"/>
    <cellStyle name="Normal 4 7" xfId="584" xr:uid="{00000000-0005-0000-0000-00002A020000}"/>
    <cellStyle name="Normal 5" xfId="3" xr:uid="{00000000-0005-0000-0000-00002B020000}"/>
    <cellStyle name="Normal 5 2" xfId="32" xr:uid="{00000000-0005-0000-0000-00002C020000}"/>
    <cellStyle name="Normal 5 2 2" xfId="71" xr:uid="{00000000-0005-0000-0000-00002D020000}"/>
    <cellStyle name="Normal 5 2 2 2" xfId="585" xr:uid="{00000000-0005-0000-0000-00002E020000}"/>
    <cellStyle name="Normal 5 2 2 2 2" xfId="586" xr:uid="{00000000-0005-0000-0000-00002F020000}"/>
    <cellStyle name="Normal 5 2 2 2 2 2" xfId="587" xr:uid="{00000000-0005-0000-0000-000030020000}"/>
    <cellStyle name="Normal 5 2 2 2 3" xfId="588" xr:uid="{00000000-0005-0000-0000-000031020000}"/>
    <cellStyle name="Normal 5 2 2 3" xfId="589" xr:uid="{00000000-0005-0000-0000-000032020000}"/>
    <cellStyle name="Normal 5 2 2 3 2" xfId="590" xr:uid="{00000000-0005-0000-0000-000033020000}"/>
    <cellStyle name="Normal 5 2 2 4" xfId="591" xr:uid="{00000000-0005-0000-0000-000034020000}"/>
    <cellStyle name="Normal 5 2 3" xfId="592" xr:uid="{00000000-0005-0000-0000-000035020000}"/>
    <cellStyle name="Normal 5 2 3 2" xfId="593" xr:uid="{00000000-0005-0000-0000-000036020000}"/>
    <cellStyle name="Normal 5 2 3 2 2" xfId="594" xr:uid="{00000000-0005-0000-0000-000037020000}"/>
    <cellStyle name="Normal 5 2 3 3" xfId="595" xr:uid="{00000000-0005-0000-0000-000038020000}"/>
    <cellStyle name="Normal 5 2 4" xfId="596" xr:uid="{00000000-0005-0000-0000-000039020000}"/>
    <cellStyle name="Normal 5 2 4 2" xfId="597" xr:uid="{00000000-0005-0000-0000-00003A020000}"/>
    <cellStyle name="Normal 5 3" xfId="53" xr:uid="{00000000-0005-0000-0000-00003B020000}"/>
    <cellStyle name="Normal 5 3 2" xfId="598" xr:uid="{00000000-0005-0000-0000-00003C020000}"/>
    <cellStyle name="Normal 5 3 2 2" xfId="599" xr:uid="{00000000-0005-0000-0000-00003D020000}"/>
    <cellStyle name="Normal 5 3 2 2 2" xfId="600" xr:uid="{00000000-0005-0000-0000-00003E020000}"/>
    <cellStyle name="Normal 5 3 2 3" xfId="601" xr:uid="{00000000-0005-0000-0000-00003F020000}"/>
    <cellStyle name="Normal 5 3 3" xfId="602" xr:uid="{00000000-0005-0000-0000-000040020000}"/>
    <cellStyle name="Normal 5 3 3 2" xfId="603" xr:uid="{00000000-0005-0000-0000-000041020000}"/>
    <cellStyle name="Normal 5 3 4" xfId="604" xr:uid="{00000000-0005-0000-0000-000042020000}"/>
    <cellStyle name="Normal 5 4" xfId="605" xr:uid="{00000000-0005-0000-0000-000043020000}"/>
    <cellStyle name="Normal 5 4 2" xfId="606" xr:uid="{00000000-0005-0000-0000-000044020000}"/>
    <cellStyle name="Normal 5 4 2 2" xfId="607" xr:uid="{00000000-0005-0000-0000-000045020000}"/>
    <cellStyle name="Normal 5 4 3" xfId="608" xr:uid="{00000000-0005-0000-0000-000046020000}"/>
    <cellStyle name="Normal 5 5" xfId="609" xr:uid="{00000000-0005-0000-0000-000047020000}"/>
    <cellStyle name="Normal 5 5 2" xfId="610" xr:uid="{00000000-0005-0000-0000-000048020000}"/>
    <cellStyle name="Normal 5 5 2 2" xfId="611" xr:uid="{00000000-0005-0000-0000-000049020000}"/>
    <cellStyle name="Normal 5 5 3" xfId="612" xr:uid="{00000000-0005-0000-0000-00004A020000}"/>
    <cellStyle name="Normal 5 6" xfId="613" xr:uid="{00000000-0005-0000-0000-00004B020000}"/>
    <cellStyle name="Normal 5 6 2" xfId="614" xr:uid="{00000000-0005-0000-0000-00004C020000}"/>
    <cellStyle name="Normal 5 6 2 2" xfId="615" xr:uid="{00000000-0005-0000-0000-00004D020000}"/>
    <cellStyle name="Normal 5 6 3" xfId="616" xr:uid="{00000000-0005-0000-0000-00004E020000}"/>
    <cellStyle name="Normal 5 7" xfId="617" xr:uid="{00000000-0005-0000-0000-00004F020000}"/>
    <cellStyle name="Normal 5 8" xfId="618" xr:uid="{00000000-0005-0000-0000-000050020000}"/>
    <cellStyle name="Normal 6" xfId="5" xr:uid="{00000000-0005-0000-0000-000051020000}"/>
    <cellStyle name="Normal 6 2" xfId="34" xr:uid="{00000000-0005-0000-0000-000052020000}"/>
    <cellStyle name="Normal 6 2 2" xfId="73" xr:uid="{00000000-0005-0000-0000-000053020000}"/>
    <cellStyle name="Normal 6 2 2 2" xfId="619" xr:uid="{00000000-0005-0000-0000-000054020000}"/>
    <cellStyle name="Normal 6 2 2 2 2" xfId="620" xr:uid="{00000000-0005-0000-0000-000055020000}"/>
    <cellStyle name="Normal 6 2 2 2 2 2" xfId="621" xr:uid="{00000000-0005-0000-0000-000056020000}"/>
    <cellStyle name="Normal 6 2 2 2 3" xfId="622" xr:uid="{00000000-0005-0000-0000-000057020000}"/>
    <cellStyle name="Normal 6 2 2 3" xfId="623" xr:uid="{00000000-0005-0000-0000-000058020000}"/>
    <cellStyle name="Normal 6 2 2 3 2" xfId="624" xr:uid="{00000000-0005-0000-0000-000059020000}"/>
    <cellStyle name="Normal 6 2 2 4" xfId="625" xr:uid="{00000000-0005-0000-0000-00005A020000}"/>
    <cellStyle name="Normal 6 2 3" xfId="626" xr:uid="{00000000-0005-0000-0000-00005B020000}"/>
    <cellStyle name="Normal 6 2 3 2" xfId="627" xr:uid="{00000000-0005-0000-0000-00005C020000}"/>
    <cellStyle name="Normal 6 2 3 2 2" xfId="628" xr:uid="{00000000-0005-0000-0000-00005D020000}"/>
    <cellStyle name="Normal 6 2 3 3" xfId="629" xr:uid="{00000000-0005-0000-0000-00005E020000}"/>
    <cellStyle name="Normal 6 2 4" xfId="630" xr:uid="{00000000-0005-0000-0000-00005F020000}"/>
    <cellStyle name="Normal 6 2 4 2" xfId="631" xr:uid="{00000000-0005-0000-0000-000060020000}"/>
    <cellStyle name="Normal 6 3" xfId="55" xr:uid="{00000000-0005-0000-0000-000061020000}"/>
    <cellStyle name="Normal 6 3 2" xfId="632" xr:uid="{00000000-0005-0000-0000-000062020000}"/>
    <cellStyle name="Normal 6 3 2 2" xfId="633" xr:uid="{00000000-0005-0000-0000-000063020000}"/>
    <cellStyle name="Normal 6 3 2 2 2" xfId="634" xr:uid="{00000000-0005-0000-0000-000064020000}"/>
    <cellStyle name="Normal 6 3 2 3" xfId="635" xr:uid="{00000000-0005-0000-0000-000065020000}"/>
    <cellStyle name="Normal 6 3 3" xfId="636" xr:uid="{00000000-0005-0000-0000-000066020000}"/>
    <cellStyle name="Normal 6 3 3 2" xfId="637" xr:uid="{00000000-0005-0000-0000-000067020000}"/>
    <cellStyle name="Normal 6 3 4" xfId="638" xr:uid="{00000000-0005-0000-0000-000068020000}"/>
    <cellStyle name="Normal 6 4" xfId="146" xr:uid="{00000000-0005-0000-0000-000069020000}"/>
    <cellStyle name="Normal 6 5" xfId="639" xr:uid="{00000000-0005-0000-0000-00006A020000}"/>
    <cellStyle name="Normal 6 5 2" xfId="640" xr:uid="{00000000-0005-0000-0000-00006B020000}"/>
    <cellStyle name="Normal 6 5 2 2" xfId="641" xr:uid="{00000000-0005-0000-0000-00006C020000}"/>
    <cellStyle name="Normal 6 5 3" xfId="642" xr:uid="{00000000-0005-0000-0000-00006D020000}"/>
    <cellStyle name="Normal 6 6" xfId="643" xr:uid="{00000000-0005-0000-0000-00006E020000}"/>
    <cellStyle name="Normal 6 6 2" xfId="644" xr:uid="{00000000-0005-0000-0000-00006F020000}"/>
    <cellStyle name="Normal 6 6 2 2" xfId="645" xr:uid="{00000000-0005-0000-0000-000070020000}"/>
    <cellStyle name="Normal 6 6 3" xfId="646" xr:uid="{00000000-0005-0000-0000-000071020000}"/>
    <cellStyle name="Normal 6 7" xfId="647" xr:uid="{00000000-0005-0000-0000-000072020000}"/>
    <cellStyle name="Normal 7" xfId="6" xr:uid="{00000000-0005-0000-0000-000073020000}"/>
    <cellStyle name="Normal 7 2" xfId="35" xr:uid="{00000000-0005-0000-0000-000074020000}"/>
    <cellStyle name="Normal 7 2 2" xfId="74" xr:uid="{00000000-0005-0000-0000-000075020000}"/>
    <cellStyle name="Normal 7 2 2 2" xfId="648" xr:uid="{00000000-0005-0000-0000-000076020000}"/>
    <cellStyle name="Normal 7 2 2 2 2" xfId="649" xr:uid="{00000000-0005-0000-0000-000077020000}"/>
    <cellStyle name="Normal 7 2 2 2 2 2" xfId="650" xr:uid="{00000000-0005-0000-0000-000078020000}"/>
    <cellStyle name="Normal 7 2 2 2 3" xfId="651" xr:uid="{00000000-0005-0000-0000-000079020000}"/>
    <cellStyle name="Normal 7 2 2 3" xfId="652" xr:uid="{00000000-0005-0000-0000-00007A020000}"/>
    <cellStyle name="Normal 7 2 2 3 2" xfId="653" xr:uid="{00000000-0005-0000-0000-00007B020000}"/>
    <cellStyle name="Normal 7 2 2 4" xfId="654" xr:uid="{00000000-0005-0000-0000-00007C020000}"/>
    <cellStyle name="Normal 7 2 3" xfId="655" xr:uid="{00000000-0005-0000-0000-00007D020000}"/>
    <cellStyle name="Normal 7 2 3 2" xfId="656" xr:uid="{00000000-0005-0000-0000-00007E020000}"/>
    <cellStyle name="Normal 7 2 3 2 2" xfId="657" xr:uid="{00000000-0005-0000-0000-00007F020000}"/>
    <cellStyle name="Normal 7 2 3 3" xfId="658" xr:uid="{00000000-0005-0000-0000-000080020000}"/>
    <cellStyle name="Normal 7 2 4" xfId="659" xr:uid="{00000000-0005-0000-0000-000081020000}"/>
    <cellStyle name="Normal 7 2 4 2" xfId="660" xr:uid="{00000000-0005-0000-0000-000082020000}"/>
    <cellStyle name="Normal 7 2 5" xfId="661" xr:uid="{00000000-0005-0000-0000-000083020000}"/>
    <cellStyle name="Normal 7 3" xfId="56" xr:uid="{00000000-0005-0000-0000-000084020000}"/>
    <cellStyle name="Normal 7 3 2" xfId="662" xr:uid="{00000000-0005-0000-0000-000085020000}"/>
    <cellStyle name="Normal 7 3 2 2" xfId="663" xr:uid="{00000000-0005-0000-0000-000086020000}"/>
    <cellStyle name="Normal 7 3 2 2 2" xfId="664" xr:uid="{00000000-0005-0000-0000-000087020000}"/>
    <cellStyle name="Normal 7 3 2 3" xfId="665" xr:uid="{00000000-0005-0000-0000-000088020000}"/>
    <cellStyle name="Normal 7 3 3" xfId="666" xr:uid="{00000000-0005-0000-0000-000089020000}"/>
    <cellStyle name="Normal 7 3 3 2" xfId="667" xr:uid="{00000000-0005-0000-0000-00008A020000}"/>
    <cellStyle name="Normal 7 3 4" xfId="668" xr:uid="{00000000-0005-0000-0000-00008B020000}"/>
    <cellStyle name="Normal 7 4" xfId="669" xr:uid="{00000000-0005-0000-0000-00008C020000}"/>
    <cellStyle name="Normal 7 4 2" xfId="670" xr:uid="{00000000-0005-0000-0000-00008D020000}"/>
    <cellStyle name="Normal 7 4 2 2" xfId="671" xr:uid="{00000000-0005-0000-0000-00008E020000}"/>
    <cellStyle name="Normal 7 4 3" xfId="672" xr:uid="{00000000-0005-0000-0000-00008F020000}"/>
    <cellStyle name="Normal 7 5" xfId="673" xr:uid="{00000000-0005-0000-0000-000090020000}"/>
    <cellStyle name="Normal 7 5 2" xfId="674" xr:uid="{00000000-0005-0000-0000-000091020000}"/>
    <cellStyle name="Normal 7 5 2 2" xfId="675" xr:uid="{00000000-0005-0000-0000-000092020000}"/>
    <cellStyle name="Normal 7 5 3" xfId="676" xr:uid="{00000000-0005-0000-0000-000093020000}"/>
    <cellStyle name="Normal 7 6" xfId="677" xr:uid="{00000000-0005-0000-0000-000094020000}"/>
    <cellStyle name="Normal 7 7" xfId="678" xr:uid="{00000000-0005-0000-0000-000095020000}"/>
    <cellStyle name="Normal 8" xfId="4" xr:uid="{00000000-0005-0000-0000-000096020000}"/>
    <cellStyle name="Normal 8 2" xfId="33" xr:uid="{00000000-0005-0000-0000-000097020000}"/>
    <cellStyle name="Normal 8 2 2" xfId="72" xr:uid="{00000000-0005-0000-0000-000098020000}"/>
    <cellStyle name="Normal 8 2 2 2" xfId="679" xr:uid="{00000000-0005-0000-0000-000099020000}"/>
    <cellStyle name="Normal 8 2 2 2 2" xfId="680" xr:uid="{00000000-0005-0000-0000-00009A020000}"/>
    <cellStyle name="Normal 8 2 2 2 2 2" xfId="681" xr:uid="{00000000-0005-0000-0000-00009B020000}"/>
    <cellStyle name="Normal 8 2 2 2 3" xfId="682" xr:uid="{00000000-0005-0000-0000-00009C020000}"/>
    <cellStyle name="Normal 8 2 2 3" xfId="683" xr:uid="{00000000-0005-0000-0000-00009D020000}"/>
    <cellStyle name="Normal 8 2 2 3 2" xfId="684" xr:uid="{00000000-0005-0000-0000-00009E020000}"/>
    <cellStyle name="Normal 8 2 2 4" xfId="685" xr:uid="{00000000-0005-0000-0000-00009F020000}"/>
    <cellStyle name="Normal 8 2 3" xfId="686" xr:uid="{00000000-0005-0000-0000-0000A0020000}"/>
    <cellStyle name="Normal 8 2 3 2" xfId="687" xr:uid="{00000000-0005-0000-0000-0000A1020000}"/>
    <cellStyle name="Normal 8 2 3 2 2" xfId="688" xr:uid="{00000000-0005-0000-0000-0000A2020000}"/>
    <cellStyle name="Normal 8 2 3 3" xfId="689" xr:uid="{00000000-0005-0000-0000-0000A3020000}"/>
    <cellStyle name="Normal 8 2 4" xfId="690" xr:uid="{00000000-0005-0000-0000-0000A4020000}"/>
    <cellStyle name="Normal 8 2 4 2" xfId="691" xr:uid="{00000000-0005-0000-0000-0000A5020000}"/>
    <cellStyle name="Normal 8 2 5" xfId="692" xr:uid="{00000000-0005-0000-0000-0000A6020000}"/>
    <cellStyle name="Normal 8 3" xfId="54" xr:uid="{00000000-0005-0000-0000-0000A7020000}"/>
    <cellStyle name="Normal 8 3 2" xfId="693" xr:uid="{00000000-0005-0000-0000-0000A8020000}"/>
    <cellStyle name="Normal 8 3 2 2" xfId="694" xr:uid="{00000000-0005-0000-0000-0000A9020000}"/>
    <cellStyle name="Normal 8 3 2 2 2" xfId="695" xr:uid="{00000000-0005-0000-0000-0000AA020000}"/>
    <cellStyle name="Normal 8 3 2 3" xfId="696" xr:uid="{00000000-0005-0000-0000-0000AB020000}"/>
    <cellStyle name="Normal 8 3 3" xfId="697" xr:uid="{00000000-0005-0000-0000-0000AC020000}"/>
    <cellStyle name="Normal 8 3 3 2" xfId="698" xr:uid="{00000000-0005-0000-0000-0000AD020000}"/>
    <cellStyle name="Normal 8 3 4" xfId="699" xr:uid="{00000000-0005-0000-0000-0000AE020000}"/>
    <cellStyle name="Normal 8 4" xfId="700" xr:uid="{00000000-0005-0000-0000-0000AF020000}"/>
    <cellStyle name="Normal 8 4 2" xfId="701" xr:uid="{00000000-0005-0000-0000-0000B0020000}"/>
    <cellStyle name="Normal 8 4 2 2" xfId="702" xr:uid="{00000000-0005-0000-0000-0000B1020000}"/>
    <cellStyle name="Normal 8 5" xfId="703" xr:uid="{00000000-0005-0000-0000-0000B2020000}"/>
    <cellStyle name="Normal 8 5 2" xfId="704" xr:uid="{00000000-0005-0000-0000-0000B3020000}"/>
    <cellStyle name="Normal 8 5 2 2" xfId="705" xr:uid="{00000000-0005-0000-0000-0000B4020000}"/>
    <cellStyle name="Normal 8 5 3" xfId="706" xr:uid="{00000000-0005-0000-0000-0000B5020000}"/>
    <cellStyle name="Normal 8 6" xfId="707" xr:uid="{00000000-0005-0000-0000-0000B6020000}"/>
    <cellStyle name="Normal 9" xfId="7" xr:uid="{00000000-0005-0000-0000-0000B7020000}"/>
    <cellStyle name="Normal 9 2" xfId="36" xr:uid="{00000000-0005-0000-0000-0000B8020000}"/>
    <cellStyle name="Normal 9 2 2" xfId="75" xr:uid="{00000000-0005-0000-0000-0000B9020000}"/>
    <cellStyle name="Normal 9 2 2 2" xfId="708" xr:uid="{00000000-0005-0000-0000-0000BA020000}"/>
    <cellStyle name="Normal 9 2 2 2 2" xfId="709" xr:uid="{00000000-0005-0000-0000-0000BB020000}"/>
    <cellStyle name="Normal 9 2 2 2 2 2" xfId="710" xr:uid="{00000000-0005-0000-0000-0000BC020000}"/>
    <cellStyle name="Normal 9 2 2 2 3" xfId="711" xr:uid="{00000000-0005-0000-0000-0000BD020000}"/>
    <cellStyle name="Normal 9 2 2 3" xfId="712" xr:uid="{00000000-0005-0000-0000-0000BE020000}"/>
    <cellStyle name="Normal 9 2 2 3 2" xfId="713" xr:uid="{00000000-0005-0000-0000-0000BF020000}"/>
    <cellStyle name="Normal 9 2 2 4" xfId="714" xr:uid="{00000000-0005-0000-0000-0000C0020000}"/>
    <cellStyle name="Normal 9 2 2 5" xfId="715" xr:uid="{00000000-0005-0000-0000-0000C1020000}"/>
    <cellStyle name="Normal 9 2 3" xfId="716" xr:uid="{00000000-0005-0000-0000-0000C2020000}"/>
    <cellStyle name="Normal 9 2 3 2" xfId="717" xr:uid="{00000000-0005-0000-0000-0000C3020000}"/>
    <cellStyle name="Normal 9 2 3 2 2" xfId="718" xr:uid="{00000000-0005-0000-0000-0000C4020000}"/>
    <cellStyle name="Normal 9 2 3 3" xfId="719" xr:uid="{00000000-0005-0000-0000-0000C5020000}"/>
    <cellStyle name="Normal 9 2 3 4" xfId="153" xr:uid="{00000000-0005-0000-0000-0000C6020000}"/>
    <cellStyle name="Normal 9 2 4" xfId="720" xr:uid="{00000000-0005-0000-0000-0000C7020000}"/>
    <cellStyle name="Normal 9 2 4 2" xfId="721" xr:uid="{00000000-0005-0000-0000-0000C8020000}"/>
    <cellStyle name="Normal 9 3" xfId="57" xr:uid="{00000000-0005-0000-0000-0000C9020000}"/>
    <cellStyle name="Normal 9 3 2" xfId="722" xr:uid="{00000000-0005-0000-0000-0000CA020000}"/>
    <cellStyle name="Normal 9 3 2 2" xfId="723" xr:uid="{00000000-0005-0000-0000-0000CB020000}"/>
    <cellStyle name="Normal 9 3 2 2 2" xfId="724" xr:uid="{00000000-0005-0000-0000-0000CC020000}"/>
    <cellStyle name="Normal 9 3 2 3" xfId="725" xr:uid="{00000000-0005-0000-0000-0000CD020000}"/>
    <cellStyle name="Normal 9 3 3" xfId="726" xr:uid="{00000000-0005-0000-0000-0000CE020000}"/>
    <cellStyle name="Normal 9 3 3 2" xfId="727" xr:uid="{00000000-0005-0000-0000-0000CF020000}"/>
    <cellStyle name="Normal 9 3 4" xfId="728" xr:uid="{00000000-0005-0000-0000-0000D0020000}"/>
    <cellStyle name="Normal 9 4" xfId="729" xr:uid="{00000000-0005-0000-0000-0000D1020000}"/>
    <cellStyle name="Normal 9 4 2" xfId="730" xr:uid="{00000000-0005-0000-0000-0000D2020000}"/>
    <cellStyle name="Normal 9 4 2 2" xfId="731" xr:uid="{00000000-0005-0000-0000-0000D3020000}"/>
    <cellStyle name="Normal 9 4 3" xfId="732" xr:uid="{00000000-0005-0000-0000-0000D4020000}"/>
    <cellStyle name="Normal 9 5" xfId="733" xr:uid="{00000000-0005-0000-0000-0000D5020000}"/>
    <cellStyle name="Normal 9 5 2" xfId="734" xr:uid="{00000000-0005-0000-0000-0000D6020000}"/>
    <cellStyle name="Normal 9 6" xfId="735" xr:uid="{00000000-0005-0000-0000-0000D7020000}"/>
    <cellStyle name="Normal_Sheet2" xfId="22" xr:uid="{00000000-0005-0000-0000-0000D8020000}"/>
    <cellStyle name="Note 2" xfId="134" xr:uid="{00000000-0005-0000-0000-0000D9020000}"/>
    <cellStyle name="Output 2" xfId="135" xr:uid="{00000000-0005-0000-0000-0000DA020000}"/>
    <cellStyle name="Per cent 2" xfId="736" xr:uid="{00000000-0005-0000-0000-0000DB020000}"/>
    <cellStyle name="Per cent 2 2" xfId="737" xr:uid="{00000000-0005-0000-0000-0000DC020000}"/>
    <cellStyle name="Percent" xfId="2" builtinId="5"/>
    <cellStyle name="Percent 10" xfId="96" xr:uid="{00000000-0005-0000-0000-0000DE020000}"/>
    <cellStyle name="Percent 2" xfId="52" xr:uid="{00000000-0005-0000-0000-0000DF020000}"/>
    <cellStyle name="Percent 3" xfId="14" xr:uid="{00000000-0005-0000-0000-0000E0020000}"/>
    <cellStyle name="Title 2" xfId="136" xr:uid="{00000000-0005-0000-0000-0000E1020000}"/>
    <cellStyle name="Total 2" xfId="137" xr:uid="{00000000-0005-0000-0000-0000E2020000}"/>
    <cellStyle name="Warning Text 2" xfId="138" xr:uid="{00000000-0005-0000-0000-0000E302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Lbls>
            <c:spPr>
              <a:noFill/>
              <a:ln>
                <a:noFill/>
              </a:ln>
              <a:effectLst/>
            </c:spPr>
            <c:txPr>
              <a:bodyPr/>
              <a:lstStyle/>
              <a:p>
                <a:pPr>
                  <a:defRPr lang="en-GB"/>
                </a:pPr>
                <a:endParaRPr lang="en-US"/>
              </a:p>
            </c:txPr>
            <c:showLegendKey val="0"/>
            <c:showVal val="0"/>
            <c:showCatName val="0"/>
            <c:showSerName val="0"/>
            <c:showPercent val="1"/>
            <c:showBubbleSize val="0"/>
            <c:showLeaderLines val="1"/>
            <c:extLst>
              <c:ext xmlns:c15="http://schemas.microsoft.com/office/drawing/2012/chart" uri="{CE6537A1-D6FC-4f65-9D91-7224C49458BB}"/>
            </c:extLst>
          </c:dLbls>
          <c:cat>
            <c:strRef>
              <c:f>'Pi Chart'!$F$8:$F$13</c:f>
              <c:strCache>
                <c:ptCount val="6"/>
                <c:pt idx="0">
                  <c:v>Equipment</c:v>
                </c:pt>
                <c:pt idx="1">
                  <c:v>Refractory</c:v>
                </c:pt>
                <c:pt idx="2">
                  <c:v>Structure</c:v>
                </c:pt>
                <c:pt idx="3">
                  <c:v>CIVIL </c:v>
                </c:pt>
                <c:pt idx="4">
                  <c:v>Spares</c:v>
                </c:pt>
                <c:pt idx="5">
                  <c:v>Dismantling &amp; Re-erection</c:v>
                </c:pt>
              </c:strCache>
            </c:strRef>
          </c:cat>
          <c:val>
            <c:numRef>
              <c:f>'Pi Chart'!$G$8:$G$13</c:f>
              <c:numCache>
                <c:formatCode>0.00_)</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4C3-4E57-8281-9FBAD70D6177}"/>
            </c:ext>
          </c:extLst>
        </c:ser>
        <c:dLbls>
          <c:showLegendKey val="0"/>
          <c:showVal val="0"/>
          <c:showCatName val="0"/>
          <c:showSerName val="0"/>
          <c:showPercent val="0"/>
          <c:showBubbleSize val="0"/>
          <c:showLeaderLines val="1"/>
        </c:dLbls>
        <c:firstSliceAng val="0"/>
      </c:pieChart>
    </c:plotArea>
    <c:legend>
      <c:legendPos val="r"/>
      <c:overlay val="0"/>
      <c:txPr>
        <a:bodyPr/>
        <a:lstStyle/>
        <a:p>
          <a:pPr>
            <a:defRPr lang="en-GB"/>
          </a:pPr>
          <a:endParaRPr lang="en-US"/>
        </a:p>
      </c:txPr>
    </c:legend>
    <c:plotVisOnly val="1"/>
    <c:dispBlanksAs val="zero"/>
    <c:showDLblsOverMax val="0"/>
  </c:chart>
  <c:printSettings>
    <c:headerFooter/>
    <c:pageMargins b="0.75000000000000155" l="0.70000000000000062" r="0.70000000000000062" t="0.750000000000001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GB"/>
              <a:t>Basic Cost</a:t>
            </a:r>
          </a:p>
        </c:rich>
      </c:tx>
      <c:overlay val="1"/>
    </c:title>
    <c:autoTitleDeleted val="0"/>
    <c:view3D>
      <c:rotX val="30"/>
      <c:rotY val="0"/>
      <c:rAngAx val="0"/>
    </c:view3D>
    <c:floor>
      <c:thickness val="0"/>
    </c:floor>
    <c:sideWall>
      <c:thickness val="0"/>
    </c:sideWall>
    <c:backWall>
      <c:thickness val="0"/>
    </c:backWall>
    <c:plotArea>
      <c:layout>
        <c:manualLayout>
          <c:layoutTarget val="inner"/>
          <c:xMode val="edge"/>
          <c:yMode val="edge"/>
          <c:x val="7.4432864522207695E-2"/>
          <c:y val="1.3542063725695648E-2"/>
          <c:w val="0.59997978078356407"/>
          <c:h val="0.89339125712734191"/>
        </c:manualLayout>
      </c:layout>
      <c:pie3DChart>
        <c:varyColors val="1"/>
        <c:ser>
          <c:idx val="0"/>
          <c:order val="0"/>
          <c:dPt>
            <c:idx val="0"/>
            <c:bubble3D val="0"/>
            <c:extLst>
              <c:ext xmlns:c16="http://schemas.microsoft.com/office/drawing/2014/chart" uri="{C3380CC4-5D6E-409C-BE32-E72D297353CC}">
                <c16:uniqueId val="{00000000-1F4B-4992-85C7-05D5AA4C3B9D}"/>
              </c:ext>
            </c:extLst>
          </c:dPt>
          <c:dPt>
            <c:idx val="1"/>
            <c:bubble3D val="0"/>
            <c:extLst>
              <c:ext xmlns:c16="http://schemas.microsoft.com/office/drawing/2014/chart" uri="{C3380CC4-5D6E-409C-BE32-E72D297353CC}">
                <c16:uniqueId val="{00000001-1F4B-4992-85C7-05D5AA4C3B9D}"/>
              </c:ext>
            </c:extLst>
          </c:dPt>
          <c:dPt>
            <c:idx val="2"/>
            <c:bubble3D val="0"/>
            <c:extLst>
              <c:ext xmlns:c16="http://schemas.microsoft.com/office/drawing/2014/chart" uri="{C3380CC4-5D6E-409C-BE32-E72D297353CC}">
                <c16:uniqueId val="{00000002-1F4B-4992-85C7-05D5AA4C3B9D}"/>
              </c:ext>
            </c:extLst>
          </c:dPt>
          <c:dPt>
            <c:idx val="3"/>
            <c:bubble3D val="0"/>
            <c:extLst>
              <c:ext xmlns:c16="http://schemas.microsoft.com/office/drawing/2014/chart" uri="{C3380CC4-5D6E-409C-BE32-E72D297353CC}">
                <c16:uniqueId val="{00000003-1F4B-4992-85C7-05D5AA4C3B9D}"/>
              </c:ext>
            </c:extLst>
          </c:dPt>
          <c:dPt>
            <c:idx val="4"/>
            <c:bubble3D val="0"/>
            <c:extLst>
              <c:ext xmlns:c16="http://schemas.microsoft.com/office/drawing/2014/chart" uri="{C3380CC4-5D6E-409C-BE32-E72D297353CC}">
                <c16:uniqueId val="{00000004-1F4B-4992-85C7-05D5AA4C3B9D}"/>
              </c:ext>
            </c:extLst>
          </c:dPt>
          <c:dPt>
            <c:idx val="5"/>
            <c:bubble3D val="0"/>
            <c:extLst>
              <c:ext xmlns:c16="http://schemas.microsoft.com/office/drawing/2014/chart" uri="{C3380CC4-5D6E-409C-BE32-E72D297353CC}">
                <c16:uniqueId val="{00000005-1F4B-4992-85C7-05D5AA4C3B9D}"/>
              </c:ext>
            </c:extLst>
          </c:dPt>
          <c:dPt>
            <c:idx val="6"/>
            <c:bubble3D val="0"/>
            <c:extLst>
              <c:ext xmlns:c16="http://schemas.microsoft.com/office/drawing/2014/chart" uri="{C3380CC4-5D6E-409C-BE32-E72D297353CC}">
                <c16:uniqueId val="{00000006-1F4B-4992-85C7-05D5AA4C3B9D}"/>
              </c:ext>
            </c:extLst>
          </c:dPt>
          <c:dPt>
            <c:idx val="7"/>
            <c:bubble3D val="0"/>
            <c:extLst>
              <c:ext xmlns:c16="http://schemas.microsoft.com/office/drawing/2014/chart" uri="{C3380CC4-5D6E-409C-BE32-E72D297353CC}">
                <c16:uniqueId val="{00000007-1F4B-4992-85C7-05D5AA4C3B9D}"/>
              </c:ext>
            </c:extLst>
          </c:dPt>
          <c:dPt>
            <c:idx val="8"/>
            <c:bubble3D val="0"/>
            <c:extLst>
              <c:ext xmlns:c16="http://schemas.microsoft.com/office/drawing/2014/chart" uri="{C3380CC4-5D6E-409C-BE32-E72D297353CC}">
                <c16:uniqueId val="{00000008-1F4B-4992-85C7-05D5AA4C3B9D}"/>
              </c:ext>
            </c:extLst>
          </c:dPt>
          <c:dLbls>
            <c:spPr>
              <a:noFill/>
              <a:ln>
                <a:noFill/>
              </a:ln>
              <a:effectLst/>
            </c:spPr>
            <c:txPr>
              <a:bodyPr/>
              <a:lstStyle/>
              <a:p>
                <a:pPr>
                  <a:defRPr sz="1000" b="0" i="0" u="none" strike="noStrike" baseline="0">
                    <a:solidFill>
                      <a:srgbClr val="000000"/>
                    </a:solidFill>
                    <a:latin typeface="Calibri"/>
                    <a:ea typeface="Calibri"/>
                    <a:cs typeface="Calibri"/>
                  </a:defRPr>
                </a:pPr>
                <a:endParaRPr lang="en-US"/>
              </a:p>
            </c:tx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Ref>
              <c:f>'Pie Chart'!$B$3:$B$11</c:f>
              <c:strCache>
                <c:ptCount val="9"/>
                <c:pt idx="0">
                  <c:v>Mechanical</c:v>
                </c:pt>
                <c:pt idx="1">
                  <c:v>Utilities</c:v>
                </c:pt>
                <c:pt idx="2">
                  <c:v>Electrical</c:v>
                </c:pt>
                <c:pt idx="3">
                  <c:v>Process Control and Automation</c:v>
                </c:pt>
                <c:pt idx="4">
                  <c:v>Technological Structure</c:v>
                </c:pt>
                <c:pt idx="5">
                  <c:v>Building Structure</c:v>
                </c:pt>
                <c:pt idx="6">
                  <c:v>Refractories</c:v>
                </c:pt>
                <c:pt idx="7">
                  <c:v>Civil Eq Foundation</c:v>
                </c:pt>
                <c:pt idx="8">
                  <c:v>Civil others</c:v>
                </c:pt>
              </c:strCache>
            </c:strRef>
          </c:cat>
          <c:val>
            <c:numRef>
              <c:f>'Pie Chart'!$C$3:$C$11</c:f>
              <c:numCache>
                <c:formatCode>0.00_)</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9-1F4B-4992-85C7-05D5AA4C3B9D}"/>
            </c:ext>
          </c:extLst>
        </c:ser>
        <c:dLbls>
          <c:showLegendKey val="0"/>
          <c:showVal val="0"/>
          <c:showCatName val="0"/>
          <c:showSerName val="0"/>
          <c:showPercent val="0"/>
          <c:showBubbleSize val="0"/>
          <c:showLeaderLines val="1"/>
        </c:dLbls>
      </c:pie3DChart>
      <c:spPr>
        <a:noFill/>
        <a:ln w="25400">
          <a:noFill/>
        </a:ln>
      </c:spPr>
    </c:plotArea>
    <c:legend>
      <c:legendPos val="r"/>
      <c:layout>
        <c:manualLayout>
          <c:xMode val="edge"/>
          <c:yMode val="edge"/>
          <c:x val="0.72689067712689759"/>
          <c:y val="3.2915713122066641E-2"/>
          <c:w val="0.24910347744993411"/>
          <c:h val="0.94826344982739219"/>
        </c:manualLayout>
      </c:layout>
      <c:overlay val="0"/>
      <c:txPr>
        <a:bodyPr/>
        <a:lstStyle/>
        <a:p>
          <a:pPr rtl="0">
            <a:defRPr sz="92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24</xdr:col>
      <xdr:colOff>666750</xdr:colOff>
      <xdr:row>39</xdr:row>
      <xdr:rowOff>238125</xdr:rowOff>
    </xdr:from>
    <xdr:to>
      <xdr:col>24</xdr:col>
      <xdr:colOff>666750</xdr:colOff>
      <xdr:row>41</xdr:row>
      <xdr:rowOff>0</xdr:rowOff>
    </xdr:to>
    <xdr:sp macro="" textlink="">
      <xdr:nvSpPr>
        <xdr:cNvPr id="20597" name="Line 1">
          <a:extLst>
            <a:ext uri="{FF2B5EF4-FFF2-40B4-BE49-F238E27FC236}">
              <a16:creationId xmlns:a16="http://schemas.microsoft.com/office/drawing/2014/main" id="{00000000-0008-0000-0700-000075500000}"/>
            </a:ext>
          </a:extLst>
        </xdr:cNvPr>
        <xdr:cNvSpPr>
          <a:spLocks noChangeShapeType="1"/>
        </xdr:cNvSpPr>
      </xdr:nvSpPr>
      <xdr:spPr bwMode="auto">
        <a:xfrm>
          <a:off x="24803100" y="9896475"/>
          <a:ext cx="0" cy="257175"/>
        </a:xfrm>
        <a:prstGeom prst="line">
          <a:avLst/>
        </a:prstGeom>
        <a:noFill/>
        <a:ln w="9525">
          <a:solidFill>
            <a:srgbClr val="000000"/>
          </a:solidFill>
          <a:round/>
          <a:headEnd/>
          <a:tailEnd type="triangle" w="med" len="med"/>
        </a:ln>
      </xdr:spPr>
    </xdr:sp>
    <xdr:clientData/>
  </xdr:twoCellAnchor>
  <xdr:twoCellAnchor>
    <xdr:from>
      <xdr:col>24</xdr:col>
      <xdr:colOff>657225</xdr:colOff>
      <xdr:row>3</xdr:row>
      <xdr:rowOff>0</xdr:rowOff>
    </xdr:from>
    <xdr:to>
      <xdr:col>24</xdr:col>
      <xdr:colOff>657225</xdr:colOff>
      <xdr:row>4</xdr:row>
      <xdr:rowOff>9525</xdr:rowOff>
    </xdr:to>
    <xdr:sp macro="" textlink="">
      <xdr:nvSpPr>
        <xdr:cNvPr id="20599" name="Line 3">
          <a:extLst>
            <a:ext uri="{FF2B5EF4-FFF2-40B4-BE49-F238E27FC236}">
              <a16:creationId xmlns:a16="http://schemas.microsoft.com/office/drawing/2014/main" id="{00000000-0008-0000-0700-000077500000}"/>
            </a:ext>
          </a:extLst>
        </xdr:cNvPr>
        <xdr:cNvSpPr>
          <a:spLocks noChangeShapeType="1"/>
        </xdr:cNvSpPr>
      </xdr:nvSpPr>
      <xdr:spPr bwMode="auto">
        <a:xfrm>
          <a:off x="24793575" y="742950"/>
          <a:ext cx="0" cy="257175"/>
        </a:xfrm>
        <a:prstGeom prst="line">
          <a:avLst/>
        </a:prstGeom>
        <a:noFill/>
        <a:ln w="9525">
          <a:solidFill>
            <a:srgbClr val="000000"/>
          </a:solidFill>
          <a:round/>
          <a:headEnd/>
          <a:tailEnd type="triangle" w="med" len="med"/>
        </a:ln>
      </xdr:spPr>
    </xdr:sp>
    <xdr:clientData/>
  </xdr:twoCellAnchor>
  <xdr:twoCellAnchor>
    <xdr:from>
      <xdr:col>24</xdr:col>
      <xdr:colOff>657225</xdr:colOff>
      <xdr:row>3</xdr:row>
      <xdr:rowOff>0</xdr:rowOff>
    </xdr:from>
    <xdr:to>
      <xdr:col>26</xdr:col>
      <xdr:colOff>276225</xdr:colOff>
      <xdr:row>3</xdr:row>
      <xdr:rowOff>0</xdr:rowOff>
    </xdr:to>
    <xdr:sp macro="" textlink="">
      <xdr:nvSpPr>
        <xdr:cNvPr id="20600" name="Line 4">
          <a:extLst>
            <a:ext uri="{FF2B5EF4-FFF2-40B4-BE49-F238E27FC236}">
              <a16:creationId xmlns:a16="http://schemas.microsoft.com/office/drawing/2014/main" id="{00000000-0008-0000-0700-000078500000}"/>
            </a:ext>
          </a:extLst>
        </xdr:cNvPr>
        <xdr:cNvSpPr>
          <a:spLocks noChangeShapeType="1"/>
        </xdr:cNvSpPr>
      </xdr:nvSpPr>
      <xdr:spPr bwMode="auto">
        <a:xfrm>
          <a:off x="24793575" y="742950"/>
          <a:ext cx="1562100" cy="0"/>
        </a:xfrm>
        <a:prstGeom prst="line">
          <a:avLst/>
        </a:prstGeom>
        <a:noFill/>
        <a:ln w="9525">
          <a:solidFill>
            <a:srgbClr val="000000"/>
          </a:solidFill>
          <a:round/>
          <a:headEnd/>
          <a:tailEnd/>
        </a:ln>
      </xdr:spPr>
    </xdr:sp>
    <xdr:clientData/>
  </xdr:twoCellAnchor>
  <xdr:twoCellAnchor>
    <xdr:from>
      <xdr:col>24</xdr:col>
      <xdr:colOff>685800</xdr:colOff>
      <xdr:row>16</xdr:row>
      <xdr:rowOff>238125</xdr:rowOff>
    </xdr:from>
    <xdr:to>
      <xdr:col>26</xdr:col>
      <xdr:colOff>619125</xdr:colOff>
      <xdr:row>17</xdr:row>
      <xdr:rowOff>0</xdr:rowOff>
    </xdr:to>
    <xdr:sp macro="" textlink="">
      <xdr:nvSpPr>
        <xdr:cNvPr id="20601" name="Line 5">
          <a:extLst>
            <a:ext uri="{FF2B5EF4-FFF2-40B4-BE49-F238E27FC236}">
              <a16:creationId xmlns:a16="http://schemas.microsoft.com/office/drawing/2014/main" id="{00000000-0008-0000-0700-000079500000}"/>
            </a:ext>
          </a:extLst>
        </xdr:cNvPr>
        <xdr:cNvSpPr>
          <a:spLocks noChangeShapeType="1"/>
        </xdr:cNvSpPr>
      </xdr:nvSpPr>
      <xdr:spPr bwMode="auto">
        <a:xfrm>
          <a:off x="24822150" y="4200525"/>
          <a:ext cx="1876425" cy="9525"/>
        </a:xfrm>
        <a:prstGeom prst="line">
          <a:avLst/>
        </a:prstGeom>
        <a:noFill/>
        <a:ln w="9525">
          <a:solidFill>
            <a:srgbClr val="000000"/>
          </a:solidFill>
          <a:round/>
          <a:headEnd/>
          <a:tailEnd/>
        </a:ln>
      </xdr:spPr>
    </xdr:sp>
    <xdr:clientData/>
  </xdr:twoCellAnchor>
  <xdr:twoCellAnchor>
    <xdr:from>
      <xdr:col>24</xdr:col>
      <xdr:colOff>666750</xdr:colOff>
      <xdr:row>16</xdr:row>
      <xdr:rowOff>228600</xdr:rowOff>
    </xdr:from>
    <xdr:to>
      <xdr:col>24</xdr:col>
      <xdr:colOff>666750</xdr:colOff>
      <xdr:row>17</xdr:row>
      <xdr:rowOff>238125</xdr:rowOff>
    </xdr:to>
    <xdr:sp macro="" textlink="">
      <xdr:nvSpPr>
        <xdr:cNvPr id="20602" name="Line 6">
          <a:extLst>
            <a:ext uri="{FF2B5EF4-FFF2-40B4-BE49-F238E27FC236}">
              <a16:creationId xmlns:a16="http://schemas.microsoft.com/office/drawing/2014/main" id="{00000000-0008-0000-0700-00007A500000}"/>
            </a:ext>
          </a:extLst>
        </xdr:cNvPr>
        <xdr:cNvSpPr>
          <a:spLocks noChangeShapeType="1"/>
        </xdr:cNvSpPr>
      </xdr:nvSpPr>
      <xdr:spPr bwMode="auto">
        <a:xfrm>
          <a:off x="24803100" y="4191000"/>
          <a:ext cx="0" cy="257175"/>
        </a:xfrm>
        <a:prstGeom prst="line">
          <a:avLst/>
        </a:prstGeom>
        <a:noFill/>
        <a:ln w="9525">
          <a:solidFill>
            <a:srgbClr val="000000"/>
          </a:solidFill>
          <a:round/>
          <a:headEnd/>
          <a:tailEnd type="triangle" w="med" len="med"/>
        </a:ln>
      </xdr:spPr>
    </xdr:sp>
    <xdr:clientData/>
  </xdr:twoCellAnchor>
  <xdr:twoCellAnchor>
    <xdr:from>
      <xdr:col>24</xdr:col>
      <xdr:colOff>638175</xdr:colOff>
      <xdr:row>40</xdr:row>
      <xdr:rowOff>0</xdr:rowOff>
    </xdr:from>
    <xdr:to>
      <xdr:col>25</xdr:col>
      <xdr:colOff>457200</xdr:colOff>
      <xdr:row>40</xdr:row>
      <xdr:rowOff>0</xdr:rowOff>
    </xdr:to>
    <xdr:sp macro="" textlink="">
      <xdr:nvSpPr>
        <xdr:cNvPr id="20603" name="Line 7">
          <a:extLst>
            <a:ext uri="{FF2B5EF4-FFF2-40B4-BE49-F238E27FC236}">
              <a16:creationId xmlns:a16="http://schemas.microsoft.com/office/drawing/2014/main" id="{00000000-0008-0000-0700-00007B500000}"/>
            </a:ext>
          </a:extLst>
        </xdr:cNvPr>
        <xdr:cNvSpPr>
          <a:spLocks noChangeShapeType="1"/>
        </xdr:cNvSpPr>
      </xdr:nvSpPr>
      <xdr:spPr bwMode="auto">
        <a:xfrm>
          <a:off x="24774525" y="9906000"/>
          <a:ext cx="66675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695325</xdr:colOff>
      <xdr:row>14</xdr:row>
      <xdr:rowOff>100012</xdr:rowOff>
    </xdr:from>
    <xdr:to>
      <xdr:col>13</xdr:col>
      <xdr:colOff>695325</xdr:colOff>
      <xdr:row>28</xdr:row>
      <xdr:rowOff>176212</xdr:rowOff>
    </xdr:to>
    <xdr:graphicFrame macro="">
      <xdr:nvGraphicFramePr>
        <xdr:cNvPr id="2" name="Chart 1">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238125</xdr:colOff>
      <xdr:row>1</xdr:row>
      <xdr:rowOff>66675</xdr:rowOff>
    </xdr:from>
    <xdr:to>
      <xdr:col>10</xdr:col>
      <xdr:colOff>885825</xdr:colOff>
      <xdr:row>18</xdr:row>
      <xdr:rowOff>0</xdr:rowOff>
    </xdr:to>
    <xdr:graphicFrame macro="">
      <xdr:nvGraphicFramePr>
        <xdr:cNvPr id="2" name="Chart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324"/>
  <sheetViews>
    <sheetView showZeros="0" workbookViewId="0">
      <selection activeCell="B3" sqref="B3"/>
    </sheetView>
  </sheetViews>
  <sheetFormatPr defaultRowHeight="14.25" x14ac:dyDescent="0.2"/>
  <cols>
    <col min="1" max="1" width="4.88671875" style="658" customWidth="1"/>
    <col min="2" max="2" width="40.21875" style="659" customWidth="1"/>
    <col min="3" max="3" width="5" style="658" customWidth="1"/>
    <col min="4" max="4" width="7" style="493" customWidth="1"/>
    <col min="5" max="5" width="14.44140625" style="691" customWidth="1"/>
    <col min="6" max="6" width="8.77734375" style="659" customWidth="1"/>
    <col min="7" max="7" width="11.88671875" style="691" customWidth="1"/>
    <col min="8" max="8" width="9.33203125" style="659" customWidth="1"/>
    <col min="9" max="9" width="29.88671875" style="661" customWidth="1"/>
    <col min="10" max="10" width="7.5546875" style="659" customWidth="1"/>
    <col min="11" max="11" width="73.109375" style="659" customWidth="1"/>
    <col min="12" max="12" width="5.109375" style="659" customWidth="1"/>
    <col min="13" max="13" width="53.109375" style="659" customWidth="1"/>
    <col min="14" max="14" width="9" style="659" bestFit="1" customWidth="1"/>
    <col min="15" max="15" width="8.88671875" style="659"/>
    <col min="16" max="16" width="11" style="659" customWidth="1"/>
    <col min="17" max="17" width="9.109375" style="659" bestFit="1" customWidth="1"/>
    <col min="18" max="18" width="11.109375" style="659" customWidth="1"/>
    <col min="19" max="19" width="8.88671875" style="659"/>
    <col min="20" max="20" width="46.77734375" style="659" customWidth="1"/>
    <col min="21" max="16384" width="8.88671875" style="659"/>
  </cols>
  <sheetData>
    <row r="1" spans="1:22" ht="24" customHeight="1" x14ac:dyDescent="0.2">
      <c r="B1" s="716" t="e">
        <f>#REF!</f>
        <v>#REF!</v>
      </c>
      <c r="C1" s="660"/>
      <c r="D1"/>
      <c r="E1"/>
      <c r="F1"/>
      <c r="G1"/>
      <c r="H1"/>
    </row>
    <row r="2" spans="1:22" ht="20.25" customHeight="1" x14ac:dyDescent="0.2">
      <c r="A2" s="664"/>
      <c r="B2" s="716" t="e">
        <f>#REF!</f>
        <v>#REF!</v>
      </c>
      <c r="C2" s="664"/>
      <c r="D2" s="664"/>
      <c r="E2" s="664"/>
      <c r="F2" s="664"/>
      <c r="G2" s="664"/>
      <c r="H2" s="664"/>
      <c r="I2" s="664"/>
      <c r="M2" s="659" t="s">
        <v>510</v>
      </c>
    </row>
    <row r="3" spans="1:22" ht="28.5" customHeight="1" x14ac:dyDescent="0.2">
      <c r="A3" s="662"/>
      <c r="B3" s="717" t="e">
        <f>#REF!</f>
        <v>#REF!</v>
      </c>
      <c r="C3" s="662"/>
      <c r="D3" s="662"/>
      <c r="E3" s="663"/>
      <c r="F3" s="664"/>
      <c r="G3" s="663"/>
      <c r="H3" s="664"/>
      <c r="I3" s="662"/>
    </row>
    <row r="4" spans="1:22" s="670" customFormat="1" ht="16.5" customHeight="1" x14ac:dyDescent="0.2">
      <c r="A4" s="665"/>
      <c r="B4" s="1032" t="s">
        <v>511</v>
      </c>
      <c r="C4" s="1032"/>
      <c r="D4" s="1032"/>
      <c r="E4" s="666"/>
      <c r="F4" s="667"/>
      <c r="G4" s="668" t="s">
        <v>513</v>
      </c>
      <c r="H4" s="667"/>
      <c r="I4" s="715" t="e">
        <f>#REF!</f>
        <v>#REF!</v>
      </c>
      <c r="L4" s="665"/>
      <c r="M4" s="1032" t="s">
        <v>512</v>
      </c>
      <c r="N4" s="1032"/>
      <c r="O4" s="1032"/>
      <c r="P4" s="666"/>
      <c r="Q4" s="667"/>
      <c r="R4" s="668" t="s">
        <v>513</v>
      </c>
      <c r="S4" s="667"/>
      <c r="T4" s="715" t="e">
        <f>#REF!</f>
        <v>#REF!</v>
      </c>
    </row>
    <row r="5" spans="1:22" s="670" customFormat="1" ht="18.75" customHeight="1" x14ac:dyDescent="0.2">
      <c r="A5" s="665"/>
      <c r="C5" s="671"/>
      <c r="D5" s="671"/>
      <c r="E5" s="666"/>
      <c r="F5" s="672"/>
      <c r="G5" s="668"/>
      <c r="I5" s="669"/>
      <c r="K5" s="673" t="s">
        <v>514</v>
      </c>
      <c r="L5" s="665"/>
      <c r="N5" s="671"/>
      <c r="O5" s="671"/>
      <c r="P5" s="666"/>
      <c r="Q5" s="672"/>
      <c r="R5" s="668"/>
      <c r="T5" s="669"/>
      <c r="V5" s="673" t="s">
        <v>514</v>
      </c>
    </row>
    <row r="6" spans="1:22" s="658" customFormat="1" ht="34.5" customHeight="1" x14ac:dyDescent="0.2">
      <c r="A6" s="404" t="s">
        <v>515</v>
      </c>
      <c r="B6" s="404" t="s">
        <v>122</v>
      </c>
      <c r="C6" s="404" t="s">
        <v>35</v>
      </c>
      <c r="D6" s="404" t="s">
        <v>136</v>
      </c>
      <c r="E6" s="412" t="s">
        <v>516</v>
      </c>
      <c r="F6" s="412" t="s">
        <v>517</v>
      </c>
      <c r="G6" s="412" t="s">
        <v>518</v>
      </c>
      <c r="H6" s="412" t="s">
        <v>519</v>
      </c>
      <c r="I6" s="412" t="s">
        <v>520</v>
      </c>
      <c r="J6" s="674" t="s">
        <v>521</v>
      </c>
      <c r="L6" s="404" t="s">
        <v>515</v>
      </c>
      <c r="M6" s="404" t="s">
        <v>122</v>
      </c>
      <c r="N6" s="404" t="s">
        <v>35</v>
      </c>
      <c r="O6" s="404" t="s">
        <v>136</v>
      </c>
      <c r="P6" s="412" t="s">
        <v>516</v>
      </c>
      <c r="Q6" s="412" t="s">
        <v>517</v>
      </c>
      <c r="R6" s="412" t="s">
        <v>518</v>
      </c>
      <c r="S6" s="412" t="s">
        <v>519</v>
      </c>
      <c r="T6" s="412" t="s">
        <v>520</v>
      </c>
      <c r="U6" s="674" t="s">
        <v>521</v>
      </c>
    </row>
    <row r="7" spans="1:22" s="658" customFormat="1" ht="15" x14ac:dyDescent="0.2">
      <c r="A7" s="404" t="s">
        <v>26</v>
      </c>
      <c r="B7" s="445" t="s">
        <v>522</v>
      </c>
      <c r="C7" s="404"/>
      <c r="D7" s="404"/>
      <c r="E7" s="441"/>
      <c r="F7" s="653"/>
      <c r="G7" s="441"/>
      <c r="H7" s="653"/>
      <c r="I7" s="412"/>
      <c r="J7" s="674"/>
      <c r="L7" s="404" t="s">
        <v>26</v>
      </c>
      <c r="M7" s="445" t="s">
        <v>522</v>
      </c>
      <c r="N7" s="404"/>
      <c r="O7" s="404"/>
      <c r="P7" s="441"/>
      <c r="Q7" s="653"/>
      <c r="R7" s="441"/>
      <c r="S7" s="653"/>
      <c r="T7" s="412"/>
      <c r="U7" s="675">
        <f>97.88*100</f>
        <v>9788</v>
      </c>
    </row>
    <row r="8" spans="1:22" s="672" customFormat="1" ht="15" x14ac:dyDescent="0.2">
      <c r="A8" s="442"/>
      <c r="B8" s="445" t="s">
        <v>523</v>
      </c>
      <c r="C8" s="404"/>
      <c r="D8" s="404"/>
      <c r="E8" s="443"/>
      <c r="F8" s="471"/>
      <c r="G8" s="443"/>
      <c r="H8" s="406"/>
      <c r="I8" s="411"/>
      <c r="J8" s="676">
        <f>8000*0.75</f>
        <v>6000</v>
      </c>
      <c r="K8" s="677" t="s">
        <v>524</v>
      </c>
      <c r="L8" s="442"/>
      <c r="M8" s="445" t="s">
        <v>523</v>
      </c>
      <c r="N8" s="404"/>
      <c r="O8" s="404"/>
      <c r="P8" s="443"/>
      <c r="Q8" s="471"/>
      <c r="R8" s="443"/>
      <c r="S8" s="406"/>
      <c r="T8" s="411"/>
      <c r="U8" s="676">
        <v>8000</v>
      </c>
      <c r="V8" s="677" t="s">
        <v>524</v>
      </c>
    </row>
    <row r="9" spans="1:22" s="672" customFormat="1" ht="57.75" x14ac:dyDescent="0.2">
      <c r="A9" s="442" t="s">
        <v>525</v>
      </c>
      <c r="B9" s="649" t="s">
        <v>526</v>
      </c>
      <c r="C9" s="440" t="s">
        <v>317</v>
      </c>
      <c r="D9" s="678">
        <v>1</v>
      </c>
      <c r="E9" s="679">
        <f>J9/1.075/1.12*10^5/1.02</f>
        <v>268712136.01719749</v>
      </c>
      <c r="F9" s="471">
        <f>D9*E9/10^5</f>
        <v>2687.1213601719751</v>
      </c>
      <c r="G9" s="680">
        <v>0</v>
      </c>
      <c r="H9" s="681">
        <v>0</v>
      </c>
      <c r="I9" s="654" t="s">
        <v>640</v>
      </c>
      <c r="J9" s="676">
        <f>J8*(1-0.3-0.05-0.05-0.025-0.025)</f>
        <v>3299.9999999999991</v>
      </c>
      <c r="K9" s="682"/>
      <c r="L9" s="442" t="s">
        <v>525</v>
      </c>
      <c r="M9" s="649" t="s">
        <v>526</v>
      </c>
      <c r="N9" s="440" t="s">
        <v>317</v>
      </c>
      <c r="O9" s="678">
        <v>1</v>
      </c>
      <c r="P9" s="679">
        <f>U9/1.075/1.12*10^5</f>
        <v>332225913.62126231</v>
      </c>
      <c r="Q9" s="471">
        <f>O9*P9/10^5</f>
        <v>3322.2591362126232</v>
      </c>
      <c r="R9" s="680">
        <v>0</v>
      </c>
      <c r="S9" s="681">
        <v>0</v>
      </c>
      <c r="T9" s="654" t="s">
        <v>527</v>
      </c>
      <c r="U9" s="676">
        <f>U8*(1-0.3-0.05-0.05-0.05-0.05)</f>
        <v>3999.9999999999986</v>
      </c>
      <c r="V9" s="682"/>
    </row>
    <row r="10" spans="1:22" s="672" customFormat="1" ht="42.75" x14ac:dyDescent="0.2">
      <c r="A10" s="442" t="s">
        <v>528</v>
      </c>
      <c r="B10" s="649" t="s">
        <v>529</v>
      </c>
      <c r="C10" s="440" t="s">
        <v>317</v>
      </c>
      <c r="D10" s="678">
        <v>1</v>
      </c>
      <c r="E10" s="679">
        <f>97.88*10^7*0.7/1.075</f>
        <v>637358139.53488374</v>
      </c>
      <c r="F10" s="471">
        <f>D10*E10/10^5</f>
        <v>6373.5813953488378</v>
      </c>
      <c r="G10" s="680">
        <v>0</v>
      </c>
      <c r="H10" s="681">
        <v>0</v>
      </c>
      <c r="I10" s="654" t="s">
        <v>530</v>
      </c>
      <c r="J10" s="675">
        <f>97.88*100*0.7</f>
        <v>6851.5999999999995</v>
      </c>
      <c r="K10" s="677" t="s">
        <v>531</v>
      </c>
      <c r="L10" s="442" t="s">
        <v>528</v>
      </c>
      <c r="M10" s="649" t="s">
        <v>529</v>
      </c>
      <c r="N10" s="440" t="s">
        <v>317</v>
      </c>
      <c r="O10" s="678">
        <v>1</v>
      </c>
      <c r="P10" s="679">
        <f>U10/1.075*10^5</f>
        <v>637358139.53488374</v>
      </c>
      <c r="Q10" s="471">
        <f>O10*P10/10^5</f>
        <v>6373.5813953488378</v>
      </c>
      <c r="R10" s="680">
        <v>0</v>
      </c>
      <c r="S10" s="681">
        <v>0</v>
      </c>
      <c r="T10" s="654" t="s">
        <v>530</v>
      </c>
      <c r="U10" s="675">
        <f>97.88*100*0.7</f>
        <v>6851.5999999999995</v>
      </c>
      <c r="V10" s="677" t="s">
        <v>531</v>
      </c>
    </row>
    <row r="11" spans="1:22" ht="57" x14ac:dyDescent="0.2">
      <c r="A11" s="442" t="s">
        <v>532</v>
      </c>
      <c r="B11" s="649" t="s">
        <v>526</v>
      </c>
      <c r="C11" s="440" t="s">
        <v>317</v>
      </c>
      <c r="D11" s="678">
        <v>1</v>
      </c>
      <c r="E11" s="679">
        <v>0</v>
      </c>
      <c r="F11" s="471"/>
      <c r="G11" s="644">
        <f>15630000/1.075/1.12</f>
        <v>12981727.574750829</v>
      </c>
      <c r="H11" s="436" t="e">
        <f>D11*G11*$I$4/10^5</f>
        <v>#REF!</v>
      </c>
      <c r="I11" s="654" t="s">
        <v>533</v>
      </c>
      <c r="J11" s="675" t="e">
        <f>15630000*I4/10^5</f>
        <v>#REF!</v>
      </c>
      <c r="K11" s="677" t="s">
        <v>534</v>
      </c>
      <c r="L11" s="442" t="s">
        <v>532</v>
      </c>
      <c r="M11" s="649" t="s">
        <v>526</v>
      </c>
      <c r="N11" s="440" t="s">
        <v>317</v>
      </c>
      <c r="O11" s="678">
        <v>1</v>
      </c>
      <c r="P11" s="679">
        <v>0</v>
      </c>
      <c r="Q11" s="471"/>
      <c r="R11" s="644">
        <f>15630000/1.075/1.12</f>
        <v>12981727.574750829</v>
      </c>
      <c r="S11" s="436" t="e">
        <f>O11*R11*$I$4/10^5</f>
        <v>#REF!</v>
      </c>
      <c r="T11" s="654" t="s">
        <v>533</v>
      </c>
      <c r="U11" s="675" t="e">
        <f>15630000*T4/10^5</f>
        <v>#REF!</v>
      </c>
      <c r="V11" s="677" t="s">
        <v>534</v>
      </c>
    </row>
    <row r="12" spans="1:22" ht="28.5" x14ac:dyDescent="0.2">
      <c r="A12" s="440"/>
      <c r="B12" s="471" t="s">
        <v>535</v>
      </c>
      <c r="C12" s="440"/>
      <c r="D12" s="647"/>
      <c r="E12" s="679"/>
      <c r="F12" s="471"/>
      <c r="G12" s="657"/>
      <c r="H12" s="471"/>
      <c r="I12" s="471" t="s">
        <v>536</v>
      </c>
      <c r="J12" s="683"/>
      <c r="L12" s="440"/>
      <c r="M12" s="471" t="s">
        <v>535</v>
      </c>
      <c r="N12" s="440"/>
      <c r="O12" s="647"/>
      <c r="P12" s="679"/>
      <c r="Q12" s="471"/>
      <c r="R12" s="657"/>
      <c r="S12" s="471"/>
      <c r="T12" s="471" t="s">
        <v>536</v>
      </c>
      <c r="U12" s="683"/>
    </row>
    <row r="13" spans="1:22" ht="15" x14ac:dyDescent="0.2">
      <c r="A13" s="440"/>
      <c r="B13" s="441" t="s">
        <v>537</v>
      </c>
      <c r="C13" s="440"/>
      <c r="D13" s="647"/>
      <c r="E13" s="679"/>
      <c r="F13" s="653">
        <f>F9</f>
        <v>2687.1213601719751</v>
      </c>
      <c r="G13" s="657"/>
      <c r="H13" s="471"/>
      <c r="I13" s="646"/>
      <c r="J13" s="683"/>
      <c r="L13" s="440"/>
      <c r="M13" s="441" t="s">
        <v>537</v>
      </c>
      <c r="N13" s="440"/>
      <c r="O13" s="647"/>
      <c r="P13" s="679"/>
      <c r="Q13" s="653">
        <f>Q10</f>
        <v>6373.5813953488378</v>
      </c>
      <c r="R13" s="657"/>
      <c r="S13" s="471"/>
      <c r="T13" s="646"/>
      <c r="U13" s="683"/>
    </row>
    <row r="14" spans="1:22" ht="15" x14ac:dyDescent="0.2">
      <c r="A14" s="412" t="s">
        <v>27</v>
      </c>
      <c r="B14" s="653" t="s">
        <v>23</v>
      </c>
      <c r="C14" s="440"/>
      <c r="D14" s="647"/>
      <c r="E14" s="679"/>
      <c r="F14" s="471"/>
      <c r="G14" s="657"/>
      <c r="H14" s="471"/>
      <c r="I14" s="646"/>
      <c r="J14" s="683"/>
      <c r="L14" s="440"/>
      <c r="M14" s="653" t="s">
        <v>23</v>
      </c>
      <c r="N14" s="440"/>
      <c r="O14" s="647"/>
      <c r="P14" s="679"/>
      <c r="Q14" s="471"/>
      <c r="R14" s="657"/>
      <c r="S14" s="471"/>
      <c r="T14" s="646"/>
      <c r="U14" s="683"/>
    </row>
    <row r="15" spans="1:22" ht="28.5" x14ac:dyDescent="0.2">
      <c r="A15" s="440"/>
      <c r="B15" s="471" t="s">
        <v>538</v>
      </c>
      <c r="C15" s="440"/>
      <c r="D15" s="647"/>
      <c r="E15" s="679"/>
      <c r="F15" s="653">
        <f>F13*0.03</f>
        <v>80.61364080515925</v>
      </c>
      <c r="G15" s="657"/>
      <c r="H15" s="471"/>
      <c r="I15" s="646" t="s">
        <v>539</v>
      </c>
      <c r="J15" s="683"/>
      <c r="K15" s="684" t="s">
        <v>540</v>
      </c>
      <c r="L15" s="440"/>
      <c r="M15" s="471" t="s">
        <v>538</v>
      </c>
      <c r="N15" s="440"/>
      <c r="O15" s="647"/>
      <c r="P15" s="679"/>
      <c r="Q15" s="653">
        <f>Q13*0.03</f>
        <v>191.20744186046514</v>
      </c>
      <c r="R15" s="657"/>
      <c r="S15" s="471"/>
      <c r="T15" s="646" t="s">
        <v>539</v>
      </c>
      <c r="U15" s="683"/>
      <c r="V15" s="684" t="s">
        <v>540</v>
      </c>
    </row>
    <row r="16" spans="1:22" ht="15" x14ac:dyDescent="0.2">
      <c r="A16" s="412" t="s">
        <v>28</v>
      </c>
      <c r="B16" s="653" t="s">
        <v>541</v>
      </c>
      <c r="C16" s="440"/>
      <c r="D16" s="647"/>
      <c r="E16" s="679"/>
      <c r="F16" s="471"/>
      <c r="G16" s="657"/>
      <c r="H16" s="471"/>
      <c r="I16" s="646"/>
      <c r="J16" s="683"/>
      <c r="L16" s="440"/>
      <c r="M16" s="653" t="s">
        <v>541</v>
      </c>
      <c r="N16" s="440"/>
      <c r="O16" s="647"/>
      <c r="P16" s="679"/>
      <c r="Q16" s="471"/>
      <c r="R16" s="657"/>
      <c r="S16" s="471"/>
      <c r="T16" s="646"/>
      <c r="U16" s="683"/>
    </row>
    <row r="17" spans="1:22" ht="15.75" customHeight="1" x14ac:dyDescent="0.2">
      <c r="A17" s="440"/>
      <c r="B17" s="471" t="s">
        <v>542</v>
      </c>
      <c r="C17" s="440" t="s">
        <v>325</v>
      </c>
      <c r="D17" s="647">
        <v>1</v>
      </c>
      <c r="E17" s="679">
        <f>J17/1.075/1.12*10^5/1.09</f>
        <v>137157487.27483311</v>
      </c>
      <c r="F17" s="471">
        <f>D17*E17/10^5</f>
        <v>1371.574872748331</v>
      </c>
      <c r="G17" s="657"/>
      <c r="H17" s="471"/>
      <c r="I17" s="685" t="s">
        <v>543</v>
      </c>
      <c r="J17" s="686">
        <f>J8*0.3</f>
        <v>1800</v>
      </c>
      <c r="K17" s="684" t="s">
        <v>544</v>
      </c>
      <c r="L17" s="440"/>
      <c r="M17" s="471" t="s">
        <v>542</v>
      </c>
      <c r="N17" s="440" t="s">
        <v>325</v>
      </c>
      <c r="O17" s="647">
        <v>1</v>
      </c>
      <c r="P17" s="679">
        <f>U17/1.075*10^5</f>
        <v>273153488.37209302</v>
      </c>
      <c r="Q17" s="471">
        <f>O17*P17/10^5</f>
        <v>2731.5348837209303</v>
      </c>
      <c r="R17" s="657"/>
      <c r="S17" s="471"/>
      <c r="T17" s="685" t="s">
        <v>545</v>
      </c>
      <c r="U17" s="675">
        <f>U7*0.3</f>
        <v>2936.4</v>
      </c>
      <c r="V17" s="684" t="s">
        <v>544</v>
      </c>
    </row>
    <row r="18" spans="1:22" ht="57.75" customHeight="1" x14ac:dyDescent="0.2">
      <c r="A18" s="440"/>
      <c r="B18" s="471" t="s">
        <v>546</v>
      </c>
      <c r="C18" s="440"/>
      <c r="D18" s="647"/>
      <c r="E18" s="679"/>
      <c r="F18" s="471"/>
      <c r="G18" s="657"/>
      <c r="H18" s="471"/>
      <c r="I18" s="687" t="s">
        <v>547</v>
      </c>
      <c r="J18" s="683"/>
      <c r="K18" s="684" t="s">
        <v>548</v>
      </c>
      <c r="L18" s="440"/>
      <c r="M18" s="471" t="s">
        <v>546</v>
      </c>
      <c r="N18" s="440"/>
      <c r="O18" s="647"/>
      <c r="P18" s="679"/>
      <c r="Q18" s="471"/>
      <c r="R18" s="657"/>
      <c r="S18" s="471"/>
      <c r="T18" s="687" t="s">
        <v>547</v>
      </c>
      <c r="U18" s="683"/>
      <c r="V18" s="684" t="s">
        <v>548</v>
      </c>
    </row>
    <row r="19" spans="1:22" ht="15" x14ac:dyDescent="0.2">
      <c r="A19" s="440"/>
      <c r="B19" s="441" t="s">
        <v>549</v>
      </c>
      <c r="C19" s="440"/>
      <c r="D19" s="647"/>
      <c r="E19" s="679"/>
      <c r="F19" s="653">
        <f>SUM(F17:F18)</f>
        <v>1371.574872748331</v>
      </c>
      <c r="G19" s="657"/>
      <c r="H19" s="471"/>
      <c r="I19" s="646"/>
      <c r="J19" s="683"/>
      <c r="L19" s="440"/>
      <c r="M19" s="441" t="s">
        <v>549</v>
      </c>
      <c r="N19" s="440"/>
      <c r="O19" s="647"/>
      <c r="P19" s="679"/>
      <c r="Q19" s="653">
        <f>SUM(Q17:Q18)</f>
        <v>2731.5348837209303</v>
      </c>
      <c r="R19" s="657"/>
      <c r="S19" s="471"/>
      <c r="T19" s="646"/>
      <c r="U19" s="683"/>
    </row>
    <row r="20" spans="1:22" ht="15" x14ac:dyDescent="0.2">
      <c r="A20" s="412" t="s">
        <v>109</v>
      </c>
      <c r="B20" s="446" t="s">
        <v>550</v>
      </c>
      <c r="C20" s="440"/>
      <c r="D20" s="647"/>
      <c r="E20" s="679"/>
      <c r="F20" s="471"/>
      <c r="G20" s="657"/>
      <c r="H20" s="471"/>
      <c r="I20" s="646"/>
      <c r="J20" s="683"/>
      <c r="L20" s="440"/>
      <c r="M20" s="446" t="s">
        <v>550</v>
      </c>
      <c r="N20" s="440"/>
      <c r="O20" s="647"/>
      <c r="P20" s="679"/>
      <c r="Q20" s="471"/>
      <c r="R20" s="657"/>
      <c r="S20" s="471"/>
      <c r="T20" s="646"/>
      <c r="U20" s="683"/>
    </row>
    <row r="21" spans="1:22" ht="28.5" x14ac:dyDescent="0.2">
      <c r="A21" s="440"/>
      <c r="B21" s="471" t="s">
        <v>551</v>
      </c>
      <c r="C21" s="440" t="s">
        <v>325</v>
      </c>
      <c r="D21" s="647">
        <v>1</v>
      </c>
      <c r="E21" s="679">
        <f>J21/1.075/1.2*10^5/1.09</f>
        <v>21335609.131640706</v>
      </c>
      <c r="F21" s="471">
        <f>D21*E21/10^5</f>
        <v>213.35609131640706</v>
      </c>
      <c r="G21" s="657"/>
      <c r="H21" s="471"/>
      <c r="I21" s="648" t="s">
        <v>552</v>
      </c>
      <c r="J21" s="686">
        <f>J8*0.05</f>
        <v>300</v>
      </c>
      <c r="K21" s="688" t="s">
        <v>553</v>
      </c>
      <c r="L21" s="440"/>
      <c r="M21" s="471" t="s">
        <v>551</v>
      </c>
      <c r="N21" s="440" t="s">
        <v>325</v>
      </c>
      <c r="O21" s="647">
        <f>1*0</f>
        <v>0</v>
      </c>
      <c r="P21" s="679">
        <f>U21/1.075/1.2*10^5</f>
        <v>31007751.9379845</v>
      </c>
      <c r="Q21" s="471">
        <f>O21*P21/10^5</f>
        <v>0</v>
      </c>
      <c r="R21" s="657"/>
      <c r="S21" s="471"/>
      <c r="T21" s="648" t="s">
        <v>552</v>
      </c>
      <c r="U21" s="686">
        <f>U8*0.05</f>
        <v>400</v>
      </c>
      <c r="V21" s="688" t="s">
        <v>553</v>
      </c>
    </row>
    <row r="22" spans="1:22" ht="42.75" x14ac:dyDescent="0.2">
      <c r="A22" s="440"/>
      <c r="B22" s="471" t="s">
        <v>554</v>
      </c>
      <c r="C22" s="440" t="s">
        <v>15</v>
      </c>
      <c r="D22" s="647">
        <f>700*0</f>
        <v>0</v>
      </c>
      <c r="E22" s="679">
        <v>100000</v>
      </c>
      <c r="F22" s="471">
        <f>D22*E22/10^5</f>
        <v>0</v>
      </c>
      <c r="G22" s="657"/>
      <c r="H22" s="471"/>
      <c r="I22" s="685" t="s">
        <v>555</v>
      </c>
      <c r="J22" s="683"/>
      <c r="K22" s="688" t="s">
        <v>556</v>
      </c>
      <c r="L22" s="440"/>
      <c r="M22" s="471" t="s">
        <v>554</v>
      </c>
      <c r="N22" s="440" t="s">
        <v>15</v>
      </c>
      <c r="O22" s="647">
        <v>700</v>
      </c>
      <c r="P22" s="679">
        <v>100000</v>
      </c>
      <c r="Q22" s="471">
        <f>O22*P22/10^5</f>
        <v>700</v>
      </c>
      <c r="R22" s="657"/>
      <c r="S22" s="471"/>
      <c r="T22" s="685" t="s">
        <v>555</v>
      </c>
      <c r="U22" s="683"/>
      <c r="V22" s="688" t="s">
        <v>556</v>
      </c>
    </row>
    <row r="23" spans="1:22" ht="15" x14ac:dyDescent="0.2">
      <c r="A23" s="440"/>
      <c r="B23" s="441" t="s">
        <v>557</v>
      </c>
      <c r="C23" s="440"/>
      <c r="D23" s="647"/>
      <c r="E23" s="679"/>
      <c r="F23" s="653">
        <f>SUM(F21:F22)</f>
        <v>213.35609131640706</v>
      </c>
      <c r="G23" s="657"/>
      <c r="H23" s="471"/>
      <c r="I23" s="646"/>
      <c r="J23" s="683"/>
      <c r="L23" s="440"/>
      <c r="M23" s="441" t="s">
        <v>557</v>
      </c>
      <c r="N23" s="440"/>
      <c r="O23" s="647"/>
      <c r="P23" s="679"/>
      <c r="Q23" s="653">
        <f>SUM(Q21:Q22)</f>
        <v>700</v>
      </c>
      <c r="R23" s="657"/>
      <c r="S23" s="471"/>
      <c r="T23" s="646"/>
      <c r="U23" s="683"/>
    </row>
    <row r="24" spans="1:22" ht="28.5" x14ac:dyDescent="0.2">
      <c r="A24" s="440"/>
      <c r="B24" s="471" t="s">
        <v>558</v>
      </c>
      <c r="C24" s="440" t="s">
        <v>325</v>
      </c>
      <c r="D24" s="647">
        <v>1</v>
      </c>
      <c r="E24" s="679">
        <f>J24/1.075/1.2*10^5/1.09</f>
        <v>21335609.131640706</v>
      </c>
      <c r="F24" s="471">
        <f>D24*E24/10^5</f>
        <v>213.35609131640706</v>
      </c>
      <c r="G24" s="657"/>
      <c r="H24" s="471"/>
      <c r="I24" s="648" t="s">
        <v>552</v>
      </c>
      <c r="J24" s="683">
        <f>J8*0.05</f>
        <v>300</v>
      </c>
      <c r="K24" s="688" t="s">
        <v>553</v>
      </c>
      <c r="L24" s="440"/>
      <c r="M24" s="471" t="s">
        <v>558</v>
      </c>
      <c r="N24" s="440" t="s">
        <v>325</v>
      </c>
      <c r="O24" s="647">
        <f>1*0</f>
        <v>0</v>
      </c>
      <c r="P24" s="679">
        <f>U24/1.075/1.2*10^5</f>
        <v>31007751.9379845</v>
      </c>
      <c r="Q24" s="471">
        <f>O24*P24/10^5</f>
        <v>0</v>
      </c>
      <c r="R24" s="657"/>
      <c r="S24" s="471"/>
      <c r="T24" s="648" t="s">
        <v>552</v>
      </c>
      <c r="U24" s="683">
        <f>U8*0.05</f>
        <v>400</v>
      </c>
      <c r="V24" s="688" t="s">
        <v>553</v>
      </c>
    </row>
    <row r="25" spans="1:22" ht="42.75" x14ac:dyDescent="0.2">
      <c r="A25" s="440"/>
      <c r="B25" s="471" t="s">
        <v>559</v>
      </c>
      <c r="C25" s="440" t="s">
        <v>15</v>
      </c>
      <c r="D25" s="647">
        <f>150*0</f>
        <v>0</v>
      </c>
      <c r="E25" s="679">
        <v>85000</v>
      </c>
      <c r="F25" s="471">
        <f>D25*E25/10^5</f>
        <v>0</v>
      </c>
      <c r="G25" s="657"/>
      <c r="H25" s="471"/>
      <c r="I25" s="689" t="s">
        <v>560</v>
      </c>
      <c r="J25" s="683"/>
      <c r="K25" s="688" t="s">
        <v>556</v>
      </c>
      <c r="L25" s="440"/>
      <c r="M25" s="471" t="s">
        <v>559</v>
      </c>
      <c r="N25" s="440" t="s">
        <v>15</v>
      </c>
      <c r="O25" s="647">
        <v>150</v>
      </c>
      <c r="P25" s="679">
        <v>85000</v>
      </c>
      <c r="Q25" s="471">
        <f>O25*P25/10^5</f>
        <v>127.5</v>
      </c>
      <c r="R25" s="657"/>
      <c r="S25" s="471"/>
      <c r="T25" s="689" t="s">
        <v>560</v>
      </c>
      <c r="U25" s="683"/>
      <c r="V25" s="688" t="s">
        <v>556</v>
      </c>
    </row>
    <row r="26" spans="1:22" ht="15" x14ac:dyDescent="0.2">
      <c r="A26" s="440"/>
      <c r="B26" s="441" t="s">
        <v>561</v>
      </c>
      <c r="C26" s="440"/>
      <c r="D26" s="647"/>
      <c r="E26" s="679"/>
      <c r="F26" s="653">
        <f>SUM(F24:F25)</f>
        <v>213.35609131640706</v>
      </c>
      <c r="G26" s="657"/>
      <c r="H26" s="471"/>
      <c r="I26" s="646"/>
      <c r="J26" s="683"/>
      <c r="L26" s="440"/>
      <c r="M26" s="441" t="s">
        <v>561</v>
      </c>
      <c r="N26" s="440"/>
      <c r="O26" s="647"/>
      <c r="P26" s="679"/>
      <c r="Q26" s="653">
        <f>SUM(Q24:Q25)</f>
        <v>127.5</v>
      </c>
      <c r="R26" s="657"/>
      <c r="S26" s="471"/>
      <c r="T26" s="646"/>
      <c r="U26" s="683"/>
    </row>
    <row r="27" spans="1:22" ht="15" x14ac:dyDescent="0.2">
      <c r="A27" s="412" t="s">
        <v>111</v>
      </c>
      <c r="B27" s="653" t="s">
        <v>490</v>
      </c>
      <c r="C27" s="440"/>
      <c r="D27" s="647"/>
      <c r="E27" s="679"/>
      <c r="F27" s="471"/>
      <c r="G27" s="657"/>
      <c r="H27" s="471"/>
      <c r="I27" s="646"/>
      <c r="J27" s="683"/>
      <c r="L27" s="440"/>
      <c r="M27" s="471" t="s">
        <v>490</v>
      </c>
      <c r="N27" s="440"/>
      <c r="O27" s="647"/>
      <c r="P27" s="679"/>
      <c r="Q27" s="471"/>
      <c r="R27" s="657"/>
      <c r="S27" s="471"/>
      <c r="T27" s="646"/>
      <c r="U27" s="683"/>
    </row>
    <row r="28" spans="1:22" ht="28.5" x14ac:dyDescent="0.2">
      <c r="A28" s="440"/>
      <c r="B28" s="471" t="s">
        <v>562</v>
      </c>
      <c r="C28" s="440" t="s">
        <v>325</v>
      </c>
      <c r="D28" s="647">
        <v>1</v>
      </c>
      <c r="E28" s="679">
        <f>J28/1.075*10^5</f>
        <v>13953488.372093022</v>
      </c>
      <c r="F28" s="471">
        <f>D28*E28/10^5</f>
        <v>139.53488372093022</v>
      </c>
      <c r="G28" s="657"/>
      <c r="H28" s="471"/>
      <c r="I28" s="648" t="s">
        <v>641</v>
      </c>
      <c r="J28" s="683">
        <f>J8*0.025</f>
        <v>150</v>
      </c>
      <c r="K28" s="688" t="s">
        <v>553</v>
      </c>
      <c r="L28" s="440"/>
      <c r="M28" s="471" t="s">
        <v>562</v>
      </c>
      <c r="N28" s="440" t="s">
        <v>325</v>
      </c>
      <c r="O28" s="647">
        <f>1*0</f>
        <v>0</v>
      </c>
      <c r="P28" s="679">
        <f>U28/1.075*10^5</f>
        <v>37209302.325581402</v>
      </c>
      <c r="Q28" s="471">
        <f>O28*P28/10^5</f>
        <v>0</v>
      </c>
      <c r="R28" s="657"/>
      <c r="S28" s="471"/>
      <c r="T28" s="648" t="s">
        <v>563</v>
      </c>
      <c r="U28" s="683">
        <f>U8*0.05</f>
        <v>400</v>
      </c>
      <c r="V28" s="688" t="s">
        <v>553</v>
      </c>
    </row>
    <row r="29" spans="1:22" ht="42.75" x14ac:dyDescent="0.2">
      <c r="A29" s="440"/>
      <c r="B29" s="471" t="s">
        <v>564</v>
      </c>
      <c r="C29" s="440"/>
      <c r="D29" s="647"/>
      <c r="E29" s="679"/>
      <c r="F29" s="471"/>
      <c r="G29" s="657"/>
      <c r="H29" s="471"/>
      <c r="I29" s="685" t="s">
        <v>565</v>
      </c>
      <c r="J29" s="683"/>
      <c r="K29" s="688" t="s">
        <v>556</v>
      </c>
      <c r="L29" s="440"/>
      <c r="M29" s="471" t="s">
        <v>564</v>
      </c>
      <c r="N29" s="440"/>
      <c r="O29" s="647"/>
      <c r="P29" s="679"/>
      <c r="Q29" s="471"/>
      <c r="R29" s="657"/>
      <c r="S29" s="471"/>
      <c r="T29" s="685" t="s">
        <v>565</v>
      </c>
      <c r="U29" s="683"/>
      <c r="V29" s="688" t="s">
        <v>556</v>
      </c>
    </row>
    <row r="30" spans="1:22" ht="16.5" x14ac:dyDescent="0.2">
      <c r="A30" s="718"/>
      <c r="B30" s="719" t="s">
        <v>326</v>
      </c>
      <c r="C30" s="720" t="s">
        <v>566</v>
      </c>
      <c r="D30" s="721">
        <f>20*0</f>
        <v>0</v>
      </c>
      <c r="E30" s="722">
        <f>(205.45+253.95*0.9)/1.15</f>
        <v>377.39565217391305</v>
      </c>
      <c r="F30" s="719">
        <f>D30*E30/10^5</f>
        <v>0</v>
      </c>
      <c r="G30" s="723"/>
      <c r="H30" s="724"/>
      <c r="I30" s="720" t="s">
        <v>567</v>
      </c>
      <c r="J30" s="683"/>
      <c r="L30" s="440"/>
      <c r="M30" s="436" t="s">
        <v>326</v>
      </c>
      <c r="N30" s="472" t="s">
        <v>566</v>
      </c>
      <c r="O30" s="645">
        <v>20</v>
      </c>
      <c r="P30" s="518">
        <f>(205.45+253.95*0.9)/1.15</f>
        <v>377.39565217391305</v>
      </c>
      <c r="Q30" s="436">
        <f>O30*P30/10^5</f>
        <v>7.5479130434782604E-2</v>
      </c>
      <c r="R30" s="657"/>
      <c r="S30" s="471"/>
      <c r="T30" s="472" t="s">
        <v>567</v>
      </c>
      <c r="U30" s="683"/>
    </row>
    <row r="31" spans="1:22" ht="16.5" x14ac:dyDescent="0.2">
      <c r="A31" s="718"/>
      <c r="B31" s="719" t="s">
        <v>568</v>
      </c>
      <c r="C31" s="720" t="s">
        <v>566</v>
      </c>
      <c r="D31" s="721">
        <f>1*0</f>
        <v>0</v>
      </c>
      <c r="E31" s="722">
        <f>(6670.25+307.95)/1.15</f>
        <v>6068</v>
      </c>
      <c r="F31" s="719">
        <f t="shared" ref="F31:F45" si="0">D31*E31/10^5</f>
        <v>0</v>
      </c>
      <c r="G31" s="723"/>
      <c r="H31" s="724"/>
      <c r="I31" s="720" t="s">
        <v>569</v>
      </c>
      <c r="J31" s="683"/>
      <c r="L31" s="440"/>
      <c r="M31" s="436" t="s">
        <v>568</v>
      </c>
      <c r="N31" s="472" t="s">
        <v>566</v>
      </c>
      <c r="O31" s="645">
        <v>1</v>
      </c>
      <c r="P31" s="518">
        <f>(6670.25+307.95)/1.15</f>
        <v>6068</v>
      </c>
      <c r="Q31" s="436">
        <f t="shared" ref="Q31:Q45" si="1">O31*P31/10^5</f>
        <v>6.0679999999999998E-2</v>
      </c>
      <c r="R31" s="657"/>
      <c r="S31" s="471"/>
      <c r="T31" s="472" t="s">
        <v>569</v>
      </c>
      <c r="U31" s="683"/>
    </row>
    <row r="32" spans="1:22" ht="16.5" x14ac:dyDescent="0.2">
      <c r="A32" s="718"/>
      <c r="B32" s="719" t="s">
        <v>570</v>
      </c>
      <c r="C32" s="720" t="s">
        <v>566</v>
      </c>
      <c r="D32" s="721">
        <f>5*0</f>
        <v>0</v>
      </c>
      <c r="E32" s="722">
        <f>(7997.3*0.39+10080.15*0.61+5*307.95)/1.15</f>
        <v>9397.9030434782617</v>
      </c>
      <c r="F32" s="719">
        <f t="shared" si="0"/>
        <v>0</v>
      </c>
      <c r="G32" s="723"/>
      <c r="H32" s="724"/>
      <c r="I32" s="718" t="s">
        <v>571</v>
      </c>
      <c r="J32" s="683"/>
      <c r="L32" s="440"/>
      <c r="M32" s="436" t="s">
        <v>570</v>
      </c>
      <c r="N32" s="472" t="s">
        <v>566</v>
      </c>
      <c r="O32" s="645">
        <v>5</v>
      </c>
      <c r="P32" s="518">
        <f>(7997.3*0.39+10080.15*0.61+5*307.95)/1.15</f>
        <v>9397.9030434782617</v>
      </c>
      <c r="Q32" s="436">
        <f t="shared" si="1"/>
        <v>0.46989515217391309</v>
      </c>
      <c r="R32" s="657"/>
      <c r="S32" s="471"/>
      <c r="T32" s="440" t="s">
        <v>571</v>
      </c>
      <c r="U32" s="683"/>
    </row>
    <row r="33" spans="1:22" x14ac:dyDescent="0.2">
      <c r="A33" s="718"/>
      <c r="B33" s="719" t="s">
        <v>491</v>
      </c>
      <c r="C33" s="720" t="s">
        <v>15</v>
      </c>
      <c r="D33" s="721">
        <f>1*0</f>
        <v>0</v>
      </c>
      <c r="E33" s="722">
        <f>89.65/1.15*1000</f>
        <v>77956.521739130447</v>
      </c>
      <c r="F33" s="719">
        <f t="shared" si="0"/>
        <v>0</v>
      </c>
      <c r="G33" s="723"/>
      <c r="H33" s="724"/>
      <c r="I33" s="718" t="s">
        <v>572</v>
      </c>
      <c r="J33" s="683"/>
      <c r="L33" s="440"/>
      <c r="M33" s="436" t="s">
        <v>491</v>
      </c>
      <c r="N33" s="472" t="s">
        <v>15</v>
      </c>
      <c r="O33" s="645">
        <v>1</v>
      </c>
      <c r="P33" s="518">
        <f>89.65/1.15*1000</f>
        <v>77956.521739130447</v>
      </c>
      <c r="Q33" s="436">
        <f t="shared" si="1"/>
        <v>0.77956521739130447</v>
      </c>
      <c r="R33" s="657"/>
      <c r="S33" s="471"/>
      <c r="T33" s="440" t="s">
        <v>572</v>
      </c>
      <c r="U33" s="683"/>
    </row>
    <row r="34" spans="1:22" x14ac:dyDescent="0.2">
      <c r="A34" s="718"/>
      <c r="B34" s="719" t="s">
        <v>573</v>
      </c>
      <c r="C34" s="720" t="s">
        <v>15</v>
      </c>
      <c r="D34" s="721">
        <f>1*0</f>
        <v>0</v>
      </c>
      <c r="E34" s="722">
        <v>80000</v>
      </c>
      <c r="F34" s="719">
        <f t="shared" si="0"/>
        <v>0</v>
      </c>
      <c r="G34" s="723"/>
      <c r="H34" s="724"/>
      <c r="I34" s="720">
        <v>10.1</v>
      </c>
      <c r="J34" s="683"/>
      <c r="L34" s="440"/>
      <c r="M34" s="436" t="s">
        <v>573</v>
      </c>
      <c r="N34" s="472" t="s">
        <v>15</v>
      </c>
      <c r="O34" s="645">
        <v>1</v>
      </c>
      <c r="P34" s="518">
        <v>80000</v>
      </c>
      <c r="Q34" s="436">
        <f t="shared" si="1"/>
        <v>0.8</v>
      </c>
      <c r="R34" s="657"/>
      <c r="S34" s="471"/>
      <c r="T34" s="472">
        <v>10.1</v>
      </c>
      <c r="U34" s="683"/>
    </row>
    <row r="35" spans="1:22" ht="29.25" customHeight="1" x14ac:dyDescent="0.2">
      <c r="A35" s="718"/>
      <c r="B35" s="719" t="s">
        <v>574</v>
      </c>
      <c r="C35" s="720" t="s">
        <v>575</v>
      </c>
      <c r="D35" s="720"/>
      <c r="E35" s="722">
        <f>898.2/1.15</f>
        <v>781.04347826086962</v>
      </c>
      <c r="F35" s="719">
        <f t="shared" si="0"/>
        <v>0</v>
      </c>
      <c r="G35" s="723"/>
      <c r="H35" s="724"/>
      <c r="I35" s="720" t="s">
        <v>576</v>
      </c>
      <c r="J35" s="683"/>
      <c r="L35" s="440"/>
      <c r="M35" s="436" t="s">
        <v>574</v>
      </c>
      <c r="N35" s="472" t="s">
        <v>575</v>
      </c>
      <c r="O35" s="472"/>
      <c r="P35" s="518">
        <f>898.2/1.15</f>
        <v>781.04347826086962</v>
      </c>
      <c r="Q35" s="436">
        <f t="shared" si="1"/>
        <v>0</v>
      </c>
      <c r="R35" s="657"/>
      <c r="S35" s="471"/>
      <c r="T35" s="472" t="s">
        <v>576</v>
      </c>
      <c r="U35" s="683"/>
    </row>
    <row r="36" spans="1:22" ht="16.5" x14ac:dyDescent="0.2">
      <c r="A36" s="718"/>
      <c r="B36" s="719" t="s">
        <v>577</v>
      </c>
      <c r="C36" s="720" t="s">
        <v>566</v>
      </c>
      <c r="D36" s="720"/>
      <c r="E36" s="722">
        <f>821.95/0.225/1.15</f>
        <v>3176.6183574879233</v>
      </c>
      <c r="F36" s="719">
        <f t="shared" si="0"/>
        <v>0</v>
      </c>
      <c r="G36" s="723"/>
      <c r="H36" s="724"/>
      <c r="I36" s="720" t="s">
        <v>578</v>
      </c>
      <c r="J36" s="683"/>
      <c r="L36" s="440"/>
      <c r="M36" s="436" t="s">
        <v>577</v>
      </c>
      <c r="N36" s="472" t="s">
        <v>566</v>
      </c>
      <c r="O36" s="472"/>
      <c r="P36" s="518">
        <f>821.95/0.225/1.15</f>
        <v>3176.6183574879233</v>
      </c>
      <c r="Q36" s="436">
        <f t="shared" si="1"/>
        <v>0</v>
      </c>
      <c r="R36" s="657"/>
      <c r="S36" s="471"/>
      <c r="T36" s="472" t="s">
        <v>578</v>
      </c>
      <c r="U36" s="683"/>
    </row>
    <row r="37" spans="1:22" ht="16.5" x14ac:dyDescent="0.2">
      <c r="A37" s="718"/>
      <c r="B37" s="719" t="s">
        <v>579</v>
      </c>
      <c r="C37" s="720" t="s">
        <v>566</v>
      </c>
      <c r="D37" s="720"/>
      <c r="E37" s="722">
        <f>8288.35/1.15</f>
        <v>7207.2608695652179</v>
      </c>
      <c r="F37" s="719">
        <f t="shared" si="0"/>
        <v>0</v>
      </c>
      <c r="G37" s="723"/>
      <c r="H37" s="724"/>
      <c r="I37" s="720" t="s">
        <v>580</v>
      </c>
      <c r="J37" s="683"/>
      <c r="L37" s="440"/>
      <c r="M37" s="436" t="s">
        <v>579</v>
      </c>
      <c r="N37" s="472" t="s">
        <v>566</v>
      </c>
      <c r="O37" s="472"/>
      <c r="P37" s="518">
        <f>8288.35/1.15</f>
        <v>7207.2608695652179</v>
      </c>
      <c r="Q37" s="436">
        <f t="shared" si="1"/>
        <v>0</v>
      </c>
      <c r="R37" s="657"/>
      <c r="S37" s="471"/>
      <c r="T37" s="472" t="s">
        <v>580</v>
      </c>
      <c r="U37" s="683"/>
    </row>
    <row r="38" spans="1:22" ht="16.5" x14ac:dyDescent="0.2">
      <c r="A38" s="718"/>
      <c r="B38" s="719" t="s">
        <v>581</v>
      </c>
      <c r="C38" s="720" t="s">
        <v>575</v>
      </c>
      <c r="D38" s="720"/>
      <c r="E38" s="722">
        <f>382.1/1.15</f>
        <v>332.26086956521743</v>
      </c>
      <c r="F38" s="719">
        <f t="shared" si="0"/>
        <v>0</v>
      </c>
      <c r="G38" s="723"/>
      <c r="H38" s="724"/>
      <c r="I38" s="720" t="s">
        <v>582</v>
      </c>
      <c r="J38" s="683"/>
      <c r="L38" s="440"/>
      <c r="M38" s="436" t="s">
        <v>581</v>
      </c>
      <c r="N38" s="472" t="s">
        <v>575</v>
      </c>
      <c r="O38" s="472"/>
      <c r="P38" s="518">
        <f>382.1/1.15</f>
        <v>332.26086956521743</v>
      </c>
      <c r="Q38" s="436">
        <f t="shared" si="1"/>
        <v>0</v>
      </c>
      <c r="R38" s="657"/>
      <c r="S38" s="471"/>
      <c r="T38" s="472" t="s">
        <v>582</v>
      </c>
      <c r="U38" s="683"/>
    </row>
    <row r="39" spans="1:22" ht="16.5" x14ac:dyDescent="0.2">
      <c r="A39" s="718"/>
      <c r="B39" s="719" t="s">
        <v>583</v>
      </c>
      <c r="C39" s="720" t="s">
        <v>575</v>
      </c>
      <c r="D39" s="720"/>
      <c r="E39" s="722">
        <f>324.3/1.15</f>
        <v>282.00000000000006</v>
      </c>
      <c r="F39" s="719">
        <f t="shared" si="0"/>
        <v>0</v>
      </c>
      <c r="G39" s="723"/>
      <c r="H39" s="724"/>
      <c r="I39" s="720" t="s">
        <v>584</v>
      </c>
      <c r="J39" s="683"/>
      <c r="L39" s="440"/>
      <c r="M39" s="436" t="s">
        <v>583</v>
      </c>
      <c r="N39" s="472" t="s">
        <v>575</v>
      </c>
      <c r="O39" s="472"/>
      <c r="P39" s="518">
        <f>324.3/1.15</f>
        <v>282.00000000000006</v>
      </c>
      <c r="Q39" s="436">
        <f t="shared" si="1"/>
        <v>0</v>
      </c>
      <c r="R39" s="657"/>
      <c r="S39" s="471"/>
      <c r="T39" s="472" t="s">
        <v>584</v>
      </c>
      <c r="U39" s="683"/>
    </row>
    <row r="40" spans="1:22" ht="16.5" x14ac:dyDescent="0.2">
      <c r="A40" s="718"/>
      <c r="B40" s="719" t="s">
        <v>585</v>
      </c>
      <c r="C40" s="720" t="s">
        <v>575</v>
      </c>
      <c r="D40" s="720"/>
      <c r="E40" s="722">
        <f>253.05/1.15</f>
        <v>220.04347826086959</v>
      </c>
      <c r="F40" s="719">
        <f t="shared" si="0"/>
        <v>0</v>
      </c>
      <c r="G40" s="723"/>
      <c r="H40" s="724"/>
      <c r="I40" s="720" t="s">
        <v>327</v>
      </c>
      <c r="J40" s="683"/>
      <c r="L40" s="440"/>
      <c r="M40" s="436" t="s">
        <v>585</v>
      </c>
      <c r="N40" s="472" t="s">
        <v>575</v>
      </c>
      <c r="O40" s="472"/>
      <c r="P40" s="518">
        <f>253.05/1.15</f>
        <v>220.04347826086959</v>
      </c>
      <c r="Q40" s="436">
        <f t="shared" si="1"/>
        <v>0</v>
      </c>
      <c r="R40" s="657"/>
      <c r="S40" s="471"/>
      <c r="T40" s="472" t="s">
        <v>327</v>
      </c>
      <c r="U40" s="683"/>
    </row>
    <row r="41" spans="1:22" ht="16.5" x14ac:dyDescent="0.2">
      <c r="A41" s="718"/>
      <c r="B41" s="719" t="s">
        <v>586</v>
      </c>
      <c r="C41" s="720" t="s">
        <v>575</v>
      </c>
      <c r="D41" s="720"/>
      <c r="E41" s="722">
        <f>563.5*4/3/1.15</f>
        <v>653.33333333333337</v>
      </c>
      <c r="F41" s="719">
        <f t="shared" si="0"/>
        <v>0</v>
      </c>
      <c r="G41" s="723"/>
      <c r="H41" s="724"/>
      <c r="I41" s="720" t="s">
        <v>587</v>
      </c>
      <c r="J41" s="683"/>
      <c r="L41" s="440"/>
      <c r="M41" s="436" t="s">
        <v>586</v>
      </c>
      <c r="N41" s="472" t="s">
        <v>575</v>
      </c>
      <c r="O41" s="472"/>
      <c r="P41" s="518">
        <f>563.5*4/3/1.15</f>
        <v>653.33333333333337</v>
      </c>
      <c r="Q41" s="436">
        <f t="shared" si="1"/>
        <v>0</v>
      </c>
      <c r="R41" s="657"/>
      <c r="S41" s="471"/>
      <c r="T41" s="472" t="s">
        <v>587</v>
      </c>
      <c r="U41" s="683"/>
    </row>
    <row r="42" spans="1:22" ht="16.5" x14ac:dyDescent="0.2">
      <c r="A42" s="718"/>
      <c r="B42" s="719" t="s">
        <v>588</v>
      </c>
      <c r="C42" s="720" t="s">
        <v>575</v>
      </c>
      <c r="D42" s="720"/>
      <c r="E42" s="722">
        <f>4781.15/1.15</f>
        <v>4157.521739130435</v>
      </c>
      <c r="F42" s="719">
        <f t="shared" si="0"/>
        <v>0</v>
      </c>
      <c r="G42" s="723"/>
      <c r="H42" s="724"/>
      <c r="I42" s="720" t="s">
        <v>589</v>
      </c>
      <c r="J42" s="683"/>
      <c r="L42" s="440"/>
      <c r="M42" s="436" t="s">
        <v>588</v>
      </c>
      <c r="N42" s="472" t="s">
        <v>575</v>
      </c>
      <c r="O42" s="472"/>
      <c r="P42" s="518">
        <f>4781.15/1.15</f>
        <v>4157.521739130435</v>
      </c>
      <c r="Q42" s="436">
        <f t="shared" si="1"/>
        <v>0</v>
      </c>
      <c r="R42" s="657"/>
      <c r="S42" s="471"/>
      <c r="T42" s="472" t="s">
        <v>589</v>
      </c>
      <c r="U42" s="683"/>
    </row>
    <row r="43" spans="1:22" ht="16.5" x14ac:dyDescent="0.2">
      <c r="A43" s="718"/>
      <c r="B43" s="719" t="s">
        <v>590</v>
      </c>
      <c r="C43" s="720" t="s">
        <v>575</v>
      </c>
      <c r="D43" s="720"/>
      <c r="E43" s="722">
        <f>166.85/1.15</f>
        <v>145.08695652173913</v>
      </c>
      <c r="F43" s="719">
        <f t="shared" si="0"/>
        <v>0</v>
      </c>
      <c r="G43" s="723"/>
      <c r="H43" s="724"/>
      <c r="I43" s="720" t="s">
        <v>591</v>
      </c>
      <c r="J43" s="683"/>
      <c r="L43" s="440"/>
      <c r="M43" s="436" t="s">
        <v>590</v>
      </c>
      <c r="N43" s="472" t="s">
        <v>575</v>
      </c>
      <c r="O43" s="472"/>
      <c r="P43" s="518">
        <f>166.85/1.15</f>
        <v>145.08695652173913</v>
      </c>
      <c r="Q43" s="436">
        <f t="shared" si="1"/>
        <v>0</v>
      </c>
      <c r="R43" s="657"/>
      <c r="S43" s="471"/>
      <c r="T43" s="472" t="s">
        <v>591</v>
      </c>
      <c r="U43" s="683"/>
    </row>
    <row r="44" spans="1:22" ht="16.5" x14ac:dyDescent="0.2">
      <c r="A44" s="718"/>
      <c r="B44" s="719" t="s">
        <v>592</v>
      </c>
      <c r="C44" s="720" t="s">
        <v>575</v>
      </c>
      <c r="D44" s="720"/>
      <c r="E44" s="722">
        <f>137.85/1.15</f>
        <v>119.86956521739131</v>
      </c>
      <c r="F44" s="719">
        <f t="shared" si="0"/>
        <v>0</v>
      </c>
      <c r="G44" s="723"/>
      <c r="H44" s="724"/>
      <c r="I44" s="720" t="s">
        <v>328</v>
      </c>
      <c r="J44" s="683"/>
      <c r="L44" s="440"/>
      <c r="M44" s="436" t="s">
        <v>592</v>
      </c>
      <c r="N44" s="472" t="s">
        <v>575</v>
      </c>
      <c r="O44" s="472"/>
      <c r="P44" s="518">
        <f>137.85/1.15</f>
        <v>119.86956521739131</v>
      </c>
      <c r="Q44" s="436">
        <f t="shared" si="1"/>
        <v>0</v>
      </c>
      <c r="R44" s="657"/>
      <c r="S44" s="471"/>
      <c r="T44" s="472" t="s">
        <v>328</v>
      </c>
      <c r="U44" s="683"/>
    </row>
    <row r="45" spans="1:22" ht="16.5" x14ac:dyDescent="0.2">
      <c r="A45" s="718"/>
      <c r="B45" s="719" t="s">
        <v>593</v>
      </c>
      <c r="C45" s="720" t="s">
        <v>575</v>
      </c>
      <c r="D45" s="720"/>
      <c r="E45" s="722">
        <f>545/1.15</f>
        <v>473.91304347826093</v>
      </c>
      <c r="F45" s="719">
        <f t="shared" si="0"/>
        <v>0</v>
      </c>
      <c r="G45" s="723"/>
      <c r="H45" s="724"/>
      <c r="I45" s="720" t="s">
        <v>329</v>
      </c>
      <c r="J45" s="683"/>
      <c r="L45" s="440"/>
      <c r="M45" s="436" t="s">
        <v>593</v>
      </c>
      <c r="N45" s="472" t="s">
        <v>575</v>
      </c>
      <c r="O45" s="472"/>
      <c r="P45" s="518">
        <f>545/1.15</f>
        <v>473.91304347826093</v>
      </c>
      <c r="Q45" s="436">
        <f t="shared" si="1"/>
        <v>0</v>
      </c>
      <c r="R45" s="657"/>
      <c r="S45" s="471"/>
      <c r="T45" s="472" t="s">
        <v>329</v>
      </c>
      <c r="U45" s="683"/>
    </row>
    <row r="46" spans="1:22" ht="15" x14ac:dyDescent="0.2">
      <c r="A46" s="718"/>
      <c r="B46" s="725" t="s">
        <v>492</v>
      </c>
      <c r="C46" s="718"/>
      <c r="D46" s="726"/>
      <c r="E46" s="727"/>
      <c r="F46" s="728">
        <f>SUM(F28:F45)</f>
        <v>139.53488372093022</v>
      </c>
      <c r="G46" s="723"/>
      <c r="H46" s="724"/>
      <c r="I46" s="729"/>
      <c r="J46" s="683"/>
      <c r="L46" s="440"/>
      <c r="M46" s="441" t="s">
        <v>492</v>
      </c>
      <c r="N46" s="440"/>
      <c r="O46" s="647"/>
      <c r="P46" s="679"/>
      <c r="Q46" s="653">
        <f>SUM(Q28:Q45)</f>
        <v>2.1856195000000005</v>
      </c>
      <c r="R46" s="657"/>
      <c r="S46" s="471"/>
      <c r="T46" s="685"/>
      <c r="U46" s="683"/>
    </row>
    <row r="47" spans="1:22" x14ac:dyDescent="0.2">
      <c r="A47" s="440"/>
      <c r="B47" s="471"/>
      <c r="C47" s="440"/>
      <c r="D47" s="647"/>
      <c r="E47" s="679"/>
      <c r="F47" s="471"/>
      <c r="G47" s="657"/>
      <c r="H47" s="471"/>
      <c r="I47" s="646"/>
      <c r="J47" s="683"/>
      <c r="L47" s="440"/>
      <c r="M47" s="471"/>
      <c r="N47" s="440"/>
      <c r="O47" s="647"/>
      <c r="P47" s="679"/>
      <c r="Q47" s="471"/>
      <c r="R47" s="657"/>
      <c r="S47" s="471"/>
      <c r="T47" s="646"/>
      <c r="U47" s="683"/>
    </row>
    <row r="48" spans="1:22" ht="28.5" x14ac:dyDescent="0.2">
      <c r="A48" s="440"/>
      <c r="B48" s="471" t="s">
        <v>594</v>
      </c>
      <c r="C48" s="440" t="s">
        <v>325</v>
      </c>
      <c r="D48" s="647">
        <v>1</v>
      </c>
      <c r="E48" s="679">
        <f>J48/1.075*10^5</f>
        <v>13953488.372093022</v>
      </c>
      <c r="F48" s="471">
        <f>D48*E48/10^5</f>
        <v>139.53488372093022</v>
      </c>
      <c r="G48" s="657"/>
      <c r="H48" s="471"/>
      <c r="I48" s="648" t="s">
        <v>641</v>
      </c>
      <c r="J48" s="683">
        <f>J8*0.025</f>
        <v>150</v>
      </c>
      <c r="K48" s="688" t="s">
        <v>553</v>
      </c>
      <c r="L48" s="440"/>
      <c r="M48" s="471" t="s">
        <v>594</v>
      </c>
      <c r="N48" s="440" t="s">
        <v>325</v>
      </c>
      <c r="O48" s="647">
        <f>1*0</f>
        <v>0</v>
      </c>
      <c r="P48" s="679">
        <f>U48/1.075*10^5</f>
        <v>37209302.325581402</v>
      </c>
      <c r="Q48" s="471">
        <f>O48*P48/10^5</f>
        <v>0</v>
      </c>
      <c r="R48" s="657"/>
      <c r="S48" s="471"/>
      <c r="T48" s="648" t="s">
        <v>563</v>
      </c>
      <c r="U48" s="683">
        <f>U8*0.05</f>
        <v>400</v>
      </c>
      <c r="V48" s="688" t="s">
        <v>553</v>
      </c>
    </row>
    <row r="49" spans="1:22" ht="42.75" x14ac:dyDescent="0.2">
      <c r="A49" s="440"/>
      <c r="B49" s="471" t="s">
        <v>595</v>
      </c>
      <c r="C49" s="440"/>
      <c r="D49" s="647"/>
      <c r="E49" s="679"/>
      <c r="F49" s="471"/>
      <c r="G49" s="657"/>
      <c r="H49" s="471"/>
      <c r="I49" s="687" t="s">
        <v>565</v>
      </c>
      <c r="J49" s="683"/>
      <c r="K49" s="688" t="s">
        <v>556</v>
      </c>
      <c r="L49" s="440"/>
      <c r="M49" s="471" t="s">
        <v>595</v>
      </c>
      <c r="N49" s="440"/>
      <c r="O49" s="647"/>
      <c r="P49" s="679"/>
      <c r="Q49" s="471"/>
      <c r="R49" s="657"/>
      <c r="S49" s="471"/>
      <c r="T49" s="687" t="s">
        <v>565</v>
      </c>
      <c r="U49" s="683"/>
      <c r="V49" s="688" t="s">
        <v>556</v>
      </c>
    </row>
    <row r="50" spans="1:22" ht="16.5" x14ac:dyDescent="0.2">
      <c r="A50" s="718"/>
      <c r="B50" s="719" t="s">
        <v>326</v>
      </c>
      <c r="C50" s="720" t="s">
        <v>566</v>
      </c>
      <c r="D50" s="721">
        <f>380*0</f>
        <v>0</v>
      </c>
      <c r="E50" s="722">
        <f>(205.45+253.95*0.9)/1.15</f>
        <v>377.39565217391305</v>
      </c>
      <c r="F50" s="719">
        <f>D50*E50/10^5</f>
        <v>0</v>
      </c>
      <c r="G50" s="723"/>
      <c r="H50" s="724"/>
      <c r="I50" s="720" t="s">
        <v>567</v>
      </c>
      <c r="J50" s="683"/>
      <c r="L50" s="440"/>
      <c r="M50" s="436" t="s">
        <v>326</v>
      </c>
      <c r="N50" s="472" t="s">
        <v>566</v>
      </c>
      <c r="O50" s="645">
        <v>380</v>
      </c>
      <c r="P50" s="518">
        <f>(205.45+253.95*0.9)/1.15</f>
        <v>377.39565217391305</v>
      </c>
      <c r="Q50" s="436">
        <f>O50*P50/10^5</f>
        <v>1.4341034782608695</v>
      </c>
      <c r="R50" s="657"/>
      <c r="S50" s="471"/>
      <c r="T50" s="472" t="s">
        <v>567</v>
      </c>
      <c r="U50" s="683"/>
    </row>
    <row r="51" spans="1:22" ht="16.5" x14ac:dyDescent="0.2">
      <c r="A51" s="718"/>
      <c r="B51" s="719" t="s">
        <v>568</v>
      </c>
      <c r="C51" s="720" t="s">
        <v>566</v>
      </c>
      <c r="D51" s="721">
        <f>4*0</f>
        <v>0</v>
      </c>
      <c r="E51" s="722">
        <f>(6670.25+307.95)/1.15</f>
        <v>6068</v>
      </c>
      <c r="F51" s="719">
        <f t="shared" ref="F51:F65" si="2">D51*E51/10^5</f>
        <v>0</v>
      </c>
      <c r="G51" s="723"/>
      <c r="H51" s="724"/>
      <c r="I51" s="720" t="s">
        <v>569</v>
      </c>
      <c r="J51" s="683"/>
      <c r="L51" s="440"/>
      <c r="M51" s="436" t="s">
        <v>568</v>
      </c>
      <c r="N51" s="472" t="s">
        <v>566</v>
      </c>
      <c r="O51" s="645">
        <v>4</v>
      </c>
      <c r="P51" s="518">
        <f>(6670.25+307.95)/1.15</f>
        <v>6068</v>
      </c>
      <c r="Q51" s="436">
        <f t="shared" ref="Q51:Q67" si="3">O51*P51/10^5</f>
        <v>0.24271999999999999</v>
      </c>
      <c r="R51" s="657"/>
      <c r="S51" s="471"/>
      <c r="T51" s="472" t="s">
        <v>569</v>
      </c>
      <c r="U51" s="683"/>
    </row>
    <row r="52" spans="1:22" ht="16.5" x14ac:dyDescent="0.2">
      <c r="A52" s="718"/>
      <c r="B52" s="719" t="s">
        <v>570</v>
      </c>
      <c r="C52" s="720" t="s">
        <v>566</v>
      </c>
      <c r="D52" s="721">
        <f>45*0</f>
        <v>0</v>
      </c>
      <c r="E52" s="722">
        <f>(7997.3*0.39+10080.15*0.61+5*307.95)/1.15</f>
        <v>9397.9030434782617</v>
      </c>
      <c r="F52" s="719">
        <f t="shared" si="2"/>
        <v>0</v>
      </c>
      <c r="G52" s="723"/>
      <c r="H52" s="724"/>
      <c r="I52" s="718" t="s">
        <v>571</v>
      </c>
      <c r="J52" s="683"/>
      <c r="L52" s="440"/>
      <c r="M52" s="436" t="s">
        <v>570</v>
      </c>
      <c r="N52" s="472" t="s">
        <v>566</v>
      </c>
      <c r="O52" s="645">
        <v>45</v>
      </c>
      <c r="P52" s="518">
        <f>(7997.3*0.39+10080.15*0.61+5*307.95)/1.15</f>
        <v>9397.9030434782617</v>
      </c>
      <c r="Q52" s="436">
        <f t="shared" si="3"/>
        <v>4.2290563695652175</v>
      </c>
      <c r="R52" s="657"/>
      <c r="S52" s="471"/>
      <c r="T52" s="440" t="s">
        <v>571</v>
      </c>
      <c r="U52" s="683"/>
    </row>
    <row r="53" spans="1:22" x14ac:dyDescent="0.2">
      <c r="A53" s="718"/>
      <c r="B53" s="719" t="s">
        <v>491</v>
      </c>
      <c r="C53" s="720" t="s">
        <v>15</v>
      </c>
      <c r="D53" s="721">
        <f>5*0</f>
        <v>0</v>
      </c>
      <c r="E53" s="722">
        <f>89.65/1.15*1000</f>
        <v>77956.521739130447</v>
      </c>
      <c r="F53" s="719">
        <f t="shared" si="2"/>
        <v>0</v>
      </c>
      <c r="G53" s="723"/>
      <c r="H53" s="724"/>
      <c r="I53" s="718" t="s">
        <v>572</v>
      </c>
      <c r="J53" s="683"/>
      <c r="L53" s="440"/>
      <c r="M53" s="436" t="s">
        <v>491</v>
      </c>
      <c r="N53" s="472" t="s">
        <v>15</v>
      </c>
      <c r="O53" s="645">
        <v>5</v>
      </c>
      <c r="P53" s="518">
        <f>89.65/1.15*1000</f>
        <v>77956.521739130447</v>
      </c>
      <c r="Q53" s="436">
        <f t="shared" si="3"/>
        <v>3.8978260869565222</v>
      </c>
      <c r="R53" s="657"/>
      <c r="S53" s="471"/>
      <c r="T53" s="440" t="s">
        <v>572</v>
      </c>
      <c r="U53" s="683"/>
    </row>
    <row r="54" spans="1:22" x14ac:dyDescent="0.2">
      <c r="A54" s="718"/>
      <c r="B54" s="719" t="s">
        <v>573</v>
      </c>
      <c r="C54" s="720" t="s">
        <v>15</v>
      </c>
      <c r="D54" s="721"/>
      <c r="E54" s="722">
        <v>80000</v>
      </c>
      <c r="F54" s="719">
        <f t="shared" si="2"/>
        <v>0</v>
      </c>
      <c r="G54" s="723"/>
      <c r="H54" s="724"/>
      <c r="I54" s="720">
        <v>10.1</v>
      </c>
      <c r="J54" s="683"/>
      <c r="L54" s="440"/>
      <c r="M54" s="436" t="s">
        <v>573</v>
      </c>
      <c r="N54" s="472" t="s">
        <v>15</v>
      </c>
      <c r="O54" s="645"/>
      <c r="P54" s="518">
        <v>80000</v>
      </c>
      <c r="Q54" s="436">
        <f t="shared" si="3"/>
        <v>0</v>
      </c>
      <c r="R54" s="657"/>
      <c r="S54" s="471"/>
      <c r="T54" s="472">
        <v>10.1</v>
      </c>
      <c r="U54" s="683"/>
    </row>
    <row r="55" spans="1:22" ht="16.5" x14ac:dyDescent="0.2">
      <c r="A55" s="718"/>
      <c r="B55" s="719" t="s">
        <v>574</v>
      </c>
      <c r="C55" s="720" t="s">
        <v>575</v>
      </c>
      <c r="D55" s="721">
        <f>35*0</f>
        <v>0</v>
      </c>
      <c r="E55" s="722">
        <f>898.2/1.15</f>
        <v>781.04347826086962</v>
      </c>
      <c r="F55" s="719">
        <f t="shared" si="2"/>
        <v>0</v>
      </c>
      <c r="G55" s="723"/>
      <c r="H55" s="724"/>
      <c r="I55" s="720" t="s">
        <v>576</v>
      </c>
      <c r="J55" s="683"/>
      <c r="L55" s="440"/>
      <c r="M55" s="436" t="s">
        <v>574</v>
      </c>
      <c r="N55" s="472" t="s">
        <v>575</v>
      </c>
      <c r="O55" s="645">
        <v>35</v>
      </c>
      <c r="P55" s="518">
        <f>898.2/1.15</f>
        <v>781.04347826086962</v>
      </c>
      <c r="Q55" s="436">
        <f t="shared" si="3"/>
        <v>0.27336521739130437</v>
      </c>
      <c r="R55" s="657"/>
      <c r="S55" s="471"/>
      <c r="T55" s="472" t="s">
        <v>576</v>
      </c>
      <c r="U55" s="683"/>
    </row>
    <row r="56" spans="1:22" ht="16.5" x14ac:dyDescent="0.2">
      <c r="A56" s="718"/>
      <c r="B56" s="719" t="s">
        <v>577</v>
      </c>
      <c r="C56" s="720" t="s">
        <v>566</v>
      </c>
      <c r="D56" s="721">
        <f>20*0</f>
        <v>0</v>
      </c>
      <c r="E56" s="722">
        <f>821.95/0.225/1.15</f>
        <v>3176.6183574879233</v>
      </c>
      <c r="F56" s="719">
        <f t="shared" si="2"/>
        <v>0</v>
      </c>
      <c r="G56" s="723"/>
      <c r="H56" s="724"/>
      <c r="I56" s="720" t="s">
        <v>578</v>
      </c>
      <c r="J56" s="683"/>
      <c r="L56" s="440"/>
      <c r="M56" s="436" t="s">
        <v>577</v>
      </c>
      <c r="N56" s="472" t="s">
        <v>566</v>
      </c>
      <c r="O56" s="645">
        <v>20</v>
      </c>
      <c r="P56" s="518">
        <f>821.95/0.225/1.15</f>
        <v>3176.6183574879233</v>
      </c>
      <c r="Q56" s="436">
        <f t="shared" si="3"/>
        <v>0.63532367149758462</v>
      </c>
      <c r="R56" s="657"/>
      <c r="S56" s="471"/>
      <c r="T56" s="472" t="s">
        <v>578</v>
      </c>
      <c r="U56" s="683"/>
    </row>
    <row r="57" spans="1:22" ht="16.5" x14ac:dyDescent="0.2">
      <c r="A57" s="718"/>
      <c r="B57" s="719" t="s">
        <v>579</v>
      </c>
      <c r="C57" s="720" t="s">
        <v>566</v>
      </c>
      <c r="D57" s="721">
        <f>35*0</f>
        <v>0</v>
      </c>
      <c r="E57" s="722">
        <f>8288.35/1.15</f>
        <v>7207.2608695652179</v>
      </c>
      <c r="F57" s="719">
        <f t="shared" si="2"/>
        <v>0</v>
      </c>
      <c r="G57" s="723"/>
      <c r="H57" s="724"/>
      <c r="I57" s="720" t="s">
        <v>580</v>
      </c>
      <c r="J57" s="683"/>
      <c r="L57" s="440"/>
      <c r="M57" s="436" t="s">
        <v>579</v>
      </c>
      <c r="N57" s="472" t="s">
        <v>566</v>
      </c>
      <c r="O57" s="645">
        <v>35</v>
      </c>
      <c r="P57" s="518">
        <f>8288.35/1.15</f>
        <v>7207.2608695652179</v>
      </c>
      <c r="Q57" s="436">
        <f t="shared" si="3"/>
        <v>2.5225413043478264</v>
      </c>
      <c r="R57" s="657"/>
      <c r="S57" s="471"/>
      <c r="T57" s="472" t="s">
        <v>580</v>
      </c>
      <c r="U57" s="683"/>
    </row>
    <row r="58" spans="1:22" ht="16.5" x14ac:dyDescent="0.2">
      <c r="A58" s="718"/>
      <c r="B58" s="719" t="s">
        <v>581</v>
      </c>
      <c r="C58" s="720" t="s">
        <v>575</v>
      </c>
      <c r="D58" s="721">
        <f>140*0</f>
        <v>0</v>
      </c>
      <c r="E58" s="722">
        <f>382.1/1.15</f>
        <v>332.26086956521743</v>
      </c>
      <c r="F58" s="719">
        <f t="shared" si="2"/>
        <v>0</v>
      </c>
      <c r="G58" s="723"/>
      <c r="H58" s="724"/>
      <c r="I58" s="720" t="s">
        <v>582</v>
      </c>
      <c r="J58" s="683"/>
      <c r="L58" s="440"/>
      <c r="M58" s="436" t="s">
        <v>581</v>
      </c>
      <c r="N58" s="472" t="s">
        <v>575</v>
      </c>
      <c r="O58" s="645">
        <v>140</v>
      </c>
      <c r="P58" s="518">
        <f>382.1/1.15</f>
        <v>332.26086956521743</v>
      </c>
      <c r="Q58" s="436">
        <f t="shared" si="3"/>
        <v>0.4651652173913044</v>
      </c>
      <c r="R58" s="657"/>
      <c r="S58" s="471"/>
      <c r="T58" s="472" t="s">
        <v>582</v>
      </c>
      <c r="U58" s="683"/>
    </row>
    <row r="59" spans="1:22" ht="16.5" x14ac:dyDescent="0.2">
      <c r="A59" s="718"/>
      <c r="B59" s="719" t="s">
        <v>583</v>
      </c>
      <c r="C59" s="720" t="s">
        <v>575</v>
      </c>
      <c r="D59" s="721">
        <f>140*0</f>
        <v>0</v>
      </c>
      <c r="E59" s="722">
        <f>324.3/1.15</f>
        <v>282.00000000000006</v>
      </c>
      <c r="F59" s="719">
        <f t="shared" si="2"/>
        <v>0</v>
      </c>
      <c r="G59" s="723"/>
      <c r="H59" s="724"/>
      <c r="I59" s="720" t="s">
        <v>584</v>
      </c>
      <c r="J59" s="683"/>
      <c r="L59" s="440"/>
      <c r="M59" s="436" t="s">
        <v>583</v>
      </c>
      <c r="N59" s="472" t="s">
        <v>575</v>
      </c>
      <c r="O59" s="645">
        <v>140</v>
      </c>
      <c r="P59" s="518">
        <f>324.3/1.15</f>
        <v>282.00000000000006</v>
      </c>
      <c r="Q59" s="436">
        <f t="shared" si="3"/>
        <v>0.3948000000000001</v>
      </c>
      <c r="R59" s="657"/>
      <c r="S59" s="471"/>
      <c r="T59" s="472" t="s">
        <v>584</v>
      </c>
      <c r="U59" s="683"/>
    </row>
    <row r="60" spans="1:22" ht="72.75" customHeight="1" x14ac:dyDescent="0.2">
      <c r="A60" s="718"/>
      <c r="B60" s="719" t="s">
        <v>585</v>
      </c>
      <c r="C60" s="720" t="s">
        <v>575</v>
      </c>
      <c r="D60" s="721">
        <f>70*0</f>
        <v>0</v>
      </c>
      <c r="E60" s="722">
        <f>253.05/1.15</f>
        <v>220.04347826086959</v>
      </c>
      <c r="F60" s="719">
        <f t="shared" si="2"/>
        <v>0</v>
      </c>
      <c r="G60" s="723"/>
      <c r="H60" s="724"/>
      <c r="I60" s="720" t="s">
        <v>327</v>
      </c>
      <c r="J60" s="683"/>
      <c r="L60" s="440"/>
      <c r="M60" s="436" t="s">
        <v>585</v>
      </c>
      <c r="N60" s="472" t="s">
        <v>575</v>
      </c>
      <c r="O60" s="645">
        <v>70</v>
      </c>
      <c r="P60" s="518">
        <f>253.05/1.15</f>
        <v>220.04347826086959</v>
      </c>
      <c r="Q60" s="436">
        <f t="shared" si="3"/>
        <v>0.15403043478260872</v>
      </c>
      <c r="R60" s="657"/>
      <c r="S60" s="471"/>
      <c r="T60" s="472" t="s">
        <v>327</v>
      </c>
      <c r="U60" s="683"/>
    </row>
    <row r="61" spans="1:22" ht="16.5" x14ac:dyDescent="0.2">
      <c r="A61" s="718"/>
      <c r="B61" s="719" t="s">
        <v>586</v>
      </c>
      <c r="C61" s="720" t="s">
        <v>575</v>
      </c>
      <c r="D61" s="721">
        <f>100*0</f>
        <v>0</v>
      </c>
      <c r="E61" s="722">
        <f>563.5*4/3/1.15</f>
        <v>653.33333333333337</v>
      </c>
      <c r="F61" s="719">
        <f t="shared" si="2"/>
        <v>0</v>
      </c>
      <c r="G61" s="723"/>
      <c r="H61" s="724"/>
      <c r="I61" s="720" t="s">
        <v>587</v>
      </c>
      <c r="J61" s="683"/>
      <c r="L61" s="440"/>
      <c r="M61" s="436" t="s">
        <v>586</v>
      </c>
      <c r="N61" s="472" t="s">
        <v>575</v>
      </c>
      <c r="O61" s="645">
        <v>100</v>
      </c>
      <c r="P61" s="518">
        <f>563.5*4/3/1.15</f>
        <v>653.33333333333337</v>
      </c>
      <c r="Q61" s="436">
        <f t="shared" si="3"/>
        <v>0.65333333333333332</v>
      </c>
      <c r="R61" s="657"/>
      <c r="S61" s="471"/>
      <c r="T61" s="472" t="s">
        <v>587</v>
      </c>
      <c r="U61" s="683"/>
    </row>
    <row r="62" spans="1:22" ht="16.5" x14ac:dyDescent="0.2">
      <c r="A62" s="718"/>
      <c r="B62" s="719" t="s">
        <v>588</v>
      </c>
      <c r="C62" s="720" t="s">
        <v>575</v>
      </c>
      <c r="D62" s="721">
        <f>20*0</f>
        <v>0</v>
      </c>
      <c r="E62" s="722">
        <f>4781.15/1.15</f>
        <v>4157.521739130435</v>
      </c>
      <c r="F62" s="719">
        <f t="shared" si="2"/>
        <v>0</v>
      </c>
      <c r="G62" s="723"/>
      <c r="H62" s="724"/>
      <c r="I62" s="720" t="s">
        <v>589</v>
      </c>
      <c r="J62" s="683"/>
      <c r="L62" s="440"/>
      <c r="M62" s="436" t="s">
        <v>588</v>
      </c>
      <c r="N62" s="472" t="s">
        <v>575</v>
      </c>
      <c r="O62" s="645">
        <v>20</v>
      </c>
      <c r="P62" s="518">
        <f>4781.15/1.15</f>
        <v>4157.521739130435</v>
      </c>
      <c r="Q62" s="436">
        <f t="shared" si="3"/>
        <v>0.83150434782608706</v>
      </c>
      <c r="R62" s="657"/>
      <c r="S62" s="471"/>
      <c r="T62" s="472" t="s">
        <v>589</v>
      </c>
      <c r="U62" s="683"/>
    </row>
    <row r="63" spans="1:22" ht="16.5" x14ac:dyDescent="0.2">
      <c r="A63" s="718"/>
      <c r="B63" s="719" t="s">
        <v>590</v>
      </c>
      <c r="C63" s="720" t="s">
        <v>575</v>
      </c>
      <c r="D63" s="721">
        <f>140*0</f>
        <v>0</v>
      </c>
      <c r="E63" s="722">
        <f>166.85/1.15</f>
        <v>145.08695652173913</v>
      </c>
      <c r="F63" s="719">
        <f t="shared" si="2"/>
        <v>0</v>
      </c>
      <c r="G63" s="723"/>
      <c r="H63" s="724"/>
      <c r="I63" s="720" t="s">
        <v>591</v>
      </c>
      <c r="J63" s="683"/>
      <c r="L63" s="440"/>
      <c r="M63" s="436" t="s">
        <v>590</v>
      </c>
      <c r="N63" s="472" t="s">
        <v>575</v>
      </c>
      <c r="O63" s="645">
        <v>140</v>
      </c>
      <c r="P63" s="518">
        <f>166.85/1.15</f>
        <v>145.08695652173913</v>
      </c>
      <c r="Q63" s="436">
        <f t="shared" si="3"/>
        <v>0.20312173913043477</v>
      </c>
      <c r="R63" s="657"/>
      <c r="S63" s="471"/>
      <c r="T63" s="472" t="s">
        <v>591</v>
      </c>
      <c r="U63" s="683"/>
    </row>
    <row r="64" spans="1:22" ht="16.5" x14ac:dyDescent="0.2">
      <c r="A64" s="718"/>
      <c r="B64" s="719" t="s">
        <v>592</v>
      </c>
      <c r="C64" s="720" t="s">
        <v>575</v>
      </c>
      <c r="D64" s="721">
        <f>210*0</f>
        <v>0</v>
      </c>
      <c r="E64" s="722">
        <f>137.85/1.15</f>
        <v>119.86956521739131</v>
      </c>
      <c r="F64" s="719">
        <f t="shared" si="2"/>
        <v>0</v>
      </c>
      <c r="G64" s="723"/>
      <c r="H64" s="724"/>
      <c r="I64" s="720" t="s">
        <v>328</v>
      </c>
      <c r="J64" s="683"/>
      <c r="L64" s="440"/>
      <c r="M64" s="436" t="s">
        <v>592</v>
      </c>
      <c r="N64" s="472" t="s">
        <v>575</v>
      </c>
      <c r="O64" s="645">
        <v>210</v>
      </c>
      <c r="P64" s="518">
        <f>137.85/1.15</f>
        <v>119.86956521739131</v>
      </c>
      <c r="Q64" s="436">
        <f t="shared" si="3"/>
        <v>0.25172608695652177</v>
      </c>
      <c r="R64" s="657"/>
      <c r="S64" s="471"/>
      <c r="T64" s="472" t="s">
        <v>328</v>
      </c>
      <c r="U64" s="683"/>
    </row>
    <row r="65" spans="1:22" ht="16.5" x14ac:dyDescent="0.2">
      <c r="A65" s="718"/>
      <c r="B65" s="719" t="s">
        <v>593</v>
      </c>
      <c r="C65" s="720" t="s">
        <v>575</v>
      </c>
      <c r="D65" s="721">
        <f>70*0</f>
        <v>0</v>
      </c>
      <c r="E65" s="722">
        <f>545/1.15</f>
        <v>473.91304347826093</v>
      </c>
      <c r="F65" s="719">
        <f t="shared" si="2"/>
        <v>0</v>
      </c>
      <c r="G65" s="723"/>
      <c r="H65" s="724"/>
      <c r="I65" s="720" t="s">
        <v>329</v>
      </c>
      <c r="J65" s="683"/>
      <c r="L65" s="440"/>
      <c r="M65" s="436" t="s">
        <v>593</v>
      </c>
      <c r="N65" s="472" t="s">
        <v>575</v>
      </c>
      <c r="O65" s="645">
        <v>70</v>
      </c>
      <c r="P65" s="518">
        <f>545/1.15</f>
        <v>473.91304347826093</v>
      </c>
      <c r="Q65" s="436">
        <f t="shared" si="3"/>
        <v>0.33173913043478265</v>
      </c>
      <c r="R65" s="657"/>
      <c r="S65" s="471"/>
      <c r="T65" s="472" t="s">
        <v>329</v>
      </c>
      <c r="U65" s="683"/>
    </row>
    <row r="66" spans="1:22" ht="16.5" x14ac:dyDescent="0.2">
      <c r="A66" s="718"/>
      <c r="B66" s="719"/>
      <c r="C66" s="720"/>
      <c r="D66" s="721"/>
      <c r="E66" s="722"/>
      <c r="F66" s="719"/>
      <c r="G66" s="723"/>
      <c r="H66" s="724"/>
      <c r="I66" s="720"/>
      <c r="J66" s="683"/>
      <c r="L66" s="440"/>
      <c r="M66" s="436" t="s">
        <v>596</v>
      </c>
      <c r="N66" s="472" t="s">
        <v>566</v>
      </c>
      <c r="O66" s="645">
        <v>6</v>
      </c>
      <c r="P66" s="518">
        <f>P94</f>
        <v>73000</v>
      </c>
      <c r="Q66" s="436">
        <f t="shared" si="3"/>
        <v>4.38</v>
      </c>
      <c r="R66" s="657"/>
      <c r="S66" s="471"/>
      <c r="T66" s="472"/>
      <c r="U66" s="683"/>
    </row>
    <row r="67" spans="1:22" x14ac:dyDescent="0.2">
      <c r="A67" s="718"/>
      <c r="B67" s="719"/>
      <c r="C67" s="720"/>
      <c r="D67" s="721"/>
      <c r="E67" s="722"/>
      <c r="F67" s="719"/>
      <c r="G67" s="723"/>
      <c r="H67" s="724"/>
      <c r="I67" s="720"/>
      <c r="J67" s="683"/>
      <c r="L67" s="440"/>
      <c r="M67" s="436" t="s">
        <v>597</v>
      </c>
      <c r="N67" s="472" t="s">
        <v>325</v>
      </c>
      <c r="O67" s="645">
        <v>1</v>
      </c>
      <c r="P67" s="518">
        <v>500000</v>
      </c>
      <c r="Q67" s="436">
        <f t="shared" si="3"/>
        <v>5</v>
      </c>
      <c r="R67" s="657"/>
      <c r="S67" s="471"/>
      <c r="T67" s="472"/>
      <c r="U67" s="683"/>
    </row>
    <row r="68" spans="1:22" ht="15" x14ac:dyDescent="0.2">
      <c r="A68" s="718"/>
      <c r="B68" s="725" t="s">
        <v>598</v>
      </c>
      <c r="C68" s="718"/>
      <c r="D68" s="726"/>
      <c r="E68" s="727"/>
      <c r="F68" s="728">
        <f>SUM(F48:F65)</f>
        <v>139.53488372093022</v>
      </c>
      <c r="G68" s="723"/>
      <c r="H68" s="724"/>
      <c r="I68" s="729"/>
      <c r="J68" s="683"/>
      <c r="L68" s="440"/>
      <c r="M68" s="441" t="s">
        <v>598</v>
      </c>
      <c r="N68" s="440"/>
      <c r="O68" s="647"/>
      <c r="P68" s="679"/>
      <c r="Q68" s="653">
        <f>SUM(Q48:Q67)</f>
        <v>25.900356417874399</v>
      </c>
      <c r="R68" s="657"/>
      <c r="S68" s="471"/>
      <c r="T68" s="685"/>
      <c r="U68" s="683"/>
    </row>
    <row r="69" spans="1:22" ht="15" x14ac:dyDescent="0.2">
      <c r="A69" s="412" t="s">
        <v>494</v>
      </c>
      <c r="B69" s="653" t="s">
        <v>493</v>
      </c>
      <c r="C69" s="440"/>
      <c r="D69" s="647"/>
      <c r="E69" s="679"/>
      <c r="F69" s="471"/>
      <c r="G69" s="657"/>
      <c r="H69" s="471"/>
      <c r="I69" s="646"/>
      <c r="J69" s="683"/>
      <c r="L69" s="440"/>
      <c r="M69" s="653" t="s">
        <v>493</v>
      </c>
      <c r="N69" s="440"/>
      <c r="O69" s="647"/>
      <c r="P69" s="679"/>
      <c r="Q69" s="471"/>
      <c r="R69" s="657"/>
      <c r="S69" s="471"/>
      <c r="T69" s="646"/>
      <c r="U69" s="683"/>
    </row>
    <row r="70" spans="1:22" ht="15" x14ac:dyDescent="0.2">
      <c r="A70" s="647">
        <v>1</v>
      </c>
      <c r="B70" s="471" t="s">
        <v>599</v>
      </c>
      <c r="C70" s="440"/>
      <c r="D70" s="647"/>
      <c r="E70" s="679"/>
      <c r="F70" s="471"/>
      <c r="G70" s="657"/>
      <c r="H70" s="471"/>
      <c r="I70" s="471" t="s">
        <v>600</v>
      </c>
      <c r="J70" s="683"/>
      <c r="K70" s="684" t="s">
        <v>601</v>
      </c>
      <c r="L70" s="647">
        <v>1</v>
      </c>
      <c r="M70" s="471" t="s">
        <v>599</v>
      </c>
      <c r="N70" s="440"/>
      <c r="O70" s="647"/>
      <c r="P70" s="679"/>
      <c r="Q70" s="471"/>
      <c r="R70" s="657"/>
      <c r="S70" s="471"/>
      <c r="T70" s="471" t="s">
        <v>600</v>
      </c>
      <c r="U70" s="683"/>
      <c r="V70" s="684" t="s">
        <v>601</v>
      </c>
    </row>
    <row r="71" spans="1:22" x14ac:dyDescent="0.2">
      <c r="A71" s="647">
        <v>2</v>
      </c>
      <c r="B71" s="471" t="s">
        <v>602</v>
      </c>
      <c r="C71" s="440" t="s">
        <v>603</v>
      </c>
      <c r="D71" s="647">
        <v>10</v>
      </c>
      <c r="E71" s="679">
        <v>8000</v>
      </c>
      <c r="F71" s="471">
        <f>D71*E71/10^5</f>
        <v>0.8</v>
      </c>
      <c r="G71" s="657"/>
      <c r="H71" s="471"/>
      <c r="I71" s="646"/>
      <c r="J71" s="683"/>
      <c r="L71" s="647">
        <v>2</v>
      </c>
      <c r="M71" s="471" t="s">
        <v>602</v>
      </c>
      <c r="N71" s="440" t="s">
        <v>603</v>
      </c>
      <c r="O71" s="647">
        <v>10</v>
      </c>
      <c r="P71" s="679">
        <v>8000</v>
      </c>
      <c r="Q71" s="471">
        <f>O71*P71/10^5</f>
        <v>0.8</v>
      </c>
      <c r="R71" s="657"/>
      <c r="S71" s="471"/>
      <c r="T71" s="646"/>
      <c r="U71" s="683"/>
    </row>
    <row r="72" spans="1:22" x14ac:dyDescent="0.2">
      <c r="A72" s="647">
        <v>3</v>
      </c>
      <c r="B72" s="471" t="s">
        <v>604</v>
      </c>
      <c r="C72" s="440" t="s">
        <v>15</v>
      </c>
      <c r="D72" s="690">
        <v>9.5</v>
      </c>
      <c r="E72" s="679">
        <v>12000</v>
      </c>
      <c r="F72" s="471">
        <f t="shared" ref="F72:F73" si="4">D72*E72/10^5</f>
        <v>1.1399999999999999</v>
      </c>
      <c r="G72" s="657"/>
      <c r="H72" s="471"/>
      <c r="I72" s="646"/>
      <c r="J72" s="683"/>
      <c r="L72" s="647">
        <v>3</v>
      </c>
      <c r="M72" s="471" t="s">
        <v>604</v>
      </c>
      <c r="N72" s="440" t="s">
        <v>15</v>
      </c>
      <c r="O72" s="690">
        <v>9.5</v>
      </c>
      <c r="P72" s="679">
        <v>12000</v>
      </c>
      <c r="Q72" s="471">
        <f t="shared" ref="Q72:Q73" si="5">O72*P72/10^5</f>
        <v>1.1399999999999999</v>
      </c>
      <c r="R72" s="657"/>
      <c r="S72" s="471"/>
      <c r="T72" s="646"/>
      <c r="U72" s="683"/>
    </row>
    <row r="73" spans="1:22" x14ac:dyDescent="0.2">
      <c r="A73" s="647">
        <v>4</v>
      </c>
      <c r="B73" s="471" t="s">
        <v>605</v>
      </c>
      <c r="C73" s="440" t="s">
        <v>15</v>
      </c>
      <c r="D73" s="690">
        <v>2.5</v>
      </c>
      <c r="E73" s="679">
        <v>12000</v>
      </c>
      <c r="F73" s="471">
        <f t="shared" si="4"/>
        <v>0.3</v>
      </c>
      <c r="G73" s="657"/>
      <c r="H73" s="471"/>
      <c r="I73" s="646"/>
      <c r="J73" s="683"/>
      <c r="L73" s="647">
        <v>4</v>
      </c>
      <c r="M73" s="471" t="s">
        <v>605</v>
      </c>
      <c r="N73" s="440" t="s">
        <v>15</v>
      </c>
      <c r="O73" s="690">
        <v>2.5</v>
      </c>
      <c r="P73" s="679">
        <v>12000</v>
      </c>
      <c r="Q73" s="471">
        <f t="shared" si="5"/>
        <v>0.3</v>
      </c>
      <c r="R73" s="657"/>
      <c r="S73" s="471"/>
      <c r="T73" s="646"/>
      <c r="U73" s="683"/>
    </row>
    <row r="74" spans="1:22" ht="15" x14ac:dyDescent="0.2">
      <c r="A74" s="440"/>
      <c r="B74" s="441" t="s">
        <v>606</v>
      </c>
      <c r="C74" s="440"/>
      <c r="D74" s="647"/>
      <c r="E74" s="679"/>
      <c r="F74" s="653">
        <f>SUM(F71:F73)</f>
        <v>2.2399999999999998</v>
      </c>
      <c r="G74" s="657"/>
      <c r="H74" s="471"/>
      <c r="I74" s="646"/>
      <c r="J74" s="683"/>
      <c r="L74" s="440"/>
      <c r="M74" s="441" t="s">
        <v>606</v>
      </c>
      <c r="N74" s="440"/>
      <c r="O74" s="647"/>
      <c r="P74" s="679"/>
      <c r="Q74" s="653">
        <f>SUM(Q71:Q73)</f>
        <v>2.2399999999999998</v>
      </c>
      <c r="R74" s="657"/>
      <c r="S74" s="471"/>
      <c r="T74" s="646"/>
      <c r="U74" s="683"/>
    </row>
    <row r="75" spans="1:22" ht="27.75" x14ac:dyDescent="0.2">
      <c r="A75" s="440"/>
      <c r="B75" s="471"/>
      <c r="C75" s="440"/>
      <c r="D75" s="647"/>
      <c r="E75" s="679"/>
      <c r="F75" s="653">
        <f>F13+F15+F19+F23+F26+F46+F68+F74</f>
        <v>4847.3318238001411</v>
      </c>
      <c r="G75" s="657"/>
      <c r="H75" s="653" t="s">
        <v>642</v>
      </c>
      <c r="I75" s="730" t="e">
        <f>#REF!</f>
        <v>#REF!</v>
      </c>
      <c r="J75" s="683"/>
      <c r="L75" s="440"/>
      <c r="M75" s="471"/>
      <c r="N75" s="440"/>
      <c r="O75" s="647"/>
      <c r="P75" s="679"/>
      <c r="Q75" s="653">
        <f>Q13+Q15+Q19+Q23+Q26+Q46+Q68+Q74</f>
        <v>10154.149696848108</v>
      </c>
      <c r="R75" s="657"/>
      <c r="S75" s="471"/>
      <c r="T75" s="646"/>
      <c r="U75" s="683"/>
    </row>
    <row r="76" spans="1:22" ht="42.75" x14ac:dyDescent="0.2">
      <c r="A76" s="440"/>
      <c r="B76" s="471" t="s">
        <v>607</v>
      </c>
      <c r="C76" s="440"/>
      <c r="D76" s="647"/>
      <c r="E76" s="679"/>
      <c r="F76" s="471"/>
      <c r="G76" s="657"/>
      <c r="H76" s="471"/>
      <c r="I76" s="687" t="s">
        <v>608</v>
      </c>
      <c r="J76" s="683"/>
      <c r="K76" s="684" t="s">
        <v>601</v>
      </c>
      <c r="L76" s="440"/>
      <c r="M76" s="471" t="s">
        <v>607</v>
      </c>
      <c r="N76" s="440"/>
      <c r="O76" s="647"/>
      <c r="P76" s="679"/>
      <c r="Q76" s="471"/>
      <c r="R76" s="657"/>
      <c r="S76" s="471"/>
      <c r="T76" s="687" t="s">
        <v>608</v>
      </c>
      <c r="U76" s="683"/>
      <c r="V76" s="684" t="s">
        <v>601</v>
      </c>
    </row>
    <row r="77" spans="1:22" ht="28.5" x14ac:dyDescent="0.2">
      <c r="A77" s="440"/>
      <c r="B77" s="471" t="s">
        <v>609</v>
      </c>
      <c r="C77" s="440" t="s">
        <v>330</v>
      </c>
      <c r="D77" s="647"/>
      <c r="E77" s="679"/>
      <c r="F77" s="471"/>
      <c r="G77" s="657"/>
      <c r="H77" s="471"/>
      <c r="I77" s="687" t="s">
        <v>610</v>
      </c>
      <c r="J77" s="683"/>
      <c r="K77" s="684" t="s">
        <v>601</v>
      </c>
      <c r="L77" s="440"/>
      <c r="M77" s="471" t="s">
        <v>609</v>
      </c>
      <c r="N77" s="440" t="s">
        <v>330</v>
      </c>
      <c r="O77" s="647"/>
      <c r="P77" s="679"/>
      <c r="Q77" s="471"/>
      <c r="R77" s="657"/>
      <c r="S77" s="471"/>
      <c r="T77" s="687" t="s">
        <v>610</v>
      </c>
      <c r="U77" s="683"/>
      <c r="V77" s="684" t="s">
        <v>601</v>
      </c>
    </row>
    <row r="78" spans="1:22" ht="28.5" x14ac:dyDescent="0.2">
      <c r="A78" s="440"/>
      <c r="B78" s="471" t="s">
        <v>611</v>
      </c>
      <c r="C78" s="440" t="s">
        <v>330</v>
      </c>
      <c r="D78" s="647"/>
      <c r="E78" s="679"/>
      <c r="F78" s="471"/>
      <c r="G78" s="657"/>
      <c r="H78" s="471"/>
      <c r="I78" s="687" t="s">
        <v>612</v>
      </c>
      <c r="J78" s="683"/>
      <c r="K78" s="684" t="s">
        <v>601</v>
      </c>
      <c r="L78" s="440"/>
      <c r="M78" s="471" t="s">
        <v>611</v>
      </c>
      <c r="N78" s="440" t="s">
        <v>330</v>
      </c>
      <c r="O78" s="647"/>
      <c r="P78" s="679"/>
      <c r="Q78" s="471"/>
      <c r="R78" s="657"/>
      <c r="S78" s="471"/>
      <c r="T78" s="687" t="s">
        <v>612</v>
      </c>
      <c r="U78" s="683"/>
      <c r="V78" s="684" t="s">
        <v>601</v>
      </c>
    </row>
    <row r="79" spans="1:22" ht="28.5" x14ac:dyDescent="0.2">
      <c r="A79" s="440"/>
      <c r="B79" s="650" t="s">
        <v>495</v>
      </c>
      <c r="C79" s="440"/>
      <c r="D79" s="647"/>
      <c r="E79" s="657"/>
      <c r="F79" s="471"/>
      <c r="G79" s="657"/>
      <c r="H79" s="471"/>
      <c r="I79" s="687" t="s">
        <v>613</v>
      </c>
      <c r="K79" s="684" t="s">
        <v>601</v>
      </c>
      <c r="L79" s="440"/>
      <c r="M79" s="650" t="s">
        <v>495</v>
      </c>
      <c r="N79" s="440"/>
      <c r="O79" s="647"/>
      <c r="P79" s="657"/>
      <c r="Q79" s="471"/>
      <c r="R79" s="657"/>
      <c r="S79" s="471"/>
      <c r="T79" s="687" t="s">
        <v>613</v>
      </c>
      <c r="V79" s="684" t="s">
        <v>601</v>
      </c>
    </row>
    <row r="80" spans="1:22" ht="28.5" x14ac:dyDescent="0.2">
      <c r="A80" s="440"/>
      <c r="B80" s="650" t="s">
        <v>496</v>
      </c>
      <c r="C80" s="440"/>
      <c r="D80" s="647"/>
      <c r="E80" s="657"/>
      <c r="F80" s="471"/>
      <c r="G80" s="657"/>
      <c r="H80" s="471"/>
      <c r="I80" s="687" t="s">
        <v>613</v>
      </c>
      <c r="K80" s="684" t="s">
        <v>601</v>
      </c>
      <c r="L80" s="440"/>
      <c r="M80" s="650" t="s">
        <v>496</v>
      </c>
      <c r="N80" s="440"/>
      <c r="O80" s="647"/>
      <c r="P80" s="657"/>
      <c r="Q80" s="471"/>
      <c r="R80" s="657"/>
      <c r="S80" s="471"/>
      <c r="T80" s="687" t="s">
        <v>613</v>
      </c>
      <c r="V80" s="684" t="s">
        <v>601</v>
      </c>
    </row>
    <row r="81" spans="1:20" x14ac:dyDescent="0.2">
      <c r="L81" s="658"/>
      <c r="N81" s="658"/>
      <c r="O81" s="493"/>
      <c r="P81" s="691"/>
      <c r="R81" s="691"/>
      <c r="T81" s="661"/>
    </row>
    <row r="82" spans="1:20" s="697" customFormat="1" ht="15" x14ac:dyDescent="0.2">
      <c r="A82" s="692"/>
      <c r="B82" s="684" t="s">
        <v>614</v>
      </c>
      <c r="C82" s="693"/>
      <c r="D82" s="694"/>
      <c r="E82" s="695"/>
      <c r="F82" s="684"/>
      <c r="G82" s="695"/>
      <c r="H82" s="684"/>
      <c r="I82" s="696"/>
      <c r="L82" s="692"/>
      <c r="M82" s="684" t="s">
        <v>614</v>
      </c>
      <c r="N82" s="693"/>
      <c r="O82" s="694"/>
      <c r="P82" s="695"/>
      <c r="Q82" s="684"/>
      <c r="R82" s="695"/>
      <c r="S82" s="684"/>
      <c r="T82" s="696"/>
    </row>
    <row r="83" spans="1:20" x14ac:dyDescent="0.2">
      <c r="L83" s="658"/>
      <c r="N83" s="658"/>
      <c r="O83" s="493"/>
      <c r="P83" s="691"/>
      <c r="R83" s="691"/>
      <c r="T83" s="661"/>
    </row>
    <row r="84" spans="1:20" ht="15" x14ac:dyDescent="0.2">
      <c r="B84" s="684" t="s">
        <v>615</v>
      </c>
      <c r="C84" s="698"/>
      <c r="L84" s="658"/>
      <c r="M84" s="684" t="s">
        <v>615</v>
      </c>
      <c r="N84" s="698"/>
      <c r="O84" s="493"/>
      <c r="P84" s="691"/>
      <c r="R84" s="691"/>
      <c r="T84" s="661"/>
    </row>
    <row r="85" spans="1:20" s="703" customFormat="1" ht="15" x14ac:dyDescent="0.2">
      <c r="A85" s="699"/>
      <c r="B85" s="700" t="s">
        <v>616</v>
      </c>
      <c r="C85" s="699"/>
      <c r="D85" s="701"/>
      <c r="E85" s="702"/>
      <c r="G85" s="702"/>
      <c r="I85" s="704">
        <f>65*0.8*1.16</f>
        <v>60.319999999999993</v>
      </c>
      <c r="L85" s="699"/>
      <c r="M85" s="700" t="s">
        <v>616</v>
      </c>
      <c r="N85" s="699"/>
      <c r="O85" s="701"/>
      <c r="P85" s="702"/>
      <c r="R85" s="702"/>
      <c r="T85" s="704"/>
    </row>
    <row r="86" spans="1:20" s="703" customFormat="1" ht="15" x14ac:dyDescent="0.2">
      <c r="A86" s="699"/>
      <c r="B86" s="705" t="s">
        <v>617</v>
      </c>
      <c r="C86" s="699"/>
      <c r="D86" s="701"/>
      <c r="E86" s="702"/>
      <c r="G86" s="702"/>
      <c r="I86" s="704"/>
      <c r="L86" s="699"/>
      <c r="M86" s="705" t="s">
        <v>617</v>
      </c>
      <c r="N86" s="699"/>
      <c r="O86" s="701"/>
      <c r="P86" s="702"/>
      <c r="R86" s="702"/>
      <c r="T86" s="704"/>
    </row>
    <row r="87" spans="1:20" s="703" customFormat="1" ht="15" x14ac:dyDescent="0.2">
      <c r="A87" s="699"/>
      <c r="B87" s="705" t="s">
        <v>618</v>
      </c>
      <c r="C87" s="699"/>
      <c r="D87" s="701"/>
      <c r="E87" s="702"/>
      <c r="G87" s="702"/>
      <c r="I87" s="704"/>
      <c r="L87" s="699"/>
      <c r="M87" s="705" t="s">
        <v>618</v>
      </c>
      <c r="N87" s="699"/>
      <c r="O87" s="701"/>
      <c r="P87" s="702"/>
      <c r="R87" s="702"/>
      <c r="T87" s="704"/>
    </row>
    <row r="88" spans="1:20" s="703" customFormat="1" ht="15" x14ac:dyDescent="0.2">
      <c r="A88" s="699"/>
      <c r="B88" s="705" t="s">
        <v>619</v>
      </c>
      <c r="C88" s="699"/>
      <c r="D88" s="701"/>
      <c r="E88" s="702"/>
      <c r="G88" s="702"/>
      <c r="I88" s="704"/>
      <c r="L88" s="699"/>
      <c r="M88" s="705" t="s">
        <v>619</v>
      </c>
      <c r="N88" s="699"/>
      <c r="O88" s="701"/>
      <c r="P88" s="702"/>
      <c r="R88" s="702"/>
      <c r="T88" s="704"/>
    </row>
    <row r="89" spans="1:20" s="703" customFormat="1" ht="15" x14ac:dyDescent="0.2">
      <c r="A89" s="699"/>
      <c r="B89" s="705" t="s">
        <v>620</v>
      </c>
      <c r="C89" s="699"/>
      <c r="D89" s="701"/>
      <c r="E89" s="702"/>
      <c r="G89" s="702"/>
      <c r="I89" s="704"/>
      <c r="L89" s="699"/>
      <c r="M89" s="705" t="s">
        <v>620</v>
      </c>
      <c r="N89" s="699"/>
      <c r="O89" s="701"/>
      <c r="P89" s="702"/>
      <c r="R89" s="702"/>
      <c r="T89" s="704"/>
    </row>
    <row r="90" spans="1:20" s="703" customFormat="1" ht="15" x14ac:dyDescent="0.2">
      <c r="A90" s="699"/>
      <c r="B90" s="705" t="s">
        <v>621</v>
      </c>
      <c r="C90" s="699"/>
      <c r="D90" s="701"/>
      <c r="E90" s="702"/>
      <c r="G90" s="702"/>
      <c r="I90" s="704"/>
      <c r="L90" s="699"/>
      <c r="M90" s="705" t="s">
        <v>621</v>
      </c>
      <c r="N90" s="699"/>
      <c r="O90" s="701"/>
      <c r="P90" s="702"/>
      <c r="R90" s="702"/>
      <c r="T90" s="704"/>
    </row>
    <row r="91" spans="1:20" s="703" customFormat="1" ht="15" x14ac:dyDescent="0.2">
      <c r="A91" s="699"/>
      <c r="B91" s="705" t="s">
        <v>622</v>
      </c>
      <c r="C91" s="699"/>
      <c r="D91" s="701"/>
      <c r="E91" s="702"/>
      <c r="G91" s="702"/>
      <c r="I91" s="704"/>
      <c r="L91" s="699"/>
      <c r="M91" s="705" t="s">
        <v>622</v>
      </c>
      <c r="N91" s="699"/>
      <c r="O91" s="701"/>
      <c r="P91" s="702"/>
      <c r="R91" s="702"/>
      <c r="T91" s="704"/>
    </row>
    <row r="92" spans="1:20" s="703" customFormat="1" ht="15" x14ac:dyDescent="0.2">
      <c r="A92" s="699"/>
      <c r="B92" s="705" t="s">
        <v>623</v>
      </c>
      <c r="C92" s="699"/>
      <c r="D92" s="701"/>
      <c r="E92" s="702"/>
      <c r="G92" s="702"/>
      <c r="I92" s="704"/>
      <c r="L92" s="699"/>
      <c r="M92" s="705" t="s">
        <v>623</v>
      </c>
      <c r="N92" s="699"/>
      <c r="O92" s="701"/>
      <c r="P92" s="702"/>
      <c r="R92" s="702"/>
      <c r="T92" s="704"/>
    </row>
    <row r="93" spans="1:20" s="703" customFormat="1" ht="15" x14ac:dyDescent="0.2">
      <c r="A93" s="699"/>
      <c r="B93" s="705" t="s">
        <v>624</v>
      </c>
      <c r="C93" s="699"/>
      <c r="D93" s="701"/>
      <c r="E93" s="702"/>
      <c r="G93" s="702"/>
      <c r="I93" s="704"/>
      <c r="L93" s="699"/>
      <c r="M93" s="705" t="s">
        <v>624</v>
      </c>
      <c r="N93" s="699"/>
      <c r="O93" s="701"/>
      <c r="P93" s="702"/>
      <c r="R93" s="702"/>
      <c r="T93" s="704"/>
    </row>
    <row r="94" spans="1:20" s="703" customFormat="1" ht="15" x14ac:dyDescent="0.2">
      <c r="A94" s="699"/>
      <c r="B94" s="705" t="s">
        <v>625</v>
      </c>
      <c r="C94" s="699"/>
      <c r="D94" s="701"/>
      <c r="E94" s="702"/>
      <c r="G94" s="702"/>
      <c r="I94" s="704"/>
      <c r="L94" s="699"/>
      <c r="M94" s="705" t="s">
        <v>625</v>
      </c>
      <c r="N94" s="699"/>
      <c r="O94" s="701"/>
      <c r="P94" s="702">
        <f>73000</f>
        <v>73000</v>
      </c>
      <c r="R94" s="702"/>
      <c r="T94" s="704"/>
    </row>
    <row r="95" spans="1:20" s="703" customFormat="1" ht="15" x14ac:dyDescent="0.2">
      <c r="A95" s="699"/>
      <c r="B95" s="705" t="s">
        <v>626</v>
      </c>
      <c r="C95" s="699"/>
      <c r="D95" s="701"/>
      <c r="E95" s="702"/>
      <c r="G95" s="702"/>
      <c r="I95" s="704"/>
      <c r="L95" s="699"/>
      <c r="M95" s="705" t="s">
        <v>626</v>
      </c>
      <c r="N95" s="699"/>
      <c r="O95" s="701"/>
      <c r="P95" s="702"/>
      <c r="R95" s="702"/>
      <c r="T95" s="704"/>
    </row>
    <row r="96" spans="1:20" s="703" customFormat="1" ht="15" x14ac:dyDescent="0.2">
      <c r="A96" s="699"/>
      <c r="B96" s="705"/>
      <c r="C96" s="699"/>
      <c r="D96" s="701"/>
      <c r="E96" s="702"/>
      <c r="G96" s="702"/>
      <c r="I96" s="704"/>
      <c r="L96" s="699"/>
      <c r="M96" s="705"/>
      <c r="N96" s="699"/>
      <c r="O96" s="701"/>
      <c r="P96" s="702"/>
      <c r="R96" s="702"/>
      <c r="T96" s="704"/>
    </row>
    <row r="97" spans="1:20" s="703" customFormat="1" ht="15" x14ac:dyDescent="0.2">
      <c r="A97" s="699"/>
      <c r="B97" s="705" t="s">
        <v>627</v>
      </c>
      <c r="C97" s="699"/>
      <c r="D97" s="701"/>
      <c r="E97" s="702"/>
      <c r="G97" s="702"/>
      <c r="I97" s="704"/>
      <c r="L97" s="699"/>
      <c r="M97" s="705" t="s">
        <v>627</v>
      </c>
      <c r="N97" s="699"/>
      <c r="O97" s="701"/>
      <c r="P97" s="702"/>
      <c r="R97" s="702"/>
      <c r="T97" s="704"/>
    </row>
    <row r="98" spans="1:20" s="703" customFormat="1" ht="15" x14ac:dyDescent="0.2">
      <c r="A98" s="699"/>
      <c r="B98" s="705" t="s">
        <v>628</v>
      </c>
      <c r="C98" s="699"/>
      <c r="D98" s="701"/>
      <c r="E98" s="702"/>
      <c r="G98" s="702"/>
      <c r="I98" s="704"/>
      <c r="L98" s="699"/>
      <c r="M98" s="705" t="s">
        <v>628</v>
      </c>
      <c r="N98" s="699"/>
      <c r="O98" s="701"/>
      <c r="P98" s="702"/>
      <c r="R98" s="702"/>
      <c r="T98" s="704"/>
    </row>
    <row r="99" spans="1:20" s="703" customFormat="1" ht="15" x14ac:dyDescent="0.2">
      <c r="A99" s="699"/>
      <c r="B99" s="705"/>
      <c r="C99" s="699"/>
      <c r="D99" s="701"/>
      <c r="E99" s="702"/>
      <c r="G99" s="702"/>
      <c r="I99" s="704"/>
      <c r="L99" s="699"/>
      <c r="M99" s="705"/>
      <c r="N99" s="699"/>
      <c r="O99" s="701"/>
      <c r="P99" s="702"/>
      <c r="R99" s="702"/>
      <c r="T99" s="704"/>
    </row>
    <row r="100" spans="1:20" ht="15.75" thickBot="1" x14ac:dyDescent="0.25">
      <c r="B100" s="705" t="s">
        <v>629</v>
      </c>
      <c r="C100" s="698"/>
      <c r="D100" s="488"/>
      <c r="L100" s="658"/>
      <c r="M100" s="705" t="s">
        <v>629</v>
      </c>
      <c r="N100" s="698"/>
      <c r="O100" s="488"/>
      <c r="P100" s="691"/>
      <c r="R100" s="691"/>
      <c r="T100" s="661"/>
    </row>
    <row r="101" spans="1:20" ht="15" x14ac:dyDescent="0.2">
      <c r="B101" s="1033" t="s">
        <v>3</v>
      </c>
      <c r="C101" s="1033"/>
      <c r="D101" s="1033" t="s">
        <v>35</v>
      </c>
      <c r="E101" s="1022" t="s">
        <v>630</v>
      </c>
      <c r="F101" s="706" t="s">
        <v>631</v>
      </c>
      <c r="G101" s="1022" t="s">
        <v>632</v>
      </c>
      <c r="H101" s="1024" t="s">
        <v>633</v>
      </c>
      <c r="L101" s="658"/>
      <c r="M101" s="1033" t="s">
        <v>3</v>
      </c>
      <c r="N101" s="1033"/>
      <c r="O101" s="1033" t="s">
        <v>35</v>
      </c>
      <c r="P101" s="1022" t="s">
        <v>630</v>
      </c>
      <c r="Q101" s="706" t="s">
        <v>631</v>
      </c>
      <c r="R101" s="1022" t="s">
        <v>632</v>
      </c>
      <c r="S101" s="1024" t="s">
        <v>633</v>
      </c>
      <c r="T101" s="661"/>
    </row>
    <row r="102" spans="1:20" ht="15.75" thickBot="1" x14ac:dyDescent="0.25">
      <c r="B102" s="1034"/>
      <c r="C102" s="1034"/>
      <c r="D102" s="1034"/>
      <c r="E102" s="1023"/>
      <c r="F102" s="707" t="s">
        <v>634</v>
      </c>
      <c r="G102" s="1023"/>
      <c r="H102" s="1025"/>
      <c r="L102" s="658"/>
      <c r="M102" s="1034"/>
      <c r="N102" s="1034"/>
      <c r="O102" s="1034"/>
      <c r="P102" s="1023"/>
      <c r="Q102" s="707" t="s">
        <v>634</v>
      </c>
      <c r="R102" s="1023"/>
      <c r="S102" s="1025"/>
      <c r="T102" s="661"/>
    </row>
    <row r="103" spans="1:20" ht="18" thickBot="1" x14ac:dyDescent="0.25">
      <c r="B103" s="708" t="s">
        <v>326</v>
      </c>
      <c r="C103" s="709" t="s">
        <v>635</v>
      </c>
      <c r="D103" s="709" t="s">
        <v>636</v>
      </c>
      <c r="E103" s="710">
        <v>400</v>
      </c>
      <c r="F103" s="711">
        <v>20</v>
      </c>
      <c r="G103" s="710" t="s">
        <v>567</v>
      </c>
      <c r="H103" s="711">
        <v>379.54</v>
      </c>
      <c r="I103" s="661">
        <f>E103-F103</f>
        <v>380</v>
      </c>
      <c r="L103" s="658"/>
      <c r="M103" s="708" t="s">
        <v>326</v>
      </c>
      <c r="N103" s="709" t="s">
        <v>635</v>
      </c>
      <c r="O103" s="709" t="s">
        <v>636</v>
      </c>
      <c r="P103" s="710">
        <v>400</v>
      </c>
      <c r="Q103" s="711">
        <v>20</v>
      </c>
      <c r="R103" s="710" t="s">
        <v>567</v>
      </c>
      <c r="S103" s="711">
        <v>379.54</v>
      </c>
      <c r="T103" s="661">
        <f>P103-Q103</f>
        <v>380</v>
      </c>
    </row>
    <row r="104" spans="1:20" ht="18" thickBot="1" x14ac:dyDescent="0.25">
      <c r="B104" s="712" t="s">
        <v>568</v>
      </c>
      <c r="C104" s="709" t="s">
        <v>635</v>
      </c>
      <c r="D104" s="709" t="s">
        <v>636</v>
      </c>
      <c r="E104" s="710">
        <v>5</v>
      </c>
      <c r="F104" s="711">
        <v>1</v>
      </c>
      <c r="G104" s="710" t="s">
        <v>569</v>
      </c>
      <c r="H104" s="711">
        <v>6410.11</v>
      </c>
      <c r="I104" s="661">
        <f t="shared" ref="I104:I119" si="6">E104-F104</f>
        <v>4</v>
      </c>
      <c r="L104" s="658"/>
      <c r="M104" s="712" t="s">
        <v>568</v>
      </c>
      <c r="N104" s="709" t="s">
        <v>635</v>
      </c>
      <c r="O104" s="709" t="s">
        <v>636</v>
      </c>
      <c r="P104" s="710">
        <v>5</v>
      </c>
      <c r="Q104" s="711">
        <v>1</v>
      </c>
      <c r="R104" s="710" t="s">
        <v>569</v>
      </c>
      <c r="S104" s="711">
        <v>6410.11</v>
      </c>
      <c r="T104" s="661">
        <f t="shared" ref="T104:T119" si="7">P104-Q104</f>
        <v>4</v>
      </c>
    </row>
    <row r="105" spans="1:20" ht="15" x14ac:dyDescent="0.2">
      <c r="B105" s="1026" t="s">
        <v>570</v>
      </c>
      <c r="C105" s="1028" t="s">
        <v>635</v>
      </c>
      <c r="D105" s="1028" t="s">
        <v>636</v>
      </c>
      <c r="E105" s="1030">
        <v>50</v>
      </c>
      <c r="F105" s="1026">
        <v>5</v>
      </c>
      <c r="G105" s="713" t="s">
        <v>637</v>
      </c>
      <c r="H105" s="1026">
        <v>10283.049999999999</v>
      </c>
      <c r="I105" s="661">
        <f t="shared" si="6"/>
        <v>45</v>
      </c>
      <c r="L105" s="658"/>
      <c r="M105" s="1026" t="s">
        <v>570</v>
      </c>
      <c r="N105" s="1028" t="s">
        <v>635</v>
      </c>
      <c r="O105" s="1028" t="s">
        <v>636</v>
      </c>
      <c r="P105" s="1030">
        <v>50</v>
      </c>
      <c r="Q105" s="1026">
        <v>5</v>
      </c>
      <c r="R105" s="713" t="s">
        <v>637</v>
      </c>
      <c r="S105" s="1026">
        <v>10283.049999999999</v>
      </c>
      <c r="T105" s="661">
        <f t="shared" si="7"/>
        <v>45</v>
      </c>
    </row>
    <row r="106" spans="1:20" ht="30.75" thickBot="1" x14ac:dyDescent="0.25">
      <c r="B106" s="1027"/>
      <c r="C106" s="1029"/>
      <c r="D106" s="1029"/>
      <c r="E106" s="1031"/>
      <c r="F106" s="1027"/>
      <c r="G106" s="714" t="s">
        <v>638</v>
      </c>
      <c r="H106" s="1027"/>
      <c r="I106" s="661">
        <f t="shared" si="6"/>
        <v>0</v>
      </c>
      <c r="L106" s="658"/>
      <c r="M106" s="1027"/>
      <c r="N106" s="1029"/>
      <c r="O106" s="1029"/>
      <c r="P106" s="1031"/>
      <c r="Q106" s="1027"/>
      <c r="R106" s="714" t="s">
        <v>638</v>
      </c>
      <c r="S106" s="1027"/>
      <c r="T106" s="661">
        <f t="shared" si="7"/>
        <v>0</v>
      </c>
    </row>
    <row r="107" spans="1:20" ht="15.75" thickBot="1" x14ac:dyDescent="0.25">
      <c r="B107" s="712" t="s">
        <v>491</v>
      </c>
      <c r="C107" s="709" t="s">
        <v>635</v>
      </c>
      <c r="D107" s="709" t="s">
        <v>15</v>
      </c>
      <c r="E107" s="710">
        <v>6</v>
      </c>
      <c r="F107" s="711">
        <v>1</v>
      </c>
      <c r="G107" s="714" t="s">
        <v>572</v>
      </c>
      <c r="H107" s="711">
        <v>83500</v>
      </c>
      <c r="I107" s="661">
        <f t="shared" si="6"/>
        <v>5</v>
      </c>
      <c r="L107" s="658"/>
      <c r="M107" s="712" t="s">
        <v>491</v>
      </c>
      <c r="N107" s="709" t="s">
        <v>635</v>
      </c>
      <c r="O107" s="709" t="s">
        <v>15</v>
      </c>
      <c r="P107" s="710">
        <v>6</v>
      </c>
      <c r="Q107" s="711">
        <v>1</v>
      </c>
      <c r="R107" s="714" t="s">
        <v>572</v>
      </c>
      <c r="S107" s="711">
        <v>83500</v>
      </c>
      <c r="T107" s="661">
        <f t="shared" si="7"/>
        <v>5</v>
      </c>
    </row>
    <row r="108" spans="1:20" ht="15.75" thickBot="1" x14ac:dyDescent="0.25">
      <c r="B108" s="712" t="s">
        <v>573</v>
      </c>
      <c r="C108" s="709" t="s">
        <v>635</v>
      </c>
      <c r="D108" s="709" t="s">
        <v>15</v>
      </c>
      <c r="E108" s="710">
        <v>1</v>
      </c>
      <c r="F108" s="711">
        <v>1</v>
      </c>
      <c r="G108" s="710">
        <v>10.1</v>
      </c>
      <c r="H108" s="711">
        <v>86050</v>
      </c>
      <c r="I108" s="661">
        <f t="shared" si="6"/>
        <v>0</v>
      </c>
      <c r="L108" s="658"/>
      <c r="M108" s="712" t="s">
        <v>573</v>
      </c>
      <c r="N108" s="709" t="s">
        <v>635</v>
      </c>
      <c r="O108" s="709" t="s">
        <v>15</v>
      </c>
      <c r="P108" s="710">
        <v>1</v>
      </c>
      <c r="Q108" s="711">
        <v>1</v>
      </c>
      <c r="R108" s="710">
        <v>10.1</v>
      </c>
      <c r="S108" s="711">
        <v>86050</v>
      </c>
      <c r="T108" s="661">
        <f t="shared" si="7"/>
        <v>0</v>
      </c>
    </row>
    <row r="109" spans="1:20" ht="18" thickBot="1" x14ac:dyDescent="0.25">
      <c r="B109" s="712" t="s">
        <v>574</v>
      </c>
      <c r="C109" s="709" t="s">
        <v>635</v>
      </c>
      <c r="D109" s="709" t="s">
        <v>639</v>
      </c>
      <c r="E109" s="710">
        <v>35</v>
      </c>
      <c r="F109" s="711" t="s">
        <v>2</v>
      </c>
      <c r="G109" s="710" t="s">
        <v>576</v>
      </c>
      <c r="H109" s="711">
        <v>829.45</v>
      </c>
      <c r="I109" s="661" t="e">
        <f t="shared" si="6"/>
        <v>#VALUE!</v>
      </c>
      <c r="L109" s="658"/>
      <c r="M109" s="712" t="s">
        <v>574</v>
      </c>
      <c r="N109" s="709" t="s">
        <v>635</v>
      </c>
      <c r="O109" s="709" t="s">
        <v>639</v>
      </c>
      <c r="P109" s="710">
        <v>35</v>
      </c>
      <c r="Q109" s="711" t="s">
        <v>2</v>
      </c>
      <c r="R109" s="710" t="s">
        <v>576</v>
      </c>
      <c r="S109" s="711">
        <v>829.45</v>
      </c>
      <c r="T109" s="661" t="e">
        <f t="shared" si="7"/>
        <v>#VALUE!</v>
      </c>
    </row>
    <row r="110" spans="1:20" ht="18" thickBot="1" x14ac:dyDescent="0.25">
      <c r="B110" s="712" t="s">
        <v>577</v>
      </c>
      <c r="C110" s="709" t="s">
        <v>635</v>
      </c>
      <c r="D110" s="709" t="s">
        <v>636</v>
      </c>
      <c r="E110" s="710">
        <v>20</v>
      </c>
      <c r="F110" s="711" t="s">
        <v>2</v>
      </c>
      <c r="G110" s="710" t="s">
        <v>578</v>
      </c>
      <c r="H110" s="711">
        <v>3653</v>
      </c>
      <c r="I110" s="661" t="e">
        <f t="shared" si="6"/>
        <v>#VALUE!</v>
      </c>
      <c r="L110" s="658"/>
      <c r="M110" s="712" t="s">
        <v>577</v>
      </c>
      <c r="N110" s="709" t="s">
        <v>635</v>
      </c>
      <c r="O110" s="709" t="s">
        <v>636</v>
      </c>
      <c r="P110" s="710">
        <v>20</v>
      </c>
      <c r="Q110" s="711" t="s">
        <v>2</v>
      </c>
      <c r="R110" s="710" t="s">
        <v>578</v>
      </c>
      <c r="S110" s="711">
        <v>3653</v>
      </c>
      <c r="T110" s="661" t="e">
        <f t="shared" si="7"/>
        <v>#VALUE!</v>
      </c>
    </row>
    <row r="111" spans="1:20" ht="18" thickBot="1" x14ac:dyDescent="0.25">
      <c r="B111" s="712" t="s">
        <v>579</v>
      </c>
      <c r="C111" s="709" t="s">
        <v>635</v>
      </c>
      <c r="D111" s="709" t="s">
        <v>636</v>
      </c>
      <c r="E111" s="710">
        <v>35</v>
      </c>
      <c r="F111" s="711" t="s">
        <v>2</v>
      </c>
      <c r="G111" s="710" t="s">
        <v>580</v>
      </c>
      <c r="H111" s="711">
        <v>7590.45</v>
      </c>
      <c r="I111" s="661" t="e">
        <f t="shared" si="6"/>
        <v>#VALUE!</v>
      </c>
      <c r="L111" s="658"/>
      <c r="M111" s="712" t="s">
        <v>579</v>
      </c>
      <c r="N111" s="709" t="s">
        <v>635</v>
      </c>
      <c r="O111" s="709" t="s">
        <v>636</v>
      </c>
      <c r="P111" s="710">
        <v>35</v>
      </c>
      <c r="Q111" s="711" t="s">
        <v>2</v>
      </c>
      <c r="R111" s="710" t="s">
        <v>580</v>
      </c>
      <c r="S111" s="711">
        <v>7590.45</v>
      </c>
      <c r="T111" s="661" t="e">
        <f t="shared" si="7"/>
        <v>#VALUE!</v>
      </c>
    </row>
    <row r="112" spans="1:20" ht="18" thickBot="1" x14ac:dyDescent="0.25">
      <c r="B112" s="712" t="s">
        <v>581</v>
      </c>
      <c r="C112" s="709" t="s">
        <v>635</v>
      </c>
      <c r="D112" s="709" t="s">
        <v>639</v>
      </c>
      <c r="E112" s="710">
        <v>140</v>
      </c>
      <c r="F112" s="711" t="s">
        <v>2</v>
      </c>
      <c r="G112" s="710" t="s">
        <v>582</v>
      </c>
      <c r="H112" s="711">
        <v>345.65</v>
      </c>
      <c r="I112" s="661" t="e">
        <f t="shared" si="6"/>
        <v>#VALUE!</v>
      </c>
      <c r="L112" s="658"/>
      <c r="M112" s="712" t="s">
        <v>581</v>
      </c>
      <c r="N112" s="709" t="s">
        <v>635</v>
      </c>
      <c r="O112" s="709" t="s">
        <v>639</v>
      </c>
      <c r="P112" s="710">
        <v>140</v>
      </c>
      <c r="Q112" s="711" t="s">
        <v>2</v>
      </c>
      <c r="R112" s="710" t="s">
        <v>582</v>
      </c>
      <c r="S112" s="711">
        <v>345.65</v>
      </c>
      <c r="T112" s="661" t="e">
        <f t="shared" si="7"/>
        <v>#VALUE!</v>
      </c>
    </row>
    <row r="113" spans="2:20" ht="18" thickBot="1" x14ac:dyDescent="0.25">
      <c r="B113" s="712" t="s">
        <v>583</v>
      </c>
      <c r="C113" s="709" t="s">
        <v>635</v>
      </c>
      <c r="D113" s="709" t="s">
        <v>639</v>
      </c>
      <c r="E113" s="710">
        <v>140</v>
      </c>
      <c r="F113" s="711" t="s">
        <v>2</v>
      </c>
      <c r="G113" s="710" t="s">
        <v>584</v>
      </c>
      <c r="H113" s="711">
        <v>292.85000000000002</v>
      </c>
      <c r="I113" s="661" t="e">
        <f t="shared" si="6"/>
        <v>#VALUE!</v>
      </c>
      <c r="L113" s="658"/>
      <c r="M113" s="712" t="s">
        <v>583</v>
      </c>
      <c r="N113" s="709" t="s">
        <v>635</v>
      </c>
      <c r="O113" s="709" t="s">
        <v>639</v>
      </c>
      <c r="P113" s="710">
        <v>140</v>
      </c>
      <c r="Q113" s="711" t="s">
        <v>2</v>
      </c>
      <c r="R113" s="710" t="s">
        <v>584</v>
      </c>
      <c r="S113" s="711">
        <v>292.85000000000002</v>
      </c>
      <c r="T113" s="661" t="e">
        <f t="shared" si="7"/>
        <v>#VALUE!</v>
      </c>
    </row>
    <row r="114" spans="2:20" ht="18" thickBot="1" x14ac:dyDescent="0.25">
      <c r="B114" s="712" t="s">
        <v>585</v>
      </c>
      <c r="C114" s="709"/>
      <c r="D114" s="709" t="s">
        <v>639</v>
      </c>
      <c r="E114" s="710">
        <v>70</v>
      </c>
      <c r="F114" s="711" t="s">
        <v>2</v>
      </c>
      <c r="G114" s="710" t="s">
        <v>327</v>
      </c>
      <c r="H114" s="711">
        <v>227.35</v>
      </c>
      <c r="I114" s="661" t="e">
        <f t="shared" si="6"/>
        <v>#VALUE!</v>
      </c>
      <c r="L114" s="658"/>
      <c r="M114" s="712" t="s">
        <v>585</v>
      </c>
      <c r="N114" s="709"/>
      <c r="O114" s="709" t="s">
        <v>639</v>
      </c>
      <c r="P114" s="710">
        <v>70</v>
      </c>
      <c r="Q114" s="711" t="s">
        <v>2</v>
      </c>
      <c r="R114" s="710" t="s">
        <v>327</v>
      </c>
      <c r="S114" s="711">
        <v>227.35</v>
      </c>
      <c r="T114" s="661" t="e">
        <f t="shared" si="7"/>
        <v>#VALUE!</v>
      </c>
    </row>
    <row r="115" spans="2:20" ht="18" thickBot="1" x14ac:dyDescent="0.25">
      <c r="B115" s="712" t="s">
        <v>586</v>
      </c>
      <c r="C115" s="709"/>
      <c r="D115" s="709" t="s">
        <v>639</v>
      </c>
      <c r="E115" s="710">
        <v>100</v>
      </c>
      <c r="F115" s="711" t="s">
        <v>2</v>
      </c>
      <c r="G115" s="710" t="s">
        <v>587</v>
      </c>
      <c r="H115" s="711">
        <v>713.33</v>
      </c>
      <c r="I115" s="661" t="e">
        <f t="shared" si="6"/>
        <v>#VALUE!</v>
      </c>
      <c r="L115" s="658"/>
      <c r="M115" s="712" t="s">
        <v>586</v>
      </c>
      <c r="N115" s="709"/>
      <c r="O115" s="709" t="s">
        <v>639</v>
      </c>
      <c r="P115" s="710">
        <v>100</v>
      </c>
      <c r="Q115" s="711" t="s">
        <v>2</v>
      </c>
      <c r="R115" s="710" t="s">
        <v>587</v>
      </c>
      <c r="S115" s="711">
        <v>713.33</v>
      </c>
      <c r="T115" s="661" t="e">
        <f t="shared" si="7"/>
        <v>#VALUE!</v>
      </c>
    </row>
    <row r="116" spans="2:20" ht="18" thickBot="1" x14ac:dyDescent="0.25">
      <c r="B116" s="712" t="s">
        <v>588</v>
      </c>
      <c r="C116" s="709" t="s">
        <v>635</v>
      </c>
      <c r="D116" s="709" t="s">
        <v>639</v>
      </c>
      <c r="E116" s="710">
        <v>20</v>
      </c>
      <c r="F116" s="711" t="s">
        <v>2</v>
      </c>
      <c r="G116" s="710" t="s">
        <v>589</v>
      </c>
      <c r="H116" s="711">
        <v>4428.1499999999996</v>
      </c>
      <c r="I116" s="661" t="e">
        <f t="shared" si="6"/>
        <v>#VALUE!</v>
      </c>
      <c r="L116" s="658"/>
      <c r="M116" s="712" t="s">
        <v>588</v>
      </c>
      <c r="N116" s="709" t="s">
        <v>635</v>
      </c>
      <c r="O116" s="709" t="s">
        <v>639</v>
      </c>
      <c r="P116" s="710">
        <v>20</v>
      </c>
      <c r="Q116" s="711" t="s">
        <v>2</v>
      </c>
      <c r="R116" s="710" t="s">
        <v>589</v>
      </c>
      <c r="S116" s="711">
        <v>4428.1499999999996</v>
      </c>
      <c r="T116" s="661" t="e">
        <f t="shared" si="7"/>
        <v>#VALUE!</v>
      </c>
    </row>
    <row r="117" spans="2:20" ht="18" thickBot="1" x14ac:dyDescent="0.25">
      <c r="B117" s="712" t="s">
        <v>590</v>
      </c>
      <c r="C117" s="709" t="s">
        <v>635</v>
      </c>
      <c r="D117" s="709" t="s">
        <v>639</v>
      </c>
      <c r="E117" s="710">
        <v>140</v>
      </c>
      <c r="F117" s="711" t="s">
        <v>2</v>
      </c>
      <c r="G117" s="710" t="s">
        <v>591</v>
      </c>
      <c r="H117" s="711">
        <v>164.7</v>
      </c>
      <c r="I117" s="661" t="e">
        <f t="shared" si="6"/>
        <v>#VALUE!</v>
      </c>
      <c r="L117" s="658"/>
      <c r="M117" s="712" t="s">
        <v>590</v>
      </c>
      <c r="N117" s="709" t="s">
        <v>635</v>
      </c>
      <c r="O117" s="709" t="s">
        <v>639</v>
      </c>
      <c r="P117" s="710">
        <v>140</v>
      </c>
      <c r="Q117" s="711" t="s">
        <v>2</v>
      </c>
      <c r="R117" s="710" t="s">
        <v>591</v>
      </c>
      <c r="S117" s="711">
        <v>164.7</v>
      </c>
      <c r="T117" s="661" t="e">
        <f t="shared" si="7"/>
        <v>#VALUE!</v>
      </c>
    </row>
    <row r="118" spans="2:20" ht="18" thickBot="1" x14ac:dyDescent="0.25">
      <c r="B118" s="712" t="s">
        <v>592</v>
      </c>
      <c r="C118" s="709" t="s">
        <v>635</v>
      </c>
      <c r="D118" s="709" t="s">
        <v>639</v>
      </c>
      <c r="E118" s="710">
        <v>210</v>
      </c>
      <c r="F118" s="711" t="s">
        <v>2</v>
      </c>
      <c r="G118" s="710" t="s">
        <v>328</v>
      </c>
      <c r="H118" s="711">
        <v>128.65</v>
      </c>
      <c r="I118" s="661" t="e">
        <f t="shared" si="6"/>
        <v>#VALUE!</v>
      </c>
      <c r="L118" s="658"/>
      <c r="M118" s="712" t="s">
        <v>592</v>
      </c>
      <c r="N118" s="709" t="s">
        <v>635</v>
      </c>
      <c r="O118" s="709" t="s">
        <v>639</v>
      </c>
      <c r="P118" s="710">
        <v>210</v>
      </c>
      <c r="Q118" s="711" t="s">
        <v>2</v>
      </c>
      <c r="R118" s="710" t="s">
        <v>328</v>
      </c>
      <c r="S118" s="711">
        <v>128.65</v>
      </c>
      <c r="T118" s="661" t="e">
        <f t="shared" si="7"/>
        <v>#VALUE!</v>
      </c>
    </row>
    <row r="119" spans="2:20" ht="18" thickBot="1" x14ac:dyDescent="0.25">
      <c r="B119" s="712" t="s">
        <v>593</v>
      </c>
      <c r="C119" s="709" t="s">
        <v>635</v>
      </c>
      <c r="D119" s="709" t="s">
        <v>639</v>
      </c>
      <c r="E119" s="710">
        <v>70</v>
      </c>
      <c r="F119" s="711" t="s">
        <v>2</v>
      </c>
      <c r="G119" s="710" t="s">
        <v>329</v>
      </c>
      <c r="H119" s="711">
        <v>498.35</v>
      </c>
      <c r="I119" s="661" t="e">
        <f t="shared" si="6"/>
        <v>#VALUE!</v>
      </c>
      <c r="L119" s="658"/>
      <c r="M119" s="712" t="s">
        <v>593</v>
      </c>
      <c r="N119" s="709" t="s">
        <v>635</v>
      </c>
      <c r="O119" s="709" t="s">
        <v>639</v>
      </c>
      <c r="P119" s="710">
        <v>70</v>
      </c>
      <c r="Q119" s="711" t="s">
        <v>2</v>
      </c>
      <c r="R119" s="710" t="s">
        <v>329</v>
      </c>
      <c r="S119" s="711">
        <v>498.35</v>
      </c>
      <c r="T119" s="661" t="e">
        <f t="shared" si="7"/>
        <v>#VALUE!</v>
      </c>
    </row>
    <row r="123" spans="2:20" x14ac:dyDescent="0.2">
      <c r="E123" s="659"/>
      <c r="P123" s="659">
        <f>Q13+Q15+Q19+Q23+Q26+Q46+Q68+Q74</f>
        <v>10154.149696848108</v>
      </c>
    </row>
    <row r="292" ht="69.75" customHeight="1" x14ac:dyDescent="0.2"/>
    <row r="324" ht="18" customHeight="1" x14ac:dyDescent="0.2"/>
  </sheetData>
  <mergeCells count="26">
    <mergeCell ref="B4:D4"/>
    <mergeCell ref="M4:O4"/>
    <mergeCell ref="B101:B102"/>
    <mergeCell ref="C101:C102"/>
    <mergeCell ref="D101:D102"/>
    <mergeCell ref="E101:E102"/>
    <mergeCell ref="G101:G102"/>
    <mergeCell ref="H101:H102"/>
    <mergeCell ref="M101:M102"/>
    <mergeCell ref="N101:N102"/>
    <mergeCell ref="O101:O102"/>
    <mergeCell ref="P101:P102"/>
    <mergeCell ref="R101:R102"/>
    <mergeCell ref="S101:S102"/>
    <mergeCell ref="B105:B106"/>
    <mergeCell ref="C105:C106"/>
    <mergeCell ref="D105:D106"/>
    <mergeCell ref="E105:E106"/>
    <mergeCell ref="F105:F106"/>
    <mergeCell ref="H105:H106"/>
    <mergeCell ref="M105:M106"/>
    <mergeCell ref="N105:N106"/>
    <mergeCell ref="O105:O106"/>
    <mergeCell ref="P105:P106"/>
    <mergeCell ref="Q105:Q106"/>
    <mergeCell ref="S105:S106"/>
  </mergeCells>
  <pageMargins left="0.70866141732283472" right="0.70866141732283472" top="0.74803149606299213" bottom="0.74803149606299213" header="0.31496062992125984" footer="0.31496062992125984"/>
  <pageSetup paperSize="9" scale="11" fitToHeight="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2:I33"/>
  <sheetViews>
    <sheetView zoomScale="80" zoomScaleNormal="80" workbookViewId="0">
      <selection activeCell="M29" sqref="M29"/>
    </sheetView>
  </sheetViews>
  <sheetFormatPr defaultRowHeight="15.75" x14ac:dyDescent="0.2"/>
  <cols>
    <col min="1" max="1" width="4.77734375" style="781" customWidth="1"/>
    <col min="2" max="2" width="34.21875" style="761" customWidth="1"/>
    <col min="3" max="3" width="4.88671875" style="761" customWidth="1"/>
    <col min="4" max="4" width="10" style="774" bestFit="1" customWidth="1"/>
    <col min="5" max="5" width="10.5546875" style="774" bestFit="1" customWidth="1"/>
    <col min="6" max="6" width="12" style="761" bestFit="1" customWidth="1"/>
  </cols>
  <sheetData>
    <row r="2" spans="1:9" ht="21.75" customHeight="1" x14ac:dyDescent="0.2">
      <c r="C2" s="1128" t="s">
        <v>795</v>
      </c>
      <c r="D2" s="1128"/>
      <c r="E2" s="1128"/>
      <c r="F2" s="1128"/>
    </row>
    <row r="4" spans="1:9" ht="25.5" customHeight="1" x14ac:dyDescent="0.2">
      <c r="A4" s="1132" t="s">
        <v>730</v>
      </c>
      <c r="B4" s="1132"/>
    </row>
    <row r="6" spans="1:9" ht="31.5" x14ac:dyDescent="0.2">
      <c r="A6" s="780"/>
      <c r="B6" s="106" t="s">
        <v>3</v>
      </c>
      <c r="C6" s="106" t="s">
        <v>35</v>
      </c>
      <c r="D6" s="793" t="s">
        <v>714</v>
      </c>
      <c r="E6" s="793" t="s">
        <v>715</v>
      </c>
      <c r="F6" s="794" t="s">
        <v>764</v>
      </c>
    </row>
    <row r="7" spans="1:9" ht="20.25" customHeight="1" x14ac:dyDescent="0.2">
      <c r="A7" s="780"/>
      <c r="B7" s="788"/>
      <c r="C7" s="772"/>
      <c r="D7" s="778"/>
      <c r="E7" s="778"/>
      <c r="F7" s="772"/>
    </row>
    <row r="8" spans="1:9" ht="20.25" customHeight="1" x14ac:dyDescent="0.2">
      <c r="A8" s="780">
        <v>1</v>
      </c>
      <c r="B8" s="107" t="s">
        <v>716</v>
      </c>
      <c r="C8" s="107" t="s">
        <v>645</v>
      </c>
      <c r="D8" s="778">
        <v>1</v>
      </c>
      <c r="E8" s="778" t="e">
        <f>#REF!</f>
        <v>#REF!</v>
      </c>
      <c r="F8" s="772" t="e">
        <f>D8*E8/10^5</f>
        <v>#REF!</v>
      </c>
    </row>
    <row r="9" spans="1:9" ht="21.75" customHeight="1" x14ac:dyDescent="0.2">
      <c r="A9" s="780">
        <v>2</v>
      </c>
      <c r="B9" s="107" t="s">
        <v>717</v>
      </c>
      <c r="C9" s="107" t="s">
        <v>645</v>
      </c>
      <c r="D9" s="778">
        <v>1</v>
      </c>
      <c r="E9" s="778" t="e">
        <f>#REF!</f>
        <v>#REF!</v>
      </c>
      <c r="F9" s="772" t="e">
        <f t="shared" ref="F9:F18" si="0">D9*E9/10^5</f>
        <v>#REF!</v>
      </c>
    </row>
    <row r="10" spans="1:9" ht="51.75" customHeight="1" x14ac:dyDescent="0.2">
      <c r="A10" s="780">
        <v>3</v>
      </c>
      <c r="B10" s="770" t="s">
        <v>722</v>
      </c>
      <c r="C10" s="772"/>
      <c r="D10" s="778">
        <v>1</v>
      </c>
      <c r="E10" s="778">
        <f>(7.04-14)*10^5</f>
        <v>-696000</v>
      </c>
      <c r="F10" s="772">
        <f t="shared" si="0"/>
        <v>-6.96</v>
      </c>
    </row>
    <row r="11" spans="1:9" ht="33" customHeight="1" x14ac:dyDescent="0.2">
      <c r="A11" s="780">
        <v>4</v>
      </c>
      <c r="B11" s="770" t="e">
        <f>#REF!</f>
        <v>#REF!</v>
      </c>
      <c r="C11" s="107" t="s">
        <v>672</v>
      </c>
      <c r="D11" s="778" t="e">
        <f>#REF!</f>
        <v>#REF!</v>
      </c>
      <c r="E11" s="778" t="e">
        <f>#REF!</f>
        <v>#REF!</v>
      </c>
      <c r="F11" s="772" t="e">
        <f t="shared" si="0"/>
        <v>#REF!</v>
      </c>
    </row>
    <row r="12" spans="1:9" ht="19.5" customHeight="1" x14ac:dyDescent="0.2">
      <c r="A12" s="780">
        <v>5</v>
      </c>
      <c r="B12" s="107" t="s">
        <v>671</v>
      </c>
      <c r="C12" s="107" t="s">
        <v>645</v>
      </c>
      <c r="D12" s="778">
        <v>1</v>
      </c>
      <c r="E12" s="778" t="e">
        <f>#REF!</f>
        <v>#REF!</v>
      </c>
      <c r="F12" s="772" t="e">
        <f t="shared" si="0"/>
        <v>#REF!</v>
      </c>
    </row>
    <row r="13" spans="1:9" x14ac:dyDescent="0.2">
      <c r="A13" s="780">
        <v>6</v>
      </c>
      <c r="B13" s="107" t="s">
        <v>720</v>
      </c>
      <c r="C13" s="107" t="s">
        <v>645</v>
      </c>
      <c r="D13" s="778">
        <v>1</v>
      </c>
      <c r="E13" s="778" t="e">
        <f>#REF!</f>
        <v>#REF!</v>
      </c>
      <c r="F13" s="772" t="e">
        <f t="shared" si="0"/>
        <v>#REF!</v>
      </c>
    </row>
    <row r="14" spans="1:9" x14ac:dyDescent="0.2">
      <c r="A14" s="780">
        <v>7</v>
      </c>
      <c r="B14" s="107" t="s">
        <v>721</v>
      </c>
      <c r="C14" s="107" t="s">
        <v>645</v>
      </c>
      <c r="D14" s="778">
        <v>1</v>
      </c>
      <c r="E14" s="778" t="e">
        <f>#REF!</f>
        <v>#REF!</v>
      </c>
      <c r="F14" s="772" t="e">
        <f t="shared" si="0"/>
        <v>#REF!</v>
      </c>
      <c r="I14" s="3" t="s">
        <v>0</v>
      </c>
    </row>
    <row r="15" spans="1:9" ht="33" customHeight="1" x14ac:dyDescent="0.2">
      <c r="A15" s="780">
        <v>8</v>
      </c>
      <c r="B15" s="770" t="s">
        <v>728</v>
      </c>
      <c r="C15" s="107" t="s">
        <v>645</v>
      </c>
      <c r="D15" s="778">
        <v>1</v>
      </c>
      <c r="E15" s="778" t="e">
        <f>#REF!-23.1*10^5</f>
        <v>#REF!</v>
      </c>
      <c r="F15" s="772" t="e">
        <f t="shared" si="0"/>
        <v>#REF!</v>
      </c>
    </row>
    <row r="16" spans="1:9" ht="30.75" customHeight="1" x14ac:dyDescent="0.2">
      <c r="A16" s="780">
        <v>9</v>
      </c>
      <c r="B16" s="770" t="e">
        <f>#REF!</f>
        <v>#REF!</v>
      </c>
      <c r="C16" s="107" t="s">
        <v>645</v>
      </c>
      <c r="D16" s="778">
        <v>1</v>
      </c>
      <c r="E16" s="778">
        <f>838.203021516354*10^5</f>
        <v>83820302.151635408</v>
      </c>
      <c r="F16" s="772">
        <f t="shared" si="0"/>
        <v>838.20302151635406</v>
      </c>
    </row>
    <row r="17" spans="1:6" ht="18" customHeight="1" x14ac:dyDescent="0.2">
      <c r="A17" s="780">
        <v>10</v>
      </c>
      <c r="B17" s="107" t="s">
        <v>727</v>
      </c>
      <c r="C17" s="772" t="s">
        <v>677</v>
      </c>
      <c r="D17" s="778">
        <v>550</v>
      </c>
      <c r="E17" s="778" t="e">
        <f>#REF!</f>
        <v>#REF!</v>
      </c>
      <c r="F17" s="772" t="e">
        <f t="shared" si="0"/>
        <v>#REF!</v>
      </c>
    </row>
    <row r="18" spans="1:6" ht="18.75" customHeight="1" x14ac:dyDescent="0.2">
      <c r="A18" s="780">
        <v>11</v>
      </c>
      <c r="B18" s="772" t="s">
        <v>725</v>
      </c>
      <c r="C18" s="772" t="s">
        <v>677</v>
      </c>
      <c r="D18" s="778">
        <v>550</v>
      </c>
      <c r="E18" s="778" t="e">
        <f>#REF!</f>
        <v>#REF!</v>
      </c>
      <c r="F18" s="772" t="e">
        <f t="shared" si="0"/>
        <v>#REF!</v>
      </c>
    </row>
    <row r="19" spans="1:6" ht="18.75" customHeight="1" x14ac:dyDescent="0.2">
      <c r="A19" s="780">
        <v>12</v>
      </c>
      <c r="B19" s="107" t="s">
        <v>729</v>
      </c>
      <c r="C19" s="772" t="s">
        <v>677</v>
      </c>
      <c r="D19" s="778">
        <v>90</v>
      </c>
      <c r="E19" s="778" t="e">
        <f>#REF!</f>
        <v>#REF!</v>
      </c>
      <c r="F19" s="772" t="e">
        <f>D19*E19/10^5</f>
        <v>#REF!</v>
      </c>
    </row>
    <row r="20" spans="1:6" ht="33.75" customHeight="1" x14ac:dyDescent="0.2">
      <c r="A20" s="780">
        <v>13</v>
      </c>
      <c r="B20" s="779" t="e">
        <f>#REF!</f>
        <v>#REF!</v>
      </c>
      <c r="C20" s="772" t="s">
        <v>645</v>
      </c>
      <c r="D20" s="778">
        <v>2</v>
      </c>
      <c r="E20" s="778" t="e">
        <f>#REF!</f>
        <v>#REF!</v>
      </c>
      <c r="F20" s="772" t="e">
        <f>D20*E20/10^5</f>
        <v>#REF!</v>
      </c>
    </row>
    <row r="21" spans="1:6" ht="18.75" customHeight="1" x14ac:dyDescent="0.2">
      <c r="A21" s="780">
        <v>14</v>
      </c>
      <c r="B21" s="772" t="e">
        <f>#REF!</f>
        <v>#REF!</v>
      </c>
      <c r="C21" s="772" t="s">
        <v>677</v>
      </c>
      <c r="D21" s="778" t="e">
        <f>#REF!</f>
        <v>#REF!</v>
      </c>
      <c r="E21" s="778" t="e">
        <f>#REF!</f>
        <v>#REF!</v>
      </c>
      <c r="F21" s="772" t="e">
        <f>D21*E21/10^5</f>
        <v>#REF!</v>
      </c>
    </row>
    <row r="22" spans="1:6" ht="18.75" customHeight="1" x14ac:dyDescent="0.2">
      <c r="A22" s="780">
        <v>15</v>
      </c>
      <c r="B22" s="107" t="s">
        <v>731</v>
      </c>
      <c r="C22" s="772"/>
      <c r="D22" s="778"/>
      <c r="E22" s="778"/>
      <c r="F22" s="107" t="e">
        <f>#REF!+#REF!+#REF!</f>
        <v>#REF!</v>
      </c>
    </row>
    <row r="23" spans="1:6" ht="18.75" customHeight="1" x14ac:dyDescent="0.2">
      <c r="A23" s="780">
        <v>16</v>
      </c>
      <c r="B23" s="107" t="s">
        <v>732</v>
      </c>
      <c r="C23" s="772"/>
      <c r="D23" s="778"/>
      <c r="E23" s="778"/>
      <c r="F23" s="107">
        <f>-132</f>
        <v>-132</v>
      </c>
    </row>
    <row r="24" spans="1:6" ht="18.75" customHeight="1" x14ac:dyDescent="0.2">
      <c r="A24" s="780">
        <v>17</v>
      </c>
      <c r="B24" s="734" t="e">
        <f>#REF!</f>
        <v>#REF!</v>
      </c>
      <c r="C24" s="772" t="s">
        <v>646</v>
      </c>
      <c r="D24" s="778">
        <v>1</v>
      </c>
      <c r="E24" s="778" t="e">
        <f>#REF!*10^5</f>
        <v>#REF!</v>
      </c>
      <c r="F24" s="107" t="e">
        <f>D24*E24/10^5</f>
        <v>#REF!</v>
      </c>
    </row>
    <row r="25" spans="1:6" ht="18.75" customHeight="1" x14ac:dyDescent="0.2">
      <c r="A25" s="780">
        <v>18</v>
      </c>
      <c r="B25" s="734" t="e">
        <f>#REF!</f>
        <v>#REF!</v>
      </c>
      <c r="C25" s="772" t="s">
        <v>646</v>
      </c>
      <c r="D25" s="778">
        <v>1</v>
      </c>
      <c r="E25" s="778" t="e">
        <f>#REF!</f>
        <v>#REF!</v>
      </c>
      <c r="F25" s="107" t="e">
        <f>D25*E25/10^5</f>
        <v>#REF!</v>
      </c>
    </row>
    <row r="26" spans="1:6" ht="18.75" customHeight="1" x14ac:dyDescent="0.2">
      <c r="A26" s="780">
        <v>19</v>
      </c>
      <c r="B26" s="734" t="e">
        <f>#REF!</f>
        <v>#REF!</v>
      </c>
      <c r="C26" s="772" t="s">
        <v>645</v>
      </c>
      <c r="D26" s="778">
        <v>1</v>
      </c>
      <c r="E26" s="778" t="e">
        <f>#REF!</f>
        <v>#REF!</v>
      </c>
      <c r="F26" s="107" t="e">
        <f>D26*E26/10^5</f>
        <v>#REF!</v>
      </c>
    </row>
    <row r="27" spans="1:6" ht="20.25" customHeight="1" x14ac:dyDescent="0.2">
      <c r="A27" s="780"/>
      <c r="B27" s="1125" t="s">
        <v>733</v>
      </c>
      <c r="C27" s="1126"/>
      <c r="D27" s="1126"/>
      <c r="E27" s="1127"/>
      <c r="F27" s="772" t="e">
        <f>SUM(F8:F26)</f>
        <v>#REF!</v>
      </c>
    </row>
    <row r="28" spans="1:6" x14ac:dyDescent="0.2">
      <c r="A28" s="780">
        <v>20</v>
      </c>
      <c r="B28" s="107" t="s">
        <v>192</v>
      </c>
      <c r="C28" s="772"/>
      <c r="D28" s="778"/>
      <c r="E28" s="777"/>
      <c r="F28" s="772">
        <f>'Civil scope change from R0'!G33</f>
        <v>1730.0705340151235</v>
      </c>
    </row>
    <row r="30" spans="1:6" ht="18" x14ac:dyDescent="0.2">
      <c r="A30" s="1129" t="s">
        <v>765</v>
      </c>
      <c r="B30" s="1130"/>
      <c r="C30" s="1130"/>
      <c r="D30" s="1130"/>
      <c r="E30" s="1131"/>
      <c r="F30" s="106" t="e">
        <f>(F27+F28)/100</f>
        <v>#REF!</v>
      </c>
    </row>
    <row r="33" spans="2:6" ht="30" x14ac:dyDescent="0.2">
      <c r="B33" s="776" t="s">
        <v>726</v>
      </c>
      <c r="F33" s="761">
        <f>(5369-2000)</f>
        <v>3369</v>
      </c>
    </row>
  </sheetData>
  <mergeCells count="4">
    <mergeCell ref="B27:E27"/>
    <mergeCell ref="C2:F2"/>
    <mergeCell ref="A30:E30"/>
    <mergeCell ref="A4:B4"/>
  </mergeCells>
  <pageMargins left="0.7" right="0.7" top="0.75" bottom="0.75" header="0.3" footer="0.3"/>
  <pageSetup paperSize="9" scale="96"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3"/>
  <sheetViews>
    <sheetView zoomScale="88" zoomScaleNormal="88" workbookViewId="0">
      <selection activeCell="M31" sqref="M31"/>
    </sheetView>
  </sheetViews>
  <sheetFormatPr defaultRowHeight="15" x14ac:dyDescent="0.2"/>
  <cols>
    <col min="1" max="1" width="3.6640625" customWidth="1"/>
    <col min="2" max="2" width="20.6640625" style="761" customWidth="1"/>
    <col min="5" max="5" width="8.88671875" style="10"/>
    <col min="6" max="6" width="8.88671875" style="8"/>
    <col min="7" max="7" width="8.88671875" style="731"/>
  </cols>
  <sheetData>
    <row r="1" spans="1:7" ht="31.5" x14ac:dyDescent="0.2">
      <c r="A1" s="1133" t="s">
        <v>724</v>
      </c>
      <c r="B1" s="1133"/>
      <c r="C1" s="764"/>
      <c r="D1" s="767"/>
      <c r="E1" s="775" t="s">
        <v>634</v>
      </c>
      <c r="F1" s="767" t="s">
        <v>715</v>
      </c>
      <c r="G1" s="795" t="s">
        <v>766</v>
      </c>
    </row>
    <row r="2" spans="1:7" ht="15.75" x14ac:dyDescent="0.2">
      <c r="A2" s="767"/>
      <c r="B2" s="767"/>
      <c r="C2" s="764"/>
      <c r="D2" s="767"/>
      <c r="E2" s="775"/>
      <c r="F2" s="767"/>
      <c r="G2" s="762"/>
    </row>
    <row r="3" spans="1:7" ht="15.75" x14ac:dyDescent="0.25">
      <c r="A3" s="773">
        <v>1</v>
      </c>
      <c r="B3" s="763" t="s">
        <v>326</v>
      </c>
      <c r="C3" s="768"/>
      <c r="D3" s="767" t="s">
        <v>430</v>
      </c>
      <c r="E3" s="765">
        <v>13331</v>
      </c>
      <c r="F3" s="783">
        <v>473.30434782608694</v>
      </c>
      <c r="G3" s="762">
        <f>E3*F3/10^5</f>
        <v>63.096202608695656</v>
      </c>
    </row>
    <row r="4" spans="1:7" ht="15.75" x14ac:dyDescent="0.25">
      <c r="A4" s="773">
        <v>2</v>
      </c>
      <c r="B4" s="763" t="s">
        <v>675</v>
      </c>
      <c r="C4" s="768"/>
      <c r="D4" s="767" t="s">
        <v>430</v>
      </c>
      <c r="E4" s="765">
        <v>349</v>
      </c>
      <c r="F4" s="783">
        <v>7253.1739130434789</v>
      </c>
      <c r="G4" s="762">
        <f t="shared" ref="G4:G30" si="0">E4*F4/10^5</f>
        <v>25.313576956521743</v>
      </c>
    </row>
    <row r="5" spans="1:7" ht="15.75" x14ac:dyDescent="0.25">
      <c r="A5" s="773">
        <v>3</v>
      </c>
      <c r="B5" s="763" t="s">
        <v>676</v>
      </c>
      <c r="C5" s="768"/>
      <c r="D5" s="767" t="s">
        <v>430</v>
      </c>
      <c r="E5" s="765">
        <f>5209+410</f>
        <v>5619</v>
      </c>
      <c r="F5" s="783">
        <v>11410.347826086958</v>
      </c>
      <c r="G5" s="762">
        <f t="shared" si="0"/>
        <v>641.14744434782619</v>
      </c>
    </row>
    <row r="6" spans="1:7" ht="15.75" x14ac:dyDescent="0.2">
      <c r="A6" s="773">
        <v>4</v>
      </c>
      <c r="B6" s="763" t="s">
        <v>682</v>
      </c>
      <c r="C6" s="768"/>
      <c r="D6" s="767" t="s">
        <v>430</v>
      </c>
      <c r="E6" s="765">
        <v>5</v>
      </c>
      <c r="F6" s="784">
        <v>50000</v>
      </c>
      <c r="G6" s="762">
        <f t="shared" si="0"/>
        <v>2.5</v>
      </c>
    </row>
    <row r="7" spans="1:7" ht="15.75" x14ac:dyDescent="0.2">
      <c r="A7" s="773">
        <v>5</v>
      </c>
      <c r="B7" s="763" t="s">
        <v>723</v>
      </c>
      <c r="C7" s="768"/>
      <c r="D7" s="767" t="s">
        <v>430</v>
      </c>
      <c r="E7" s="765">
        <v>60</v>
      </c>
      <c r="F7" s="784">
        <v>13623.021739130436</v>
      </c>
      <c r="G7" s="762">
        <f t="shared" si="0"/>
        <v>8.1738130434782619</v>
      </c>
    </row>
    <row r="8" spans="1:7" ht="15.75" x14ac:dyDescent="0.25">
      <c r="A8" s="773">
        <v>6</v>
      </c>
      <c r="B8" s="763" t="s">
        <v>491</v>
      </c>
      <c r="C8" s="768"/>
      <c r="D8" s="767" t="s">
        <v>677</v>
      </c>
      <c r="E8" s="765">
        <v>767</v>
      </c>
      <c r="F8" s="785">
        <v>77956.521739130447</v>
      </c>
      <c r="G8" s="762">
        <f t="shared" si="0"/>
        <v>597.92652173913052</v>
      </c>
    </row>
    <row r="9" spans="1:7" ht="15.75" x14ac:dyDescent="0.2">
      <c r="A9" s="773">
        <v>8</v>
      </c>
      <c r="B9" s="763" t="s">
        <v>678</v>
      </c>
      <c r="C9" s="768"/>
      <c r="D9" s="767" t="s">
        <v>677</v>
      </c>
      <c r="E9" s="765">
        <v>8</v>
      </c>
      <c r="F9" s="784">
        <v>100000</v>
      </c>
      <c r="G9" s="762">
        <f t="shared" si="0"/>
        <v>8</v>
      </c>
    </row>
    <row r="10" spans="1:7" ht="15.75" x14ac:dyDescent="0.2">
      <c r="A10" s="773">
        <v>10</v>
      </c>
      <c r="B10" s="763" t="s">
        <v>683</v>
      </c>
      <c r="C10" s="768"/>
      <c r="D10" s="767" t="s">
        <v>644</v>
      </c>
      <c r="E10" s="765">
        <v>720</v>
      </c>
      <c r="F10" s="766">
        <v>473.91304347826093</v>
      </c>
      <c r="G10" s="762">
        <f t="shared" si="0"/>
        <v>3.4121739130434792</v>
      </c>
    </row>
    <row r="11" spans="1:7" ht="15.75" x14ac:dyDescent="0.2">
      <c r="A11" s="773">
        <v>14</v>
      </c>
      <c r="B11" s="763" t="s">
        <v>684</v>
      </c>
      <c r="C11" s="768"/>
      <c r="D11" s="767" t="s">
        <v>430</v>
      </c>
      <c r="E11" s="765">
        <v>569</v>
      </c>
      <c r="F11" s="766">
        <v>7317.086956521739</v>
      </c>
      <c r="G11" s="762">
        <f t="shared" si="0"/>
        <v>41.634224782608698</v>
      </c>
    </row>
    <row r="12" spans="1:7" ht="15.75" x14ac:dyDescent="0.2">
      <c r="A12" s="773">
        <v>15</v>
      </c>
      <c r="B12" s="763" t="s">
        <v>685</v>
      </c>
      <c r="C12" s="768"/>
      <c r="D12" s="767" t="s">
        <v>644</v>
      </c>
      <c r="E12" s="765">
        <v>1824</v>
      </c>
      <c r="F12" s="766">
        <v>349.69565217391306</v>
      </c>
      <c r="G12" s="762">
        <f t="shared" si="0"/>
        <v>6.3784486956521738</v>
      </c>
    </row>
    <row r="13" spans="1:7" ht="15.75" x14ac:dyDescent="0.2">
      <c r="A13" s="773">
        <v>16</v>
      </c>
      <c r="B13" s="763" t="s">
        <v>686</v>
      </c>
      <c r="C13" s="768"/>
      <c r="D13" s="767" t="s">
        <v>644</v>
      </c>
      <c r="E13" s="765">
        <v>1604</v>
      </c>
      <c r="F13" s="766">
        <v>295.39130434782612</v>
      </c>
      <c r="G13" s="762">
        <f t="shared" si="0"/>
        <v>4.7380765217391305</v>
      </c>
    </row>
    <row r="14" spans="1:7" ht="15.75" x14ac:dyDescent="0.2">
      <c r="A14" s="773">
        <v>17</v>
      </c>
      <c r="B14" s="763" t="s">
        <v>687</v>
      </c>
      <c r="C14" s="768"/>
      <c r="D14" s="767" t="s">
        <v>644</v>
      </c>
      <c r="E14" s="765">
        <v>2772</v>
      </c>
      <c r="F14" s="766">
        <v>253.05</v>
      </c>
      <c r="G14" s="762">
        <f t="shared" si="0"/>
        <v>7.0145460000000002</v>
      </c>
    </row>
    <row r="15" spans="1:7" ht="15.75" x14ac:dyDescent="0.2">
      <c r="A15" s="773">
        <v>18</v>
      </c>
      <c r="B15" s="763" t="s">
        <v>688</v>
      </c>
      <c r="C15" s="768"/>
      <c r="D15" s="767" t="s">
        <v>644</v>
      </c>
      <c r="E15" s="765">
        <v>1824</v>
      </c>
      <c r="F15" s="766">
        <v>213.04347826086959</v>
      </c>
      <c r="G15" s="762">
        <f t="shared" si="0"/>
        <v>3.8859130434782609</v>
      </c>
    </row>
    <row r="16" spans="1:7" ht="15.75" x14ac:dyDescent="0.2">
      <c r="A16" s="773">
        <v>19</v>
      </c>
      <c r="B16" s="763" t="s">
        <v>689</v>
      </c>
      <c r="C16" s="768"/>
      <c r="D16" s="767" t="s">
        <v>644</v>
      </c>
      <c r="E16" s="765">
        <v>4320</v>
      </c>
      <c r="F16" s="766">
        <v>28.217391304347831</v>
      </c>
      <c r="G16" s="762">
        <f t="shared" si="0"/>
        <v>1.2189913043478264</v>
      </c>
    </row>
    <row r="17" spans="1:7" ht="15.75" x14ac:dyDescent="0.2">
      <c r="A17" s="773">
        <v>20</v>
      </c>
      <c r="B17" s="763" t="s">
        <v>643</v>
      </c>
      <c r="C17" s="768"/>
      <c r="D17" s="767" t="s">
        <v>430</v>
      </c>
      <c r="E17" s="765">
        <v>180</v>
      </c>
      <c r="F17" s="766">
        <v>1562.8695652173915</v>
      </c>
      <c r="G17" s="762">
        <f t="shared" si="0"/>
        <v>2.8131652173913051</v>
      </c>
    </row>
    <row r="18" spans="1:7" ht="15.75" x14ac:dyDescent="0.2">
      <c r="A18" s="773">
        <v>21</v>
      </c>
      <c r="B18" s="763" t="s">
        <v>690</v>
      </c>
      <c r="C18" s="768"/>
      <c r="D18" s="767" t="s">
        <v>644</v>
      </c>
      <c r="E18" s="765">
        <v>696</v>
      </c>
      <c r="F18" s="766">
        <v>490.00000000000006</v>
      </c>
      <c r="G18" s="762">
        <f t="shared" si="0"/>
        <v>3.4104000000000005</v>
      </c>
    </row>
    <row r="19" spans="1:7" ht="15.75" x14ac:dyDescent="0.2">
      <c r="A19" s="773">
        <v>22</v>
      </c>
      <c r="B19" s="763" t="s">
        <v>691</v>
      </c>
      <c r="C19" s="768"/>
      <c r="D19" s="767" t="s">
        <v>644</v>
      </c>
      <c r="E19" s="765">
        <v>19</v>
      </c>
      <c r="F19" s="766">
        <v>7234.826086956522</v>
      </c>
      <c r="G19" s="762">
        <f t="shared" si="0"/>
        <v>1.3746169565217392</v>
      </c>
    </row>
    <row r="20" spans="1:7" ht="15.75" x14ac:dyDescent="0.2">
      <c r="A20" s="773">
        <v>23</v>
      </c>
      <c r="B20" s="763" t="s">
        <v>692</v>
      </c>
      <c r="C20" s="768"/>
      <c r="D20" s="767" t="s">
        <v>644</v>
      </c>
      <c r="E20" s="765">
        <v>31</v>
      </c>
      <c r="F20" s="766">
        <v>7234.826086956522</v>
      </c>
      <c r="G20" s="762">
        <f t="shared" si="0"/>
        <v>2.2427960869565218</v>
      </c>
    </row>
    <row r="21" spans="1:7" ht="15.75" x14ac:dyDescent="0.2">
      <c r="A21" s="773">
        <v>25</v>
      </c>
      <c r="B21" s="763" t="s">
        <v>693</v>
      </c>
      <c r="C21" s="768"/>
      <c r="D21" s="767" t="s">
        <v>644</v>
      </c>
      <c r="E21" s="765">
        <v>24</v>
      </c>
      <c r="F21" s="766">
        <v>4701.869565217391</v>
      </c>
      <c r="G21" s="762">
        <f t="shared" si="0"/>
        <v>1.1284486956521738</v>
      </c>
    </row>
    <row r="22" spans="1:7" ht="15.75" x14ac:dyDescent="0.2">
      <c r="A22" s="773">
        <v>27</v>
      </c>
      <c r="B22" s="763" t="s">
        <v>679</v>
      </c>
      <c r="C22" s="768"/>
      <c r="D22" s="767" t="s">
        <v>680</v>
      </c>
      <c r="E22" s="765">
        <v>2176</v>
      </c>
      <c r="F22" s="766">
        <v>2546.1739130434785</v>
      </c>
      <c r="G22" s="762">
        <f t="shared" si="0"/>
        <v>55.404744347826096</v>
      </c>
    </row>
    <row r="23" spans="1:7" ht="15.75" x14ac:dyDescent="0.2">
      <c r="A23" s="773">
        <v>32</v>
      </c>
      <c r="B23" s="763" t="s">
        <v>681</v>
      </c>
      <c r="C23" s="768"/>
      <c r="D23" s="767" t="s">
        <v>680</v>
      </c>
      <c r="E23" s="765">
        <v>4056</v>
      </c>
      <c r="F23" s="766">
        <v>3413.5349716446131</v>
      </c>
      <c r="G23" s="762">
        <f t="shared" si="0"/>
        <v>138.45297844990549</v>
      </c>
    </row>
    <row r="24" spans="1:7" ht="15.75" x14ac:dyDescent="0.2">
      <c r="A24" s="773">
        <v>33</v>
      </c>
      <c r="B24" s="763" t="s">
        <v>694</v>
      </c>
      <c r="C24" s="768"/>
      <c r="D24" s="767" t="s">
        <v>644</v>
      </c>
      <c r="E24" s="765">
        <v>32</v>
      </c>
      <c r="F24" s="766">
        <v>322.47826086956525</v>
      </c>
      <c r="G24" s="762">
        <f t="shared" si="0"/>
        <v>0.10319304347826087</v>
      </c>
    </row>
    <row r="25" spans="1:7" ht="15.75" x14ac:dyDescent="0.2">
      <c r="A25" s="773">
        <v>34</v>
      </c>
      <c r="B25" s="763" t="s">
        <v>695</v>
      </c>
      <c r="C25" s="768"/>
      <c r="D25" s="767" t="s">
        <v>644</v>
      </c>
      <c r="E25" s="765">
        <v>70</v>
      </c>
      <c r="F25" s="766">
        <v>592.73913043478262</v>
      </c>
      <c r="G25" s="762">
        <f t="shared" si="0"/>
        <v>0.41491739130434785</v>
      </c>
    </row>
    <row r="26" spans="1:7" ht="15.75" x14ac:dyDescent="0.2">
      <c r="A26" s="773">
        <v>35</v>
      </c>
      <c r="B26" s="763" t="s">
        <v>696</v>
      </c>
      <c r="C26" s="768"/>
      <c r="D26" s="767" t="s">
        <v>644</v>
      </c>
      <c r="E26" s="765">
        <v>684</v>
      </c>
      <c r="F26" s="766">
        <v>1582.6521739130435</v>
      </c>
      <c r="G26" s="762">
        <f t="shared" si="0"/>
        <v>10.825340869565217</v>
      </c>
    </row>
    <row r="27" spans="1:7" ht="30" x14ac:dyDescent="0.2">
      <c r="A27" s="773">
        <v>52</v>
      </c>
      <c r="B27" s="770" t="s">
        <v>697</v>
      </c>
      <c r="C27" s="769"/>
      <c r="D27" s="767" t="s">
        <v>644</v>
      </c>
      <c r="E27" s="765">
        <v>20</v>
      </c>
      <c r="F27" s="766">
        <v>6000</v>
      </c>
      <c r="G27" s="762">
        <f t="shared" si="0"/>
        <v>1.2</v>
      </c>
    </row>
    <row r="28" spans="1:7" ht="30" x14ac:dyDescent="0.2">
      <c r="A28" s="773">
        <v>53</v>
      </c>
      <c r="B28" s="770" t="s">
        <v>698</v>
      </c>
      <c r="C28" s="769"/>
      <c r="D28" s="767" t="s">
        <v>699</v>
      </c>
      <c r="E28" s="765">
        <v>1</v>
      </c>
      <c r="F28" s="786">
        <v>800000</v>
      </c>
      <c r="G28" s="762">
        <f t="shared" si="0"/>
        <v>8</v>
      </c>
    </row>
    <row r="29" spans="1:7" ht="15.75" x14ac:dyDescent="0.2">
      <c r="A29" s="773">
        <v>54</v>
      </c>
      <c r="B29" s="770" t="s">
        <v>700</v>
      </c>
      <c r="C29" s="769"/>
      <c r="D29" s="767" t="s">
        <v>644</v>
      </c>
      <c r="E29" s="765">
        <v>684</v>
      </c>
      <c r="F29" s="766">
        <v>1500</v>
      </c>
      <c r="G29" s="762">
        <f t="shared" si="0"/>
        <v>10.26</v>
      </c>
    </row>
    <row r="30" spans="1:7" ht="15.75" x14ac:dyDescent="0.2">
      <c r="A30" s="773">
        <v>55</v>
      </c>
      <c r="B30" s="770" t="s">
        <v>701</v>
      </c>
      <c r="C30" s="769"/>
      <c r="D30" s="767" t="s">
        <v>677</v>
      </c>
      <c r="E30" s="765">
        <v>13</v>
      </c>
      <c r="F30" s="766">
        <v>400000</v>
      </c>
      <c r="G30" s="762">
        <f t="shared" si="0"/>
        <v>52</v>
      </c>
    </row>
    <row r="31" spans="1:7" ht="15.75" x14ac:dyDescent="0.2">
      <c r="A31" s="773">
        <v>29</v>
      </c>
      <c r="B31" s="107" t="s">
        <v>718</v>
      </c>
      <c r="C31" s="604"/>
      <c r="D31" s="767" t="s">
        <v>680</v>
      </c>
      <c r="E31" s="778">
        <v>80</v>
      </c>
      <c r="F31" s="787">
        <v>30000</v>
      </c>
      <c r="G31" s="733">
        <f t="shared" ref="G31:G32" si="1">E31*F31/10^5</f>
        <v>24</v>
      </c>
    </row>
    <row r="32" spans="1:7" ht="15.75" x14ac:dyDescent="0.2">
      <c r="A32" s="773">
        <v>30</v>
      </c>
      <c r="B32" s="107" t="s">
        <v>719</v>
      </c>
      <c r="C32" s="604"/>
      <c r="D32" s="767" t="s">
        <v>680</v>
      </c>
      <c r="E32" s="778">
        <v>80</v>
      </c>
      <c r="F32" s="787">
        <v>5000</v>
      </c>
      <c r="G32" s="733">
        <f t="shared" si="1"/>
        <v>4</v>
      </c>
    </row>
    <row r="33" spans="6:7" ht="15.75" x14ac:dyDescent="0.2">
      <c r="F33" s="782" t="s">
        <v>4</v>
      </c>
      <c r="G33" s="782">
        <f>SUM(G3:G32)</f>
        <v>1730.0705340151235</v>
      </c>
    </row>
  </sheetData>
  <mergeCells count="1">
    <mergeCell ref="A1:B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AR94"/>
  <sheetViews>
    <sheetView showZeros="0" tabSelected="1" zoomScale="96" zoomScaleNormal="96" workbookViewId="0">
      <selection activeCell="K20" sqref="K20"/>
    </sheetView>
  </sheetViews>
  <sheetFormatPr defaultRowHeight="15" x14ac:dyDescent="0.25"/>
  <cols>
    <col min="1" max="1" width="4.88671875" style="825" customWidth="1"/>
    <col min="2" max="2" width="47.5546875" style="825" customWidth="1"/>
    <col min="3" max="3" width="11.109375" style="825" hidden="1" customWidth="1"/>
    <col min="4" max="4" width="13.109375" style="825" hidden="1" customWidth="1"/>
    <col min="5" max="5" width="13.44140625" style="825" customWidth="1"/>
    <col min="6" max="6" width="14.5546875" style="825" customWidth="1"/>
    <col min="7" max="7" width="17.77734375" style="825" hidden="1" customWidth="1"/>
    <col min="8" max="8" width="12.88671875" style="825" customWidth="1"/>
    <col min="9" max="9" width="18.33203125" style="825" hidden="1" customWidth="1"/>
    <col min="10" max="10" width="17.5546875" style="825" customWidth="1"/>
    <col min="11" max="11" width="18.33203125" style="825" customWidth="1"/>
    <col min="12" max="12" width="11.77734375" style="825" customWidth="1"/>
    <col min="13" max="13" width="16.5546875" style="825" customWidth="1"/>
    <col min="14" max="14" width="11.21875" style="825" customWidth="1"/>
    <col min="15" max="15" width="16.88671875" style="825" customWidth="1"/>
    <col min="16" max="17" width="13.88671875" style="825" customWidth="1"/>
    <col min="18" max="18" width="12.77734375" style="825" customWidth="1"/>
    <col min="19" max="19" width="14" style="825" customWidth="1"/>
    <col min="20" max="20" width="9.5546875" style="825" customWidth="1"/>
    <col min="21" max="21" width="10.77734375" style="825" customWidth="1"/>
    <col min="22" max="22" width="6.5546875" style="825" customWidth="1"/>
    <col min="23" max="23" width="7.5546875" style="825" customWidth="1"/>
    <col min="24" max="24" width="10.109375" style="825" customWidth="1"/>
    <col min="25" max="25" width="9.44140625" style="825" customWidth="1"/>
    <col min="26" max="26" width="11" style="825" customWidth="1"/>
    <col min="27" max="27" width="14" style="825" customWidth="1"/>
    <col min="28" max="28" width="9.88671875" style="825" customWidth="1"/>
    <col min="29" max="32" width="8.88671875" style="825"/>
    <col min="33" max="33" width="15" style="825" customWidth="1"/>
    <col min="34" max="34" width="6.44140625" style="825" customWidth="1"/>
    <col min="35" max="35" width="5.6640625" style="825" customWidth="1"/>
    <col min="36" max="36" width="9.109375" style="825" customWidth="1"/>
    <col min="37" max="39" width="8.88671875" style="825"/>
    <col min="40" max="40" width="11.6640625" style="825" customWidth="1"/>
    <col min="41" max="264" width="8.88671875" style="825"/>
    <col min="265" max="265" width="6.44140625" style="825" customWidth="1"/>
    <col min="266" max="266" width="43.33203125" style="825" customWidth="1"/>
    <col min="267" max="267" width="11.109375" style="825" customWidth="1"/>
    <col min="268" max="268" width="13.109375" style="825" customWidth="1"/>
    <col min="269" max="269" width="13.88671875" style="825" customWidth="1"/>
    <col min="270" max="270" width="12.44140625" style="825" customWidth="1"/>
    <col min="271" max="271" width="13" style="825" customWidth="1"/>
    <col min="272" max="272" width="11" style="825" customWidth="1"/>
    <col min="273" max="273" width="9.88671875" style="825" customWidth="1"/>
    <col min="274" max="274" width="11.109375" style="825" customWidth="1"/>
    <col min="275" max="275" width="9.44140625" style="825" customWidth="1"/>
    <col min="276" max="276" width="9.5546875" style="825" customWidth="1"/>
    <col min="277" max="277" width="10.77734375" style="825" customWidth="1"/>
    <col min="278" max="278" width="6.5546875" style="825" customWidth="1"/>
    <col min="279" max="279" width="7.5546875" style="825" customWidth="1"/>
    <col min="280" max="280" width="10.109375" style="825" customWidth="1"/>
    <col min="281" max="281" width="9.44140625" style="825" customWidth="1"/>
    <col min="282" max="282" width="11" style="825" customWidth="1"/>
    <col min="283" max="283" width="14" style="825" customWidth="1"/>
    <col min="284" max="284" width="9.88671875" style="825" customWidth="1"/>
    <col min="285" max="288" width="8.88671875" style="825"/>
    <col min="289" max="289" width="15" style="825" customWidth="1"/>
    <col min="290" max="290" width="6.44140625" style="825" customWidth="1"/>
    <col min="291" max="291" width="5.6640625" style="825" customWidth="1"/>
    <col min="292" max="292" width="9.109375" style="825" customWidth="1"/>
    <col min="293" max="295" width="8.88671875" style="825"/>
    <col min="296" max="296" width="11.6640625" style="825" customWidth="1"/>
    <col min="297" max="520" width="8.88671875" style="825"/>
    <col min="521" max="521" width="6.44140625" style="825" customWidth="1"/>
    <col min="522" max="522" width="43.33203125" style="825" customWidth="1"/>
    <col min="523" max="523" width="11.109375" style="825" customWidth="1"/>
    <col min="524" max="524" width="13.109375" style="825" customWidth="1"/>
    <col min="525" max="525" width="13.88671875" style="825" customWidth="1"/>
    <col min="526" max="526" width="12.44140625" style="825" customWidth="1"/>
    <col min="527" max="527" width="13" style="825" customWidth="1"/>
    <col min="528" max="528" width="11" style="825" customWidth="1"/>
    <col min="529" max="529" width="9.88671875" style="825" customWidth="1"/>
    <col min="530" max="530" width="11.109375" style="825" customWidth="1"/>
    <col min="531" max="531" width="9.44140625" style="825" customWidth="1"/>
    <col min="532" max="532" width="9.5546875" style="825" customWidth="1"/>
    <col min="533" max="533" width="10.77734375" style="825" customWidth="1"/>
    <col min="534" max="534" width="6.5546875" style="825" customWidth="1"/>
    <col min="535" max="535" width="7.5546875" style="825" customWidth="1"/>
    <col min="536" max="536" width="10.109375" style="825" customWidth="1"/>
    <col min="537" max="537" width="9.44140625" style="825" customWidth="1"/>
    <col min="538" max="538" width="11" style="825" customWidth="1"/>
    <col min="539" max="539" width="14" style="825" customWidth="1"/>
    <col min="540" max="540" width="9.88671875" style="825" customWidth="1"/>
    <col min="541" max="544" width="8.88671875" style="825"/>
    <col min="545" max="545" width="15" style="825" customWidth="1"/>
    <col min="546" max="546" width="6.44140625" style="825" customWidth="1"/>
    <col min="547" max="547" width="5.6640625" style="825" customWidth="1"/>
    <col min="548" max="548" width="9.109375" style="825" customWidth="1"/>
    <col min="549" max="551" width="8.88671875" style="825"/>
    <col min="552" max="552" width="11.6640625" style="825" customWidth="1"/>
    <col min="553" max="776" width="8.88671875" style="825"/>
    <col min="777" max="777" width="6.44140625" style="825" customWidth="1"/>
    <col min="778" max="778" width="43.33203125" style="825" customWidth="1"/>
    <col min="779" max="779" width="11.109375" style="825" customWidth="1"/>
    <col min="780" max="780" width="13.109375" style="825" customWidth="1"/>
    <col min="781" max="781" width="13.88671875" style="825" customWidth="1"/>
    <col min="782" max="782" width="12.44140625" style="825" customWidth="1"/>
    <col min="783" max="783" width="13" style="825" customWidth="1"/>
    <col min="784" max="784" width="11" style="825" customWidth="1"/>
    <col min="785" max="785" width="9.88671875" style="825" customWidth="1"/>
    <col min="786" max="786" width="11.109375" style="825" customWidth="1"/>
    <col min="787" max="787" width="9.44140625" style="825" customWidth="1"/>
    <col min="788" max="788" width="9.5546875" style="825" customWidth="1"/>
    <col min="789" max="789" width="10.77734375" style="825" customWidth="1"/>
    <col min="790" max="790" width="6.5546875" style="825" customWidth="1"/>
    <col min="791" max="791" width="7.5546875" style="825" customWidth="1"/>
    <col min="792" max="792" width="10.109375" style="825" customWidth="1"/>
    <col min="793" max="793" width="9.44140625" style="825" customWidth="1"/>
    <col min="794" max="794" width="11" style="825" customWidth="1"/>
    <col min="795" max="795" width="14" style="825" customWidth="1"/>
    <col min="796" max="796" width="9.88671875" style="825" customWidth="1"/>
    <col min="797" max="800" width="8.88671875" style="825"/>
    <col min="801" max="801" width="15" style="825" customWidth="1"/>
    <col min="802" max="802" width="6.44140625" style="825" customWidth="1"/>
    <col min="803" max="803" width="5.6640625" style="825" customWidth="1"/>
    <col min="804" max="804" width="9.109375" style="825" customWidth="1"/>
    <col min="805" max="807" width="8.88671875" style="825"/>
    <col min="808" max="808" width="11.6640625" style="825" customWidth="1"/>
    <col min="809" max="1032" width="8.88671875" style="825"/>
    <col min="1033" max="1033" width="6.44140625" style="825" customWidth="1"/>
    <col min="1034" max="1034" width="43.33203125" style="825" customWidth="1"/>
    <col min="1035" max="1035" width="11.109375" style="825" customWidth="1"/>
    <col min="1036" max="1036" width="13.109375" style="825" customWidth="1"/>
    <col min="1037" max="1037" width="13.88671875" style="825" customWidth="1"/>
    <col min="1038" max="1038" width="12.44140625" style="825" customWidth="1"/>
    <col min="1039" max="1039" width="13" style="825" customWidth="1"/>
    <col min="1040" max="1040" width="11" style="825" customWidth="1"/>
    <col min="1041" max="1041" width="9.88671875" style="825" customWidth="1"/>
    <col min="1042" max="1042" width="11.109375" style="825" customWidth="1"/>
    <col min="1043" max="1043" width="9.44140625" style="825" customWidth="1"/>
    <col min="1044" max="1044" width="9.5546875" style="825" customWidth="1"/>
    <col min="1045" max="1045" width="10.77734375" style="825" customWidth="1"/>
    <col min="1046" max="1046" width="6.5546875" style="825" customWidth="1"/>
    <col min="1047" max="1047" width="7.5546875" style="825" customWidth="1"/>
    <col min="1048" max="1048" width="10.109375" style="825" customWidth="1"/>
    <col min="1049" max="1049" width="9.44140625" style="825" customWidth="1"/>
    <col min="1050" max="1050" width="11" style="825" customWidth="1"/>
    <col min="1051" max="1051" width="14" style="825" customWidth="1"/>
    <col min="1052" max="1052" width="9.88671875" style="825" customWidth="1"/>
    <col min="1053" max="1056" width="8.88671875" style="825"/>
    <col min="1057" max="1057" width="15" style="825" customWidth="1"/>
    <col min="1058" max="1058" width="6.44140625" style="825" customWidth="1"/>
    <col min="1059" max="1059" width="5.6640625" style="825" customWidth="1"/>
    <col min="1060" max="1060" width="9.109375" style="825" customWidth="1"/>
    <col min="1061" max="1063" width="8.88671875" style="825"/>
    <col min="1064" max="1064" width="11.6640625" style="825" customWidth="1"/>
    <col min="1065" max="1288" width="8.88671875" style="825"/>
    <col min="1289" max="1289" width="6.44140625" style="825" customWidth="1"/>
    <col min="1290" max="1290" width="43.33203125" style="825" customWidth="1"/>
    <col min="1291" max="1291" width="11.109375" style="825" customWidth="1"/>
    <col min="1292" max="1292" width="13.109375" style="825" customWidth="1"/>
    <col min="1293" max="1293" width="13.88671875" style="825" customWidth="1"/>
    <col min="1294" max="1294" width="12.44140625" style="825" customWidth="1"/>
    <col min="1295" max="1295" width="13" style="825" customWidth="1"/>
    <col min="1296" max="1296" width="11" style="825" customWidth="1"/>
    <col min="1297" max="1297" width="9.88671875" style="825" customWidth="1"/>
    <col min="1298" max="1298" width="11.109375" style="825" customWidth="1"/>
    <col min="1299" max="1299" width="9.44140625" style="825" customWidth="1"/>
    <col min="1300" max="1300" width="9.5546875" style="825" customWidth="1"/>
    <col min="1301" max="1301" width="10.77734375" style="825" customWidth="1"/>
    <col min="1302" max="1302" width="6.5546875" style="825" customWidth="1"/>
    <col min="1303" max="1303" width="7.5546875" style="825" customWidth="1"/>
    <col min="1304" max="1304" width="10.109375" style="825" customWidth="1"/>
    <col min="1305" max="1305" width="9.44140625" style="825" customWidth="1"/>
    <col min="1306" max="1306" width="11" style="825" customWidth="1"/>
    <col min="1307" max="1307" width="14" style="825" customWidth="1"/>
    <col min="1308" max="1308" width="9.88671875" style="825" customWidth="1"/>
    <col min="1309" max="1312" width="8.88671875" style="825"/>
    <col min="1313" max="1313" width="15" style="825" customWidth="1"/>
    <col min="1314" max="1314" width="6.44140625" style="825" customWidth="1"/>
    <col min="1315" max="1315" width="5.6640625" style="825" customWidth="1"/>
    <col min="1316" max="1316" width="9.109375" style="825" customWidth="1"/>
    <col min="1317" max="1319" width="8.88671875" style="825"/>
    <col min="1320" max="1320" width="11.6640625" style="825" customWidth="1"/>
    <col min="1321" max="1544" width="8.88671875" style="825"/>
    <col min="1545" max="1545" width="6.44140625" style="825" customWidth="1"/>
    <col min="1546" max="1546" width="43.33203125" style="825" customWidth="1"/>
    <col min="1547" max="1547" width="11.109375" style="825" customWidth="1"/>
    <col min="1548" max="1548" width="13.109375" style="825" customWidth="1"/>
    <col min="1549" max="1549" width="13.88671875" style="825" customWidth="1"/>
    <col min="1550" max="1550" width="12.44140625" style="825" customWidth="1"/>
    <col min="1551" max="1551" width="13" style="825" customWidth="1"/>
    <col min="1552" max="1552" width="11" style="825" customWidth="1"/>
    <col min="1553" max="1553" width="9.88671875" style="825" customWidth="1"/>
    <col min="1554" max="1554" width="11.109375" style="825" customWidth="1"/>
    <col min="1555" max="1555" width="9.44140625" style="825" customWidth="1"/>
    <col min="1556" max="1556" width="9.5546875" style="825" customWidth="1"/>
    <col min="1557" max="1557" width="10.77734375" style="825" customWidth="1"/>
    <col min="1558" max="1558" width="6.5546875" style="825" customWidth="1"/>
    <col min="1559" max="1559" width="7.5546875" style="825" customWidth="1"/>
    <col min="1560" max="1560" width="10.109375" style="825" customWidth="1"/>
    <col min="1561" max="1561" width="9.44140625" style="825" customWidth="1"/>
    <col min="1562" max="1562" width="11" style="825" customWidth="1"/>
    <col min="1563" max="1563" width="14" style="825" customWidth="1"/>
    <col min="1564" max="1564" width="9.88671875" style="825" customWidth="1"/>
    <col min="1565" max="1568" width="8.88671875" style="825"/>
    <col min="1569" max="1569" width="15" style="825" customWidth="1"/>
    <col min="1570" max="1570" width="6.44140625" style="825" customWidth="1"/>
    <col min="1571" max="1571" width="5.6640625" style="825" customWidth="1"/>
    <col min="1572" max="1572" width="9.109375" style="825" customWidth="1"/>
    <col min="1573" max="1575" width="8.88671875" style="825"/>
    <col min="1576" max="1576" width="11.6640625" style="825" customWidth="1"/>
    <col min="1577" max="1800" width="8.88671875" style="825"/>
    <col min="1801" max="1801" width="6.44140625" style="825" customWidth="1"/>
    <col min="1802" max="1802" width="43.33203125" style="825" customWidth="1"/>
    <col min="1803" max="1803" width="11.109375" style="825" customWidth="1"/>
    <col min="1804" max="1804" width="13.109375" style="825" customWidth="1"/>
    <col min="1805" max="1805" width="13.88671875" style="825" customWidth="1"/>
    <col min="1806" max="1806" width="12.44140625" style="825" customWidth="1"/>
    <col min="1807" max="1807" width="13" style="825" customWidth="1"/>
    <col min="1808" max="1808" width="11" style="825" customWidth="1"/>
    <col min="1809" max="1809" width="9.88671875" style="825" customWidth="1"/>
    <col min="1810" max="1810" width="11.109375" style="825" customWidth="1"/>
    <col min="1811" max="1811" width="9.44140625" style="825" customWidth="1"/>
    <col min="1812" max="1812" width="9.5546875" style="825" customWidth="1"/>
    <col min="1813" max="1813" width="10.77734375" style="825" customWidth="1"/>
    <col min="1814" max="1814" width="6.5546875" style="825" customWidth="1"/>
    <col min="1815" max="1815" width="7.5546875" style="825" customWidth="1"/>
    <col min="1816" max="1816" width="10.109375" style="825" customWidth="1"/>
    <col min="1817" max="1817" width="9.44140625" style="825" customWidth="1"/>
    <col min="1818" max="1818" width="11" style="825" customWidth="1"/>
    <col min="1819" max="1819" width="14" style="825" customWidth="1"/>
    <col min="1820" max="1820" width="9.88671875" style="825" customWidth="1"/>
    <col min="1821" max="1824" width="8.88671875" style="825"/>
    <col min="1825" max="1825" width="15" style="825" customWidth="1"/>
    <col min="1826" max="1826" width="6.44140625" style="825" customWidth="1"/>
    <col min="1827" max="1827" width="5.6640625" style="825" customWidth="1"/>
    <col min="1828" max="1828" width="9.109375" style="825" customWidth="1"/>
    <col min="1829" max="1831" width="8.88671875" style="825"/>
    <col min="1832" max="1832" width="11.6640625" style="825" customWidth="1"/>
    <col min="1833" max="2056" width="8.88671875" style="825"/>
    <col min="2057" max="2057" width="6.44140625" style="825" customWidth="1"/>
    <col min="2058" max="2058" width="43.33203125" style="825" customWidth="1"/>
    <col min="2059" max="2059" width="11.109375" style="825" customWidth="1"/>
    <col min="2060" max="2060" width="13.109375" style="825" customWidth="1"/>
    <col min="2061" max="2061" width="13.88671875" style="825" customWidth="1"/>
    <col min="2062" max="2062" width="12.44140625" style="825" customWidth="1"/>
    <col min="2063" max="2063" width="13" style="825" customWidth="1"/>
    <col min="2064" max="2064" width="11" style="825" customWidth="1"/>
    <col min="2065" max="2065" width="9.88671875" style="825" customWidth="1"/>
    <col min="2066" max="2066" width="11.109375" style="825" customWidth="1"/>
    <col min="2067" max="2067" width="9.44140625" style="825" customWidth="1"/>
    <col min="2068" max="2068" width="9.5546875" style="825" customWidth="1"/>
    <col min="2069" max="2069" width="10.77734375" style="825" customWidth="1"/>
    <col min="2070" max="2070" width="6.5546875" style="825" customWidth="1"/>
    <col min="2071" max="2071" width="7.5546875" style="825" customWidth="1"/>
    <col min="2072" max="2072" width="10.109375" style="825" customWidth="1"/>
    <col min="2073" max="2073" width="9.44140625" style="825" customWidth="1"/>
    <col min="2074" max="2074" width="11" style="825" customWidth="1"/>
    <col min="2075" max="2075" width="14" style="825" customWidth="1"/>
    <col min="2076" max="2076" width="9.88671875" style="825" customWidth="1"/>
    <col min="2077" max="2080" width="8.88671875" style="825"/>
    <col min="2081" max="2081" width="15" style="825" customWidth="1"/>
    <col min="2082" max="2082" width="6.44140625" style="825" customWidth="1"/>
    <col min="2083" max="2083" width="5.6640625" style="825" customWidth="1"/>
    <col min="2084" max="2084" width="9.109375" style="825" customWidth="1"/>
    <col min="2085" max="2087" width="8.88671875" style="825"/>
    <col min="2088" max="2088" width="11.6640625" style="825" customWidth="1"/>
    <col min="2089" max="2312" width="8.88671875" style="825"/>
    <col min="2313" max="2313" width="6.44140625" style="825" customWidth="1"/>
    <col min="2314" max="2314" width="43.33203125" style="825" customWidth="1"/>
    <col min="2315" max="2315" width="11.109375" style="825" customWidth="1"/>
    <col min="2316" max="2316" width="13.109375" style="825" customWidth="1"/>
    <col min="2317" max="2317" width="13.88671875" style="825" customWidth="1"/>
    <col min="2318" max="2318" width="12.44140625" style="825" customWidth="1"/>
    <col min="2319" max="2319" width="13" style="825" customWidth="1"/>
    <col min="2320" max="2320" width="11" style="825" customWidth="1"/>
    <col min="2321" max="2321" width="9.88671875" style="825" customWidth="1"/>
    <col min="2322" max="2322" width="11.109375" style="825" customWidth="1"/>
    <col min="2323" max="2323" width="9.44140625" style="825" customWidth="1"/>
    <col min="2324" max="2324" width="9.5546875" style="825" customWidth="1"/>
    <col min="2325" max="2325" width="10.77734375" style="825" customWidth="1"/>
    <col min="2326" max="2326" width="6.5546875" style="825" customWidth="1"/>
    <col min="2327" max="2327" width="7.5546875" style="825" customWidth="1"/>
    <col min="2328" max="2328" width="10.109375" style="825" customWidth="1"/>
    <col min="2329" max="2329" width="9.44140625" style="825" customWidth="1"/>
    <col min="2330" max="2330" width="11" style="825" customWidth="1"/>
    <col min="2331" max="2331" width="14" style="825" customWidth="1"/>
    <col min="2332" max="2332" width="9.88671875" style="825" customWidth="1"/>
    <col min="2333" max="2336" width="8.88671875" style="825"/>
    <col min="2337" max="2337" width="15" style="825" customWidth="1"/>
    <col min="2338" max="2338" width="6.44140625" style="825" customWidth="1"/>
    <col min="2339" max="2339" width="5.6640625" style="825" customWidth="1"/>
    <col min="2340" max="2340" width="9.109375" style="825" customWidth="1"/>
    <col min="2341" max="2343" width="8.88671875" style="825"/>
    <col min="2344" max="2344" width="11.6640625" style="825" customWidth="1"/>
    <col min="2345" max="2568" width="8.88671875" style="825"/>
    <col min="2569" max="2569" width="6.44140625" style="825" customWidth="1"/>
    <col min="2570" max="2570" width="43.33203125" style="825" customWidth="1"/>
    <col min="2571" max="2571" width="11.109375" style="825" customWidth="1"/>
    <col min="2572" max="2572" width="13.109375" style="825" customWidth="1"/>
    <col min="2573" max="2573" width="13.88671875" style="825" customWidth="1"/>
    <col min="2574" max="2574" width="12.44140625" style="825" customWidth="1"/>
    <col min="2575" max="2575" width="13" style="825" customWidth="1"/>
    <col min="2576" max="2576" width="11" style="825" customWidth="1"/>
    <col min="2577" max="2577" width="9.88671875" style="825" customWidth="1"/>
    <col min="2578" max="2578" width="11.109375" style="825" customWidth="1"/>
    <col min="2579" max="2579" width="9.44140625" style="825" customWidth="1"/>
    <col min="2580" max="2580" width="9.5546875" style="825" customWidth="1"/>
    <col min="2581" max="2581" width="10.77734375" style="825" customWidth="1"/>
    <col min="2582" max="2582" width="6.5546875" style="825" customWidth="1"/>
    <col min="2583" max="2583" width="7.5546875" style="825" customWidth="1"/>
    <col min="2584" max="2584" width="10.109375" style="825" customWidth="1"/>
    <col min="2585" max="2585" width="9.44140625" style="825" customWidth="1"/>
    <col min="2586" max="2586" width="11" style="825" customWidth="1"/>
    <col min="2587" max="2587" width="14" style="825" customWidth="1"/>
    <col min="2588" max="2588" width="9.88671875" style="825" customWidth="1"/>
    <col min="2589" max="2592" width="8.88671875" style="825"/>
    <col min="2593" max="2593" width="15" style="825" customWidth="1"/>
    <col min="2594" max="2594" width="6.44140625" style="825" customWidth="1"/>
    <col min="2595" max="2595" width="5.6640625" style="825" customWidth="1"/>
    <col min="2596" max="2596" width="9.109375" style="825" customWidth="1"/>
    <col min="2597" max="2599" width="8.88671875" style="825"/>
    <col min="2600" max="2600" width="11.6640625" style="825" customWidth="1"/>
    <col min="2601" max="2824" width="8.88671875" style="825"/>
    <col min="2825" max="2825" width="6.44140625" style="825" customWidth="1"/>
    <col min="2826" max="2826" width="43.33203125" style="825" customWidth="1"/>
    <col min="2827" max="2827" width="11.109375" style="825" customWidth="1"/>
    <col min="2828" max="2828" width="13.109375" style="825" customWidth="1"/>
    <col min="2829" max="2829" width="13.88671875" style="825" customWidth="1"/>
    <col min="2830" max="2830" width="12.44140625" style="825" customWidth="1"/>
    <col min="2831" max="2831" width="13" style="825" customWidth="1"/>
    <col min="2832" max="2832" width="11" style="825" customWidth="1"/>
    <col min="2833" max="2833" width="9.88671875" style="825" customWidth="1"/>
    <col min="2834" max="2834" width="11.109375" style="825" customWidth="1"/>
    <col min="2835" max="2835" width="9.44140625" style="825" customWidth="1"/>
    <col min="2836" max="2836" width="9.5546875" style="825" customWidth="1"/>
    <col min="2837" max="2837" width="10.77734375" style="825" customWidth="1"/>
    <col min="2838" max="2838" width="6.5546875" style="825" customWidth="1"/>
    <col min="2839" max="2839" width="7.5546875" style="825" customWidth="1"/>
    <col min="2840" max="2840" width="10.109375" style="825" customWidth="1"/>
    <col min="2841" max="2841" width="9.44140625" style="825" customWidth="1"/>
    <col min="2842" max="2842" width="11" style="825" customWidth="1"/>
    <col min="2843" max="2843" width="14" style="825" customWidth="1"/>
    <col min="2844" max="2844" width="9.88671875" style="825" customWidth="1"/>
    <col min="2845" max="2848" width="8.88671875" style="825"/>
    <col min="2849" max="2849" width="15" style="825" customWidth="1"/>
    <col min="2850" max="2850" width="6.44140625" style="825" customWidth="1"/>
    <col min="2851" max="2851" width="5.6640625" style="825" customWidth="1"/>
    <col min="2852" max="2852" width="9.109375" style="825" customWidth="1"/>
    <col min="2853" max="2855" width="8.88671875" style="825"/>
    <col min="2856" max="2856" width="11.6640625" style="825" customWidth="1"/>
    <col min="2857" max="3080" width="8.88671875" style="825"/>
    <col min="3081" max="3081" width="6.44140625" style="825" customWidth="1"/>
    <col min="3082" max="3082" width="43.33203125" style="825" customWidth="1"/>
    <col min="3083" max="3083" width="11.109375" style="825" customWidth="1"/>
    <col min="3084" max="3084" width="13.109375" style="825" customWidth="1"/>
    <col min="3085" max="3085" width="13.88671875" style="825" customWidth="1"/>
    <col min="3086" max="3086" width="12.44140625" style="825" customWidth="1"/>
    <col min="3087" max="3087" width="13" style="825" customWidth="1"/>
    <col min="3088" max="3088" width="11" style="825" customWidth="1"/>
    <col min="3089" max="3089" width="9.88671875" style="825" customWidth="1"/>
    <col min="3090" max="3090" width="11.109375" style="825" customWidth="1"/>
    <col min="3091" max="3091" width="9.44140625" style="825" customWidth="1"/>
    <col min="3092" max="3092" width="9.5546875" style="825" customWidth="1"/>
    <col min="3093" max="3093" width="10.77734375" style="825" customWidth="1"/>
    <col min="3094" max="3094" width="6.5546875" style="825" customWidth="1"/>
    <col min="3095" max="3095" width="7.5546875" style="825" customWidth="1"/>
    <col min="3096" max="3096" width="10.109375" style="825" customWidth="1"/>
    <col min="3097" max="3097" width="9.44140625" style="825" customWidth="1"/>
    <col min="3098" max="3098" width="11" style="825" customWidth="1"/>
    <col min="3099" max="3099" width="14" style="825" customWidth="1"/>
    <col min="3100" max="3100" width="9.88671875" style="825" customWidth="1"/>
    <col min="3101" max="3104" width="8.88671875" style="825"/>
    <col min="3105" max="3105" width="15" style="825" customWidth="1"/>
    <col min="3106" max="3106" width="6.44140625" style="825" customWidth="1"/>
    <col min="3107" max="3107" width="5.6640625" style="825" customWidth="1"/>
    <col min="3108" max="3108" width="9.109375" style="825" customWidth="1"/>
    <col min="3109" max="3111" width="8.88671875" style="825"/>
    <col min="3112" max="3112" width="11.6640625" style="825" customWidth="1"/>
    <col min="3113" max="3336" width="8.88671875" style="825"/>
    <col min="3337" max="3337" width="6.44140625" style="825" customWidth="1"/>
    <col min="3338" max="3338" width="43.33203125" style="825" customWidth="1"/>
    <col min="3339" max="3339" width="11.109375" style="825" customWidth="1"/>
    <col min="3340" max="3340" width="13.109375" style="825" customWidth="1"/>
    <col min="3341" max="3341" width="13.88671875" style="825" customWidth="1"/>
    <col min="3342" max="3342" width="12.44140625" style="825" customWidth="1"/>
    <col min="3343" max="3343" width="13" style="825" customWidth="1"/>
    <col min="3344" max="3344" width="11" style="825" customWidth="1"/>
    <col min="3345" max="3345" width="9.88671875" style="825" customWidth="1"/>
    <col min="3346" max="3346" width="11.109375" style="825" customWidth="1"/>
    <col min="3347" max="3347" width="9.44140625" style="825" customWidth="1"/>
    <col min="3348" max="3348" width="9.5546875" style="825" customWidth="1"/>
    <col min="3349" max="3349" width="10.77734375" style="825" customWidth="1"/>
    <col min="3350" max="3350" width="6.5546875" style="825" customWidth="1"/>
    <col min="3351" max="3351" width="7.5546875" style="825" customWidth="1"/>
    <col min="3352" max="3352" width="10.109375" style="825" customWidth="1"/>
    <col min="3353" max="3353" width="9.44140625" style="825" customWidth="1"/>
    <col min="3354" max="3354" width="11" style="825" customWidth="1"/>
    <col min="3355" max="3355" width="14" style="825" customWidth="1"/>
    <col min="3356" max="3356" width="9.88671875" style="825" customWidth="1"/>
    <col min="3357" max="3360" width="8.88671875" style="825"/>
    <col min="3361" max="3361" width="15" style="825" customWidth="1"/>
    <col min="3362" max="3362" width="6.44140625" style="825" customWidth="1"/>
    <col min="3363" max="3363" width="5.6640625" style="825" customWidth="1"/>
    <col min="3364" max="3364" width="9.109375" style="825" customWidth="1"/>
    <col min="3365" max="3367" width="8.88671875" style="825"/>
    <col min="3368" max="3368" width="11.6640625" style="825" customWidth="1"/>
    <col min="3369" max="3592" width="8.88671875" style="825"/>
    <col min="3593" max="3593" width="6.44140625" style="825" customWidth="1"/>
    <col min="3594" max="3594" width="43.33203125" style="825" customWidth="1"/>
    <col min="3595" max="3595" width="11.109375" style="825" customWidth="1"/>
    <col min="3596" max="3596" width="13.109375" style="825" customWidth="1"/>
    <col min="3597" max="3597" width="13.88671875" style="825" customWidth="1"/>
    <col min="3598" max="3598" width="12.44140625" style="825" customWidth="1"/>
    <col min="3599" max="3599" width="13" style="825" customWidth="1"/>
    <col min="3600" max="3600" width="11" style="825" customWidth="1"/>
    <col min="3601" max="3601" width="9.88671875" style="825" customWidth="1"/>
    <col min="3602" max="3602" width="11.109375" style="825" customWidth="1"/>
    <col min="3603" max="3603" width="9.44140625" style="825" customWidth="1"/>
    <col min="3604" max="3604" width="9.5546875" style="825" customWidth="1"/>
    <col min="3605" max="3605" width="10.77734375" style="825" customWidth="1"/>
    <col min="3606" max="3606" width="6.5546875" style="825" customWidth="1"/>
    <col min="3607" max="3607" width="7.5546875" style="825" customWidth="1"/>
    <col min="3608" max="3608" width="10.109375" style="825" customWidth="1"/>
    <col min="3609" max="3609" width="9.44140625" style="825" customWidth="1"/>
    <col min="3610" max="3610" width="11" style="825" customWidth="1"/>
    <col min="3611" max="3611" width="14" style="825" customWidth="1"/>
    <col min="3612" max="3612" width="9.88671875" style="825" customWidth="1"/>
    <col min="3613" max="3616" width="8.88671875" style="825"/>
    <col min="3617" max="3617" width="15" style="825" customWidth="1"/>
    <col min="3618" max="3618" width="6.44140625" style="825" customWidth="1"/>
    <col min="3619" max="3619" width="5.6640625" style="825" customWidth="1"/>
    <col min="3620" max="3620" width="9.109375" style="825" customWidth="1"/>
    <col min="3621" max="3623" width="8.88671875" style="825"/>
    <col min="3624" max="3624" width="11.6640625" style="825" customWidth="1"/>
    <col min="3625" max="3848" width="8.88671875" style="825"/>
    <col min="3849" max="3849" width="6.44140625" style="825" customWidth="1"/>
    <col min="3850" max="3850" width="43.33203125" style="825" customWidth="1"/>
    <col min="3851" max="3851" width="11.109375" style="825" customWidth="1"/>
    <col min="3852" max="3852" width="13.109375" style="825" customWidth="1"/>
    <col min="3853" max="3853" width="13.88671875" style="825" customWidth="1"/>
    <col min="3854" max="3854" width="12.44140625" style="825" customWidth="1"/>
    <col min="3855" max="3855" width="13" style="825" customWidth="1"/>
    <col min="3856" max="3856" width="11" style="825" customWidth="1"/>
    <col min="3857" max="3857" width="9.88671875" style="825" customWidth="1"/>
    <col min="3858" max="3858" width="11.109375" style="825" customWidth="1"/>
    <col min="3859" max="3859" width="9.44140625" style="825" customWidth="1"/>
    <col min="3860" max="3860" width="9.5546875" style="825" customWidth="1"/>
    <col min="3861" max="3861" width="10.77734375" style="825" customWidth="1"/>
    <col min="3862" max="3862" width="6.5546875" style="825" customWidth="1"/>
    <col min="3863" max="3863" width="7.5546875" style="825" customWidth="1"/>
    <col min="3864" max="3864" width="10.109375" style="825" customWidth="1"/>
    <col min="3865" max="3865" width="9.44140625" style="825" customWidth="1"/>
    <col min="3866" max="3866" width="11" style="825" customWidth="1"/>
    <col min="3867" max="3867" width="14" style="825" customWidth="1"/>
    <col min="3868" max="3868" width="9.88671875" style="825" customWidth="1"/>
    <col min="3869" max="3872" width="8.88671875" style="825"/>
    <col min="3873" max="3873" width="15" style="825" customWidth="1"/>
    <col min="3874" max="3874" width="6.44140625" style="825" customWidth="1"/>
    <col min="3875" max="3875" width="5.6640625" style="825" customWidth="1"/>
    <col min="3876" max="3876" width="9.109375" style="825" customWidth="1"/>
    <col min="3877" max="3879" width="8.88671875" style="825"/>
    <col min="3880" max="3880" width="11.6640625" style="825" customWidth="1"/>
    <col min="3881" max="4104" width="8.88671875" style="825"/>
    <col min="4105" max="4105" width="6.44140625" style="825" customWidth="1"/>
    <col min="4106" max="4106" width="43.33203125" style="825" customWidth="1"/>
    <col min="4107" max="4107" width="11.109375" style="825" customWidth="1"/>
    <col min="4108" max="4108" width="13.109375" style="825" customWidth="1"/>
    <col min="4109" max="4109" width="13.88671875" style="825" customWidth="1"/>
    <col min="4110" max="4110" width="12.44140625" style="825" customWidth="1"/>
    <col min="4111" max="4111" width="13" style="825" customWidth="1"/>
    <col min="4112" max="4112" width="11" style="825" customWidth="1"/>
    <col min="4113" max="4113" width="9.88671875" style="825" customWidth="1"/>
    <col min="4114" max="4114" width="11.109375" style="825" customWidth="1"/>
    <col min="4115" max="4115" width="9.44140625" style="825" customWidth="1"/>
    <col min="4116" max="4116" width="9.5546875" style="825" customWidth="1"/>
    <col min="4117" max="4117" width="10.77734375" style="825" customWidth="1"/>
    <col min="4118" max="4118" width="6.5546875" style="825" customWidth="1"/>
    <col min="4119" max="4119" width="7.5546875" style="825" customWidth="1"/>
    <col min="4120" max="4120" width="10.109375" style="825" customWidth="1"/>
    <col min="4121" max="4121" width="9.44140625" style="825" customWidth="1"/>
    <col min="4122" max="4122" width="11" style="825" customWidth="1"/>
    <col min="4123" max="4123" width="14" style="825" customWidth="1"/>
    <col min="4124" max="4124" width="9.88671875" style="825" customWidth="1"/>
    <col min="4125" max="4128" width="8.88671875" style="825"/>
    <col min="4129" max="4129" width="15" style="825" customWidth="1"/>
    <col min="4130" max="4130" width="6.44140625" style="825" customWidth="1"/>
    <col min="4131" max="4131" width="5.6640625" style="825" customWidth="1"/>
    <col min="4132" max="4132" width="9.109375" style="825" customWidth="1"/>
    <col min="4133" max="4135" width="8.88671875" style="825"/>
    <col min="4136" max="4136" width="11.6640625" style="825" customWidth="1"/>
    <col min="4137" max="4360" width="8.88671875" style="825"/>
    <col min="4361" max="4361" width="6.44140625" style="825" customWidth="1"/>
    <col min="4362" max="4362" width="43.33203125" style="825" customWidth="1"/>
    <col min="4363" max="4363" width="11.109375" style="825" customWidth="1"/>
    <col min="4364" max="4364" width="13.109375" style="825" customWidth="1"/>
    <col min="4365" max="4365" width="13.88671875" style="825" customWidth="1"/>
    <col min="4366" max="4366" width="12.44140625" style="825" customWidth="1"/>
    <col min="4367" max="4367" width="13" style="825" customWidth="1"/>
    <col min="4368" max="4368" width="11" style="825" customWidth="1"/>
    <col min="4369" max="4369" width="9.88671875" style="825" customWidth="1"/>
    <col min="4370" max="4370" width="11.109375" style="825" customWidth="1"/>
    <col min="4371" max="4371" width="9.44140625" style="825" customWidth="1"/>
    <col min="4372" max="4372" width="9.5546875" style="825" customWidth="1"/>
    <col min="4373" max="4373" width="10.77734375" style="825" customWidth="1"/>
    <col min="4374" max="4374" width="6.5546875" style="825" customWidth="1"/>
    <col min="4375" max="4375" width="7.5546875" style="825" customWidth="1"/>
    <col min="4376" max="4376" width="10.109375" style="825" customWidth="1"/>
    <col min="4377" max="4377" width="9.44140625" style="825" customWidth="1"/>
    <col min="4378" max="4378" width="11" style="825" customWidth="1"/>
    <col min="4379" max="4379" width="14" style="825" customWidth="1"/>
    <col min="4380" max="4380" width="9.88671875" style="825" customWidth="1"/>
    <col min="4381" max="4384" width="8.88671875" style="825"/>
    <col min="4385" max="4385" width="15" style="825" customWidth="1"/>
    <col min="4386" max="4386" width="6.44140625" style="825" customWidth="1"/>
    <col min="4387" max="4387" width="5.6640625" style="825" customWidth="1"/>
    <col min="4388" max="4388" width="9.109375" style="825" customWidth="1"/>
    <col min="4389" max="4391" width="8.88671875" style="825"/>
    <col min="4392" max="4392" width="11.6640625" style="825" customWidth="1"/>
    <col min="4393" max="4616" width="8.88671875" style="825"/>
    <col min="4617" max="4617" width="6.44140625" style="825" customWidth="1"/>
    <col min="4618" max="4618" width="43.33203125" style="825" customWidth="1"/>
    <col min="4619" max="4619" width="11.109375" style="825" customWidth="1"/>
    <col min="4620" max="4620" width="13.109375" style="825" customWidth="1"/>
    <col min="4621" max="4621" width="13.88671875" style="825" customWidth="1"/>
    <col min="4622" max="4622" width="12.44140625" style="825" customWidth="1"/>
    <col min="4623" max="4623" width="13" style="825" customWidth="1"/>
    <col min="4624" max="4624" width="11" style="825" customWidth="1"/>
    <col min="4625" max="4625" width="9.88671875" style="825" customWidth="1"/>
    <col min="4626" max="4626" width="11.109375" style="825" customWidth="1"/>
    <col min="4627" max="4627" width="9.44140625" style="825" customWidth="1"/>
    <col min="4628" max="4628" width="9.5546875" style="825" customWidth="1"/>
    <col min="4629" max="4629" width="10.77734375" style="825" customWidth="1"/>
    <col min="4630" max="4630" width="6.5546875" style="825" customWidth="1"/>
    <col min="4631" max="4631" width="7.5546875" style="825" customWidth="1"/>
    <col min="4632" max="4632" width="10.109375" style="825" customWidth="1"/>
    <col min="4633" max="4633" width="9.44140625" style="825" customWidth="1"/>
    <col min="4634" max="4634" width="11" style="825" customWidth="1"/>
    <col min="4635" max="4635" width="14" style="825" customWidth="1"/>
    <col min="4636" max="4636" width="9.88671875" style="825" customWidth="1"/>
    <col min="4637" max="4640" width="8.88671875" style="825"/>
    <col min="4641" max="4641" width="15" style="825" customWidth="1"/>
    <col min="4642" max="4642" width="6.44140625" style="825" customWidth="1"/>
    <col min="4643" max="4643" width="5.6640625" style="825" customWidth="1"/>
    <col min="4644" max="4644" width="9.109375" style="825" customWidth="1"/>
    <col min="4645" max="4647" width="8.88671875" style="825"/>
    <col min="4648" max="4648" width="11.6640625" style="825" customWidth="1"/>
    <col min="4649" max="4872" width="8.88671875" style="825"/>
    <col min="4873" max="4873" width="6.44140625" style="825" customWidth="1"/>
    <col min="4874" max="4874" width="43.33203125" style="825" customWidth="1"/>
    <col min="4875" max="4875" width="11.109375" style="825" customWidth="1"/>
    <col min="4876" max="4876" width="13.109375" style="825" customWidth="1"/>
    <col min="4877" max="4877" width="13.88671875" style="825" customWidth="1"/>
    <col min="4878" max="4878" width="12.44140625" style="825" customWidth="1"/>
    <col min="4879" max="4879" width="13" style="825" customWidth="1"/>
    <col min="4880" max="4880" width="11" style="825" customWidth="1"/>
    <col min="4881" max="4881" width="9.88671875" style="825" customWidth="1"/>
    <col min="4882" max="4882" width="11.109375" style="825" customWidth="1"/>
    <col min="4883" max="4883" width="9.44140625" style="825" customWidth="1"/>
    <col min="4884" max="4884" width="9.5546875" style="825" customWidth="1"/>
    <col min="4885" max="4885" width="10.77734375" style="825" customWidth="1"/>
    <col min="4886" max="4886" width="6.5546875" style="825" customWidth="1"/>
    <col min="4887" max="4887" width="7.5546875" style="825" customWidth="1"/>
    <col min="4888" max="4888" width="10.109375" style="825" customWidth="1"/>
    <col min="4889" max="4889" width="9.44140625" style="825" customWidth="1"/>
    <col min="4890" max="4890" width="11" style="825" customWidth="1"/>
    <col min="4891" max="4891" width="14" style="825" customWidth="1"/>
    <col min="4892" max="4892" width="9.88671875" style="825" customWidth="1"/>
    <col min="4893" max="4896" width="8.88671875" style="825"/>
    <col min="4897" max="4897" width="15" style="825" customWidth="1"/>
    <col min="4898" max="4898" width="6.44140625" style="825" customWidth="1"/>
    <col min="4899" max="4899" width="5.6640625" style="825" customWidth="1"/>
    <col min="4900" max="4900" width="9.109375" style="825" customWidth="1"/>
    <col min="4901" max="4903" width="8.88671875" style="825"/>
    <col min="4904" max="4904" width="11.6640625" style="825" customWidth="1"/>
    <col min="4905" max="5128" width="8.88671875" style="825"/>
    <col min="5129" max="5129" width="6.44140625" style="825" customWidth="1"/>
    <col min="5130" max="5130" width="43.33203125" style="825" customWidth="1"/>
    <col min="5131" max="5131" width="11.109375" style="825" customWidth="1"/>
    <col min="5132" max="5132" width="13.109375" style="825" customWidth="1"/>
    <col min="5133" max="5133" width="13.88671875" style="825" customWidth="1"/>
    <col min="5134" max="5134" width="12.44140625" style="825" customWidth="1"/>
    <col min="5135" max="5135" width="13" style="825" customWidth="1"/>
    <col min="5136" max="5136" width="11" style="825" customWidth="1"/>
    <col min="5137" max="5137" width="9.88671875" style="825" customWidth="1"/>
    <col min="5138" max="5138" width="11.109375" style="825" customWidth="1"/>
    <col min="5139" max="5139" width="9.44140625" style="825" customWidth="1"/>
    <col min="5140" max="5140" width="9.5546875" style="825" customWidth="1"/>
    <col min="5141" max="5141" width="10.77734375" style="825" customWidth="1"/>
    <col min="5142" max="5142" width="6.5546875" style="825" customWidth="1"/>
    <col min="5143" max="5143" width="7.5546875" style="825" customWidth="1"/>
    <col min="5144" max="5144" width="10.109375" style="825" customWidth="1"/>
    <col min="5145" max="5145" width="9.44140625" style="825" customWidth="1"/>
    <col min="5146" max="5146" width="11" style="825" customWidth="1"/>
    <col min="5147" max="5147" width="14" style="825" customWidth="1"/>
    <col min="5148" max="5148" width="9.88671875" style="825" customWidth="1"/>
    <col min="5149" max="5152" width="8.88671875" style="825"/>
    <col min="5153" max="5153" width="15" style="825" customWidth="1"/>
    <col min="5154" max="5154" width="6.44140625" style="825" customWidth="1"/>
    <col min="5155" max="5155" width="5.6640625" style="825" customWidth="1"/>
    <col min="5156" max="5156" width="9.109375" style="825" customWidth="1"/>
    <col min="5157" max="5159" width="8.88671875" style="825"/>
    <col min="5160" max="5160" width="11.6640625" style="825" customWidth="1"/>
    <col min="5161" max="5384" width="8.88671875" style="825"/>
    <col min="5385" max="5385" width="6.44140625" style="825" customWidth="1"/>
    <col min="5386" max="5386" width="43.33203125" style="825" customWidth="1"/>
    <col min="5387" max="5387" width="11.109375" style="825" customWidth="1"/>
    <col min="5388" max="5388" width="13.109375" style="825" customWidth="1"/>
    <col min="5389" max="5389" width="13.88671875" style="825" customWidth="1"/>
    <col min="5390" max="5390" width="12.44140625" style="825" customWidth="1"/>
    <col min="5391" max="5391" width="13" style="825" customWidth="1"/>
    <col min="5392" max="5392" width="11" style="825" customWidth="1"/>
    <col min="5393" max="5393" width="9.88671875" style="825" customWidth="1"/>
    <col min="5394" max="5394" width="11.109375" style="825" customWidth="1"/>
    <col min="5395" max="5395" width="9.44140625" style="825" customWidth="1"/>
    <col min="5396" max="5396" width="9.5546875" style="825" customWidth="1"/>
    <col min="5397" max="5397" width="10.77734375" style="825" customWidth="1"/>
    <col min="5398" max="5398" width="6.5546875" style="825" customWidth="1"/>
    <col min="5399" max="5399" width="7.5546875" style="825" customWidth="1"/>
    <col min="5400" max="5400" width="10.109375" style="825" customWidth="1"/>
    <col min="5401" max="5401" width="9.44140625" style="825" customWidth="1"/>
    <col min="5402" max="5402" width="11" style="825" customWidth="1"/>
    <col min="5403" max="5403" width="14" style="825" customWidth="1"/>
    <col min="5404" max="5404" width="9.88671875" style="825" customWidth="1"/>
    <col min="5405" max="5408" width="8.88671875" style="825"/>
    <col min="5409" max="5409" width="15" style="825" customWidth="1"/>
    <col min="5410" max="5410" width="6.44140625" style="825" customWidth="1"/>
    <col min="5411" max="5411" width="5.6640625" style="825" customWidth="1"/>
    <col min="5412" max="5412" width="9.109375" style="825" customWidth="1"/>
    <col min="5413" max="5415" width="8.88671875" style="825"/>
    <col min="5416" max="5416" width="11.6640625" style="825" customWidth="1"/>
    <col min="5417" max="5640" width="8.88671875" style="825"/>
    <col min="5641" max="5641" width="6.44140625" style="825" customWidth="1"/>
    <col min="5642" max="5642" width="43.33203125" style="825" customWidth="1"/>
    <col min="5643" max="5643" width="11.109375" style="825" customWidth="1"/>
    <col min="5644" max="5644" width="13.109375" style="825" customWidth="1"/>
    <col min="5645" max="5645" width="13.88671875" style="825" customWidth="1"/>
    <col min="5646" max="5646" width="12.44140625" style="825" customWidth="1"/>
    <col min="5647" max="5647" width="13" style="825" customWidth="1"/>
    <col min="5648" max="5648" width="11" style="825" customWidth="1"/>
    <col min="5649" max="5649" width="9.88671875" style="825" customWidth="1"/>
    <col min="5650" max="5650" width="11.109375" style="825" customWidth="1"/>
    <col min="5651" max="5651" width="9.44140625" style="825" customWidth="1"/>
    <col min="5652" max="5652" width="9.5546875" style="825" customWidth="1"/>
    <col min="5653" max="5653" width="10.77734375" style="825" customWidth="1"/>
    <col min="5654" max="5654" width="6.5546875" style="825" customWidth="1"/>
    <col min="5655" max="5655" width="7.5546875" style="825" customWidth="1"/>
    <col min="5656" max="5656" width="10.109375" style="825" customWidth="1"/>
    <col min="5657" max="5657" width="9.44140625" style="825" customWidth="1"/>
    <col min="5658" max="5658" width="11" style="825" customWidth="1"/>
    <col min="5659" max="5659" width="14" style="825" customWidth="1"/>
    <col min="5660" max="5660" width="9.88671875" style="825" customWidth="1"/>
    <col min="5661" max="5664" width="8.88671875" style="825"/>
    <col min="5665" max="5665" width="15" style="825" customWidth="1"/>
    <col min="5666" max="5666" width="6.44140625" style="825" customWidth="1"/>
    <col min="5667" max="5667" width="5.6640625" style="825" customWidth="1"/>
    <col min="5668" max="5668" width="9.109375" style="825" customWidth="1"/>
    <col min="5669" max="5671" width="8.88671875" style="825"/>
    <col min="5672" max="5672" width="11.6640625" style="825" customWidth="1"/>
    <col min="5673" max="5896" width="8.88671875" style="825"/>
    <col min="5897" max="5897" width="6.44140625" style="825" customWidth="1"/>
    <col min="5898" max="5898" width="43.33203125" style="825" customWidth="1"/>
    <col min="5899" max="5899" width="11.109375" style="825" customWidth="1"/>
    <col min="5900" max="5900" width="13.109375" style="825" customWidth="1"/>
    <col min="5901" max="5901" width="13.88671875" style="825" customWidth="1"/>
    <col min="5902" max="5902" width="12.44140625" style="825" customWidth="1"/>
    <col min="5903" max="5903" width="13" style="825" customWidth="1"/>
    <col min="5904" max="5904" width="11" style="825" customWidth="1"/>
    <col min="5905" max="5905" width="9.88671875" style="825" customWidth="1"/>
    <col min="5906" max="5906" width="11.109375" style="825" customWidth="1"/>
    <col min="5907" max="5907" width="9.44140625" style="825" customWidth="1"/>
    <col min="5908" max="5908" width="9.5546875" style="825" customWidth="1"/>
    <col min="5909" max="5909" width="10.77734375" style="825" customWidth="1"/>
    <col min="5910" max="5910" width="6.5546875" style="825" customWidth="1"/>
    <col min="5911" max="5911" width="7.5546875" style="825" customWidth="1"/>
    <col min="5912" max="5912" width="10.109375" style="825" customWidth="1"/>
    <col min="5913" max="5913" width="9.44140625" style="825" customWidth="1"/>
    <col min="5914" max="5914" width="11" style="825" customWidth="1"/>
    <col min="5915" max="5915" width="14" style="825" customWidth="1"/>
    <col min="5916" max="5916" width="9.88671875" style="825" customWidth="1"/>
    <col min="5917" max="5920" width="8.88671875" style="825"/>
    <col min="5921" max="5921" width="15" style="825" customWidth="1"/>
    <col min="5922" max="5922" width="6.44140625" style="825" customWidth="1"/>
    <col min="5923" max="5923" width="5.6640625" style="825" customWidth="1"/>
    <col min="5924" max="5924" width="9.109375" style="825" customWidth="1"/>
    <col min="5925" max="5927" width="8.88671875" style="825"/>
    <col min="5928" max="5928" width="11.6640625" style="825" customWidth="1"/>
    <col min="5929" max="6152" width="8.88671875" style="825"/>
    <col min="6153" max="6153" width="6.44140625" style="825" customWidth="1"/>
    <col min="6154" max="6154" width="43.33203125" style="825" customWidth="1"/>
    <col min="6155" max="6155" width="11.109375" style="825" customWidth="1"/>
    <col min="6156" max="6156" width="13.109375" style="825" customWidth="1"/>
    <col min="6157" max="6157" width="13.88671875" style="825" customWidth="1"/>
    <col min="6158" max="6158" width="12.44140625" style="825" customWidth="1"/>
    <col min="6159" max="6159" width="13" style="825" customWidth="1"/>
    <col min="6160" max="6160" width="11" style="825" customWidth="1"/>
    <col min="6161" max="6161" width="9.88671875" style="825" customWidth="1"/>
    <col min="6162" max="6162" width="11.109375" style="825" customWidth="1"/>
    <col min="6163" max="6163" width="9.44140625" style="825" customWidth="1"/>
    <col min="6164" max="6164" width="9.5546875" style="825" customWidth="1"/>
    <col min="6165" max="6165" width="10.77734375" style="825" customWidth="1"/>
    <col min="6166" max="6166" width="6.5546875" style="825" customWidth="1"/>
    <col min="6167" max="6167" width="7.5546875" style="825" customWidth="1"/>
    <col min="6168" max="6168" width="10.109375" style="825" customWidth="1"/>
    <col min="6169" max="6169" width="9.44140625" style="825" customWidth="1"/>
    <col min="6170" max="6170" width="11" style="825" customWidth="1"/>
    <col min="6171" max="6171" width="14" style="825" customWidth="1"/>
    <col min="6172" max="6172" width="9.88671875" style="825" customWidth="1"/>
    <col min="6173" max="6176" width="8.88671875" style="825"/>
    <col min="6177" max="6177" width="15" style="825" customWidth="1"/>
    <col min="6178" max="6178" width="6.44140625" style="825" customWidth="1"/>
    <col min="6179" max="6179" width="5.6640625" style="825" customWidth="1"/>
    <col min="6180" max="6180" width="9.109375" style="825" customWidth="1"/>
    <col min="6181" max="6183" width="8.88671875" style="825"/>
    <col min="6184" max="6184" width="11.6640625" style="825" customWidth="1"/>
    <col min="6185" max="6408" width="8.88671875" style="825"/>
    <col min="6409" max="6409" width="6.44140625" style="825" customWidth="1"/>
    <col min="6410" max="6410" width="43.33203125" style="825" customWidth="1"/>
    <col min="6411" max="6411" width="11.109375" style="825" customWidth="1"/>
    <col min="6412" max="6412" width="13.109375" style="825" customWidth="1"/>
    <col min="6413" max="6413" width="13.88671875" style="825" customWidth="1"/>
    <col min="6414" max="6414" width="12.44140625" style="825" customWidth="1"/>
    <col min="6415" max="6415" width="13" style="825" customWidth="1"/>
    <col min="6416" max="6416" width="11" style="825" customWidth="1"/>
    <col min="6417" max="6417" width="9.88671875" style="825" customWidth="1"/>
    <col min="6418" max="6418" width="11.109375" style="825" customWidth="1"/>
    <col min="6419" max="6419" width="9.44140625" style="825" customWidth="1"/>
    <col min="6420" max="6420" width="9.5546875" style="825" customWidth="1"/>
    <col min="6421" max="6421" width="10.77734375" style="825" customWidth="1"/>
    <col min="6422" max="6422" width="6.5546875" style="825" customWidth="1"/>
    <col min="6423" max="6423" width="7.5546875" style="825" customWidth="1"/>
    <col min="6424" max="6424" width="10.109375" style="825" customWidth="1"/>
    <col min="6425" max="6425" width="9.44140625" style="825" customWidth="1"/>
    <col min="6426" max="6426" width="11" style="825" customWidth="1"/>
    <col min="6427" max="6427" width="14" style="825" customWidth="1"/>
    <col min="6428" max="6428" width="9.88671875" style="825" customWidth="1"/>
    <col min="6429" max="6432" width="8.88671875" style="825"/>
    <col min="6433" max="6433" width="15" style="825" customWidth="1"/>
    <col min="6434" max="6434" width="6.44140625" style="825" customWidth="1"/>
    <col min="6435" max="6435" width="5.6640625" style="825" customWidth="1"/>
    <col min="6436" max="6436" width="9.109375" style="825" customWidth="1"/>
    <col min="6437" max="6439" width="8.88671875" style="825"/>
    <col min="6440" max="6440" width="11.6640625" style="825" customWidth="1"/>
    <col min="6441" max="6664" width="8.88671875" style="825"/>
    <col min="6665" max="6665" width="6.44140625" style="825" customWidth="1"/>
    <col min="6666" max="6666" width="43.33203125" style="825" customWidth="1"/>
    <col min="6667" max="6667" width="11.109375" style="825" customWidth="1"/>
    <col min="6668" max="6668" width="13.109375" style="825" customWidth="1"/>
    <col min="6669" max="6669" width="13.88671875" style="825" customWidth="1"/>
    <col min="6670" max="6670" width="12.44140625" style="825" customWidth="1"/>
    <col min="6671" max="6671" width="13" style="825" customWidth="1"/>
    <col min="6672" max="6672" width="11" style="825" customWidth="1"/>
    <col min="6673" max="6673" width="9.88671875" style="825" customWidth="1"/>
    <col min="6674" max="6674" width="11.109375" style="825" customWidth="1"/>
    <col min="6675" max="6675" width="9.44140625" style="825" customWidth="1"/>
    <col min="6676" max="6676" width="9.5546875" style="825" customWidth="1"/>
    <col min="6677" max="6677" width="10.77734375" style="825" customWidth="1"/>
    <col min="6678" max="6678" width="6.5546875" style="825" customWidth="1"/>
    <col min="6679" max="6679" width="7.5546875" style="825" customWidth="1"/>
    <col min="6680" max="6680" width="10.109375" style="825" customWidth="1"/>
    <col min="6681" max="6681" width="9.44140625" style="825" customWidth="1"/>
    <col min="6682" max="6682" width="11" style="825" customWidth="1"/>
    <col min="6683" max="6683" width="14" style="825" customWidth="1"/>
    <col min="6684" max="6684" width="9.88671875" style="825" customWidth="1"/>
    <col min="6685" max="6688" width="8.88671875" style="825"/>
    <col min="6689" max="6689" width="15" style="825" customWidth="1"/>
    <col min="6690" max="6690" width="6.44140625" style="825" customWidth="1"/>
    <col min="6691" max="6691" width="5.6640625" style="825" customWidth="1"/>
    <col min="6692" max="6692" width="9.109375" style="825" customWidth="1"/>
    <col min="6693" max="6695" width="8.88671875" style="825"/>
    <col min="6696" max="6696" width="11.6640625" style="825" customWidth="1"/>
    <col min="6697" max="6920" width="8.88671875" style="825"/>
    <col min="6921" max="6921" width="6.44140625" style="825" customWidth="1"/>
    <col min="6922" max="6922" width="43.33203125" style="825" customWidth="1"/>
    <col min="6923" max="6923" width="11.109375" style="825" customWidth="1"/>
    <col min="6924" max="6924" width="13.109375" style="825" customWidth="1"/>
    <col min="6925" max="6925" width="13.88671875" style="825" customWidth="1"/>
    <col min="6926" max="6926" width="12.44140625" style="825" customWidth="1"/>
    <col min="6927" max="6927" width="13" style="825" customWidth="1"/>
    <col min="6928" max="6928" width="11" style="825" customWidth="1"/>
    <col min="6929" max="6929" width="9.88671875" style="825" customWidth="1"/>
    <col min="6930" max="6930" width="11.109375" style="825" customWidth="1"/>
    <col min="6931" max="6931" width="9.44140625" style="825" customWidth="1"/>
    <col min="6932" max="6932" width="9.5546875" style="825" customWidth="1"/>
    <col min="6933" max="6933" width="10.77734375" style="825" customWidth="1"/>
    <col min="6934" max="6934" width="6.5546875" style="825" customWidth="1"/>
    <col min="6935" max="6935" width="7.5546875" style="825" customWidth="1"/>
    <col min="6936" max="6936" width="10.109375" style="825" customWidth="1"/>
    <col min="6937" max="6937" width="9.44140625" style="825" customWidth="1"/>
    <col min="6938" max="6938" width="11" style="825" customWidth="1"/>
    <col min="6939" max="6939" width="14" style="825" customWidth="1"/>
    <col min="6940" max="6940" width="9.88671875" style="825" customWidth="1"/>
    <col min="6941" max="6944" width="8.88671875" style="825"/>
    <col min="6945" max="6945" width="15" style="825" customWidth="1"/>
    <col min="6946" max="6946" width="6.44140625" style="825" customWidth="1"/>
    <col min="6947" max="6947" width="5.6640625" style="825" customWidth="1"/>
    <col min="6948" max="6948" width="9.109375" style="825" customWidth="1"/>
    <col min="6949" max="6951" width="8.88671875" style="825"/>
    <col min="6952" max="6952" width="11.6640625" style="825" customWidth="1"/>
    <col min="6953" max="7176" width="8.88671875" style="825"/>
    <col min="7177" max="7177" width="6.44140625" style="825" customWidth="1"/>
    <col min="7178" max="7178" width="43.33203125" style="825" customWidth="1"/>
    <col min="7179" max="7179" width="11.109375" style="825" customWidth="1"/>
    <col min="7180" max="7180" width="13.109375" style="825" customWidth="1"/>
    <col min="7181" max="7181" width="13.88671875" style="825" customWidth="1"/>
    <col min="7182" max="7182" width="12.44140625" style="825" customWidth="1"/>
    <col min="7183" max="7183" width="13" style="825" customWidth="1"/>
    <col min="7184" max="7184" width="11" style="825" customWidth="1"/>
    <col min="7185" max="7185" width="9.88671875" style="825" customWidth="1"/>
    <col min="7186" max="7186" width="11.109375" style="825" customWidth="1"/>
    <col min="7187" max="7187" width="9.44140625" style="825" customWidth="1"/>
    <col min="7188" max="7188" width="9.5546875" style="825" customWidth="1"/>
    <col min="7189" max="7189" width="10.77734375" style="825" customWidth="1"/>
    <col min="7190" max="7190" width="6.5546875" style="825" customWidth="1"/>
    <col min="7191" max="7191" width="7.5546875" style="825" customWidth="1"/>
    <col min="7192" max="7192" width="10.109375" style="825" customWidth="1"/>
    <col min="7193" max="7193" width="9.44140625" style="825" customWidth="1"/>
    <col min="7194" max="7194" width="11" style="825" customWidth="1"/>
    <col min="7195" max="7195" width="14" style="825" customWidth="1"/>
    <col min="7196" max="7196" width="9.88671875" style="825" customWidth="1"/>
    <col min="7197" max="7200" width="8.88671875" style="825"/>
    <col min="7201" max="7201" width="15" style="825" customWidth="1"/>
    <col min="7202" max="7202" width="6.44140625" style="825" customWidth="1"/>
    <col min="7203" max="7203" width="5.6640625" style="825" customWidth="1"/>
    <col min="7204" max="7204" width="9.109375" style="825" customWidth="1"/>
    <col min="7205" max="7207" width="8.88671875" style="825"/>
    <col min="7208" max="7208" width="11.6640625" style="825" customWidth="1"/>
    <col min="7209" max="7432" width="8.88671875" style="825"/>
    <col min="7433" max="7433" width="6.44140625" style="825" customWidth="1"/>
    <col min="7434" max="7434" width="43.33203125" style="825" customWidth="1"/>
    <col min="7435" max="7435" width="11.109375" style="825" customWidth="1"/>
    <col min="7436" max="7436" width="13.109375" style="825" customWidth="1"/>
    <col min="7437" max="7437" width="13.88671875" style="825" customWidth="1"/>
    <col min="7438" max="7438" width="12.44140625" style="825" customWidth="1"/>
    <col min="7439" max="7439" width="13" style="825" customWidth="1"/>
    <col min="7440" max="7440" width="11" style="825" customWidth="1"/>
    <col min="7441" max="7441" width="9.88671875" style="825" customWidth="1"/>
    <col min="7442" max="7442" width="11.109375" style="825" customWidth="1"/>
    <col min="7443" max="7443" width="9.44140625" style="825" customWidth="1"/>
    <col min="7444" max="7444" width="9.5546875" style="825" customWidth="1"/>
    <col min="7445" max="7445" width="10.77734375" style="825" customWidth="1"/>
    <col min="7446" max="7446" width="6.5546875" style="825" customWidth="1"/>
    <col min="7447" max="7447" width="7.5546875" style="825" customWidth="1"/>
    <col min="7448" max="7448" width="10.109375" style="825" customWidth="1"/>
    <col min="7449" max="7449" width="9.44140625" style="825" customWidth="1"/>
    <col min="7450" max="7450" width="11" style="825" customWidth="1"/>
    <col min="7451" max="7451" width="14" style="825" customWidth="1"/>
    <col min="7452" max="7452" width="9.88671875" style="825" customWidth="1"/>
    <col min="7453" max="7456" width="8.88671875" style="825"/>
    <col min="7457" max="7457" width="15" style="825" customWidth="1"/>
    <col min="7458" max="7458" width="6.44140625" style="825" customWidth="1"/>
    <col min="7459" max="7459" width="5.6640625" style="825" customWidth="1"/>
    <col min="7460" max="7460" width="9.109375" style="825" customWidth="1"/>
    <col min="7461" max="7463" width="8.88671875" style="825"/>
    <col min="7464" max="7464" width="11.6640625" style="825" customWidth="1"/>
    <col min="7465" max="7688" width="8.88671875" style="825"/>
    <col min="7689" max="7689" width="6.44140625" style="825" customWidth="1"/>
    <col min="7690" max="7690" width="43.33203125" style="825" customWidth="1"/>
    <col min="7691" max="7691" width="11.109375" style="825" customWidth="1"/>
    <col min="7692" max="7692" width="13.109375" style="825" customWidth="1"/>
    <col min="7693" max="7693" width="13.88671875" style="825" customWidth="1"/>
    <col min="7694" max="7694" width="12.44140625" style="825" customWidth="1"/>
    <col min="7695" max="7695" width="13" style="825" customWidth="1"/>
    <col min="7696" max="7696" width="11" style="825" customWidth="1"/>
    <col min="7697" max="7697" width="9.88671875" style="825" customWidth="1"/>
    <col min="7698" max="7698" width="11.109375" style="825" customWidth="1"/>
    <col min="7699" max="7699" width="9.44140625" style="825" customWidth="1"/>
    <col min="7700" max="7700" width="9.5546875" style="825" customWidth="1"/>
    <col min="7701" max="7701" width="10.77734375" style="825" customWidth="1"/>
    <col min="7702" max="7702" width="6.5546875" style="825" customWidth="1"/>
    <col min="7703" max="7703" width="7.5546875" style="825" customWidth="1"/>
    <col min="7704" max="7704" width="10.109375" style="825" customWidth="1"/>
    <col min="7705" max="7705" width="9.44140625" style="825" customWidth="1"/>
    <col min="7706" max="7706" width="11" style="825" customWidth="1"/>
    <col min="7707" max="7707" width="14" style="825" customWidth="1"/>
    <col min="7708" max="7708" width="9.88671875" style="825" customWidth="1"/>
    <col min="7709" max="7712" width="8.88671875" style="825"/>
    <col min="7713" max="7713" width="15" style="825" customWidth="1"/>
    <col min="7714" max="7714" width="6.44140625" style="825" customWidth="1"/>
    <col min="7715" max="7715" width="5.6640625" style="825" customWidth="1"/>
    <col min="7716" max="7716" width="9.109375" style="825" customWidth="1"/>
    <col min="7717" max="7719" width="8.88671875" style="825"/>
    <col min="7720" max="7720" width="11.6640625" style="825" customWidth="1"/>
    <col min="7721" max="7944" width="8.88671875" style="825"/>
    <col min="7945" max="7945" width="6.44140625" style="825" customWidth="1"/>
    <col min="7946" max="7946" width="43.33203125" style="825" customWidth="1"/>
    <col min="7947" max="7947" width="11.109375" style="825" customWidth="1"/>
    <col min="7948" max="7948" width="13.109375" style="825" customWidth="1"/>
    <col min="7949" max="7949" width="13.88671875" style="825" customWidth="1"/>
    <col min="7950" max="7950" width="12.44140625" style="825" customWidth="1"/>
    <col min="7951" max="7951" width="13" style="825" customWidth="1"/>
    <col min="7952" max="7952" width="11" style="825" customWidth="1"/>
    <col min="7953" max="7953" width="9.88671875" style="825" customWidth="1"/>
    <col min="7954" max="7954" width="11.109375" style="825" customWidth="1"/>
    <col min="7955" max="7955" width="9.44140625" style="825" customWidth="1"/>
    <col min="7956" max="7956" width="9.5546875" style="825" customWidth="1"/>
    <col min="7957" max="7957" width="10.77734375" style="825" customWidth="1"/>
    <col min="7958" max="7958" width="6.5546875" style="825" customWidth="1"/>
    <col min="7959" max="7959" width="7.5546875" style="825" customWidth="1"/>
    <col min="7960" max="7960" width="10.109375" style="825" customWidth="1"/>
    <col min="7961" max="7961" width="9.44140625" style="825" customWidth="1"/>
    <col min="7962" max="7962" width="11" style="825" customWidth="1"/>
    <col min="7963" max="7963" width="14" style="825" customWidth="1"/>
    <col min="7964" max="7964" width="9.88671875" style="825" customWidth="1"/>
    <col min="7965" max="7968" width="8.88671875" style="825"/>
    <col min="7969" max="7969" width="15" style="825" customWidth="1"/>
    <col min="7970" max="7970" width="6.44140625" style="825" customWidth="1"/>
    <col min="7971" max="7971" width="5.6640625" style="825" customWidth="1"/>
    <col min="7972" max="7972" width="9.109375" style="825" customWidth="1"/>
    <col min="7973" max="7975" width="8.88671875" style="825"/>
    <col min="7976" max="7976" width="11.6640625" style="825" customWidth="1"/>
    <col min="7977" max="8200" width="8.88671875" style="825"/>
    <col min="8201" max="8201" width="6.44140625" style="825" customWidth="1"/>
    <col min="8202" max="8202" width="43.33203125" style="825" customWidth="1"/>
    <col min="8203" max="8203" width="11.109375" style="825" customWidth="1"/>
    <col min="8204" max="8204" width="13.109375" style="825" customWidth="1"/>
    <col min="8205" max="8205" width="13.88671875" style="825" customWidth="1"/>
    <col min="8206" max="8206" width="12.44140625" style="825" customWidth="1"/>
    <col min="8207" max="8207" width="13" style="825" customWidth="1"/>
    <col min="8208" max="8208" width="11" style="825" customWidth="1"/>
    <col min="8209" max="8209" width="9.88671875" style="825" customWidth="1"/>
    <col min="8210" max="8210" width="11.109375" style="825" customWidth="1"/>
    <col min="8211" max="8211" width="9.44140625" style="825" customWidth="1"/>
    <col min="8212" max="8212" width="9.5546875" style="825" customWidth="1"/>
    <col min="8213" max="8213" width="10.77734375" style="825" customWidth="1"/>
    <col min="8214" max="8214" width="6.5546875" style="825" customWidth="1"/>
    <col min="8215" max="8215" width="7.5546875" style="825" customWidth="1"/>
    <col min="8216" max="8216" width="10.109375" style="825" customWidth="1"/>
    <col min="8217" max="8217" width="9.44140625" style="825" customWidth="1"/>
    <col min="8218" max="8218" width="11" style="825" customWidth="1"/>
    <col min="8219" max="8219" width="14" style="825" customWidth="1"/>
    <col min="8220" max="8220" width="9.88671875" style="825" customWidth="1"/>
    <col min="8221" max="8224" width="8.88671875" style="825"/>
    <col min="8225" max="8225" width="15" style="825" customWidth="1"/>
    <col min="8226" max="8226" width="6.44140625" style="825" customWidth="1"/>
    <col min="8227" max="8227" width="5.6640625" style="825" customWidth="1"/>
    <col min="8228" max="8228" width="9.109375" style="825" customWidth="1"/>
    <col min="8229" max="8231" width="8.88671875" style="825"/>
    <col min="8232" max="8232" width="11.6640625" style="825" customWidth="1"/>
    <col min="8233" max="8456" width="8.88671875" style="825"/>
    <col min="8457" max="8457" width="6.44140625" style="825" customWidth="1"/>
    <col min="8458" max="8458" width="43.33203125" style="825" customWidth="1"/>
    <col min="8459" max="8459" width="11.109375" style="825" customWidth="1"/>
    <col min="8460" max="8460" width="13.109375" style="825" customWidth="1"/>
    <col min="8461" max="8461" width="13.88671875" style="825" customWidth="1"/>
    <col min="8462" max="8462" width="12.44140625" style="825" customWidth="1"/>
    <col min="8463" max="8463" width="13" style="825" customWidth="1"/>
    <col min="8464" max="8464" width="11" style="825" customWidth="1"/>
    <col min="8465" max="8465" width="9.88671875" style="825" customWidth="1"/>
    <col min="8466" max="8466" width="11.109375" style="825" customWidth="1"/>
    <col min="8467" max="8467" width="9.44140625" style="825" customWidth="1"/>
    <col min="8468" max="8468" width="9.5546875" style="825" customWidth="1"/>
    <col min="8469" max="8469" width="10.77734375" style="825" customWidth="1"/>
    <col min="8470" max="8470" width="6.5546875" style="825" customWidth="1"/>
    <col min="8471" max="8471" width="7.5546875" style="825" customWidth="1"/>
    <col min="8472" max="8472" width="10.109375" style="825" customWidth="1"/>
    <col min="8473" max="8473" width="9.44140625" style="825" customWidth="1"/>
    <col min="8474" max="8474" width="11" style="825" customWidth="1"/>
    <col min="8475" max="8475" width="14" style="825" customWidth="1"/>
    <col min="8476" max="8476" width="9.88671875" style="825" customWidth="1"/>
    <col min="8477" max="8480" width="8.88671875" style="825"/>
    <col min="8481" max="8481" width="15" style="825" customWidth="1"/>
    <col min="8482" max="8482" width="6.44140625" style="825" customWidth="1"/>
    <col min="8483" max="8483" width="5.6640625" style="825" customWidth="1"/>
    <col min="8484" max="8484" width="9.109375" style="825" customWidth="1"/>
    <col min="8485" max="8487" width="8.88671875" style="825"/>
    <col min="8488" max="8488" width="11.6640625" style="825" customWidth="1"/>
    <col min="8489" max="8712" width="8.88671875" style="825"/>
    <col min="8713" max="8713" width="6.44140625" style="825" customWidth="1"/>
    <col min="8714" max="8714" width="43.33203125" style="825" customWidth="1"/>
    <col min="8715" max="8715" width="11.109375" style="825" customWidth="1"/>
    <col min="8716" max="8716" width="13.109375" style="825" customWidth="1"/>
    <col min="8717" max="8717" width="13.88671875" style="825" customWidth="1"/>
    <col min="8718" max="8718" width="12.44140625" style="825" customWidth="1"/>
    <col min="8719" max="8719" width="13" style="825" customWidth="1"/>
    <col min="8720" max="8720" width="11" style="825" customWidth="1"/>
    <col min="8721" max="8721" width="9.88671875" style="825" customWidth="1"/>
    <col min="8722" max="8722" width="11.109375" style="825" customWidth="1"/>
    <col min="8723" max="8723" width="9.44140625" style="825" customWidth="1"/>
    <col min="8724" max="8724" width="9.5546875" style="825" customWidth="1"/>
    <col min="8725" max="8725" width="10.77734375" style="825" customWidth="1"/>
    <col min="8726" max="8726" width="6.5546875" style="825" customWidth="1"/>
    <col min="8727" max="8727" width="7.5546875" style="825" customWidth="1"/>
    <col min="8728" max="8728" width="10.109375" style="825" customWidth="1"/>
    <col min="8729" max="8729" width="9.44140625" style="825" customWidth="1"/>
    <col min="8730" max="8730" width="11" style="825" customWidth="1"/>
    <col min="8731" max="8731" width="14" style="825" customWidth="1"/>
    <col min="8732" max="8732" width="9.88671875" style="825" customWidth="1"/>
    <col min="8733" max="8736" width="8.88671875" style="825"/>
    <col min="8737" max="8737" width="15" style="825" customWidth="1"/>
    <col min="8738" max="8738" width="6.44140625" style="825" customWidth="1"/>
    <col min="8739" max="8739" width="5.6640625" style="825" customWidth="1"/>
    <col min="8740" max="8740" width="9.109375" style="825" customWidth="1"/>
    <col min="8741" max="8743" width="8.88671875" style="825"/>
    <col min="8744" max="8744" width="11.6640625" style="825" customWidth="1"/>
    <col min="8745" max="8968" width="8.88671875" style="825"/>
    <col min="8969" max="8969" width="6.44140625" style="825" customWidth="1"/>
    <col min="8970" max="8970" width="43.33203125" style="825" customWidth="1"/>
    <col min="8971" max="8971" width="11.109375" style="825" customWidth="1"/>
    <col min="8972" max="8972" width="13.109375" style="825" customWidth="1"/>
    <col min="8973" max="8973" width="13.88671875" style="825" customWidth="1"/>
    <col min="8974" max="8974" width="12.44140625" style="825" customWidth="1"/>
    <col min="8975" max="8975" width="13" style="825" customWidth="1"/>
    <col min="8976" max="8976" width="11" style="825" customWidth="1"/>
    <col min="8977" max="8977" width="9.88671875" style="825" customWidth="1"/>
    <col min="8978" max="8978" width="11.109375" style="825" customWidth="1"/>
    <col min="8979" max="8979" width="9.44140625" style="825" customWidth="1"/>
    <col min="8980" max="8980" width="9.5546875" style="825" customWidth="1"/>
    <col min="8981" max="8981" width="10.77734375" style="825" customWidth="1"/>
    <col min="8982" max="8982" width="6.5546875" style="825" customWidth="1"/>
    <col min="8983" max="8983" width="7.5546875" style="825" customWidth="1"/>
    <col min="8984" max="8984" width="10.109375" style="825" customWidth="1"/>
    <col min="8985" max="8985" width="9.44140625" style="825" customWidth="1"/>
    <col min="8986" max="8986" width="11" style="825" customWidth="1"/>
    <col min="8987" max="8987" width="14" style="825" customWidth="1"/>
    <col min="8988" max="8988" width="9.88671875" style="825" customWidth="1"/>
    <col min="8989" max="8992" width="8.88671875" style="825"/>
    <col min="8993" max="8993" width="15" style="825" customWidth="1"/>
    <col min="8994" max="8994" width="6.44140625" style="825" customWidth="1"/>
    <col min="8995" max="8995" width="5.6640625" style="825" customWidth="1"/>
    <col min="8996" max="8996" width="9.109375" style="825" customWidth="1"/>
    <col min="8997" max="8999" width="8.88671875" style="825"/>
    <col min="9000" max="9000" width="11.6640625" style="825" customWidth="1"/>
    <col min="9001" max="9224" width="8.88671875" style="825"/>
    <col min="9225" max="9225" width="6.44140625" style="825" customWidth="1"/>
    <col min="9226" max="9226" width="43.33203125" style="825" customWidth="1"/>
    <col min="9227" max="9227" width="11.109375" style="825" customWidth="1"/>
    <col min="9228" max="9228" width="13.109375" style="825" customWidth="1"/>
    <col min="9229" max="9229" width="13.88671875" style="825" customWidth="1"/>
    <col min="9230" max="9230" width="12.44140625" style="825" customWidth="1"/>
    <col min="9231" max="9231" width="13" style="825" customWidth="1"/>
    <col min="9232" max="9232" width="11" style="825" customWidth="1"/>
    <col min="9233" max="9233" width="9.88671875" style="825" customWidth="1"/>
    <col min="9234" max="9234" width="11.109375" style="825" customWidth="1"/>
    <col min="9235" max="9235" width="9.44140625" style="825" customWidth="1"/>
    <col min="9236" max="9236" width="9.5546875" style="825" customWidth="1"/>
    <col min="9237" max="9237" width="10.77734375" style="825" customWidth="1"/>
    <col min="9238" max="9238" width="6.5546875" style="825" customWidth="1"/>
    <col min="9239" max="9239" width="7.5546875" style="825" customWidth="1"/>
    <col min="9240" max="9240" width="10.109375" style="825" customWidth="1"/>
    <col min="9241" max="9241" width="9.44140625" style="825" customWidth="1"/>
    <col min="9242" max="9242" width="11" style="825" customWidth="1"/>
    <col min="9243" max="9243" width="14" style="825" customWidth="1"/>
    <col min="9244" max="9244" width="9.88671875" style="825" customWidth="1"/>
    <col min="9245" max="9248" width="8.88671875" style="825"/>
    <col min="9249" max="9249" width="15" style="825" customWidth="1"/>
    <col min="9250" max="9250" width="6.44140625" style="825" customWidth="1"/>
    <col min="9251" max="9251" width="5.6640625" style="825" customWidth="1"/>
    <col min="9252" max="9252" width="9.109375" style="825" customWidth="1"/>
    <col min="9253" max="9255" width="8.88671875" style="825"/>
    <col min="9256" max="9256" width="11.6640625" style="825" customWidth="1"/>
    <col min="9257" max="9480" width="8.88671875" style="825"/>
    <col min="9481" max="9481" width="6.44140625" style="825" customWidth="1"/>
    <col min="9482" max="9482" width="43.33203125" style="825" customWidth="1"/>
    <col min="9483" max="9483" width="11.109375" style="825" customWidth="1"/>
    <col min="9484" max="9484" width="13.109375" style="825" customWidth="1"/>
    <col min="9485" max="9485" width="13.88671875" style="825" customWidth="1"/>
    <col min="9486" max="9486" width="12.44140625" style="825" customWidth="1"/>
    <col min="9487" max="9487" width="13" style="825" customWidth="1"/>
    <col min="9488" max="9488" width="11" style="825" customWidth="1"/>
    <col min="9489" max="9489" width="9.88671875" style="825" customWidth="1"/>
    <col min="9490" max="9490" width="11.109375" style="825" customWidth="1"/>
    <col min="9491" max="9491" width="9.44140625" style="825" customWidth="1"/>
    <col min="9492" max="9492" width="9.5546875" style="825" customWidth="1"/>
    <col min="9493" max="9493" width="10.77734375" style="825" customWidth="1"/>
    <col min="9494" max="9494" width="6.5546875" style="825" customWidth="1"/>
    <col min="9495" max="9495" width="7.5546875" style="825" customWidth="1"/>
    <col min="9496" max="9496" width="10.109375" style="825" customWidth="1"/>
    <col min="9497" max="9497" width="9.44140625" style="825" customWidth="1"/>
    <col min="9498" max="9498" width="11" style="825" customWidth="1"/>
    <col min="9499" max="9499" width="14" style="825" customWidth="1"/>
    <col min="9500" max="9500" width="9.88671875" style="825" customWidth="1"/>
    <col min="9501" max="9504" width="8.88671875" style="825"/>
    <col min="9505" max="9505" width="15" style="825" customWidth="1"/>
    <col min="9506" max="9506" width="6.44140625" style="825" customWidth="1"/>
    <col min="9507" max="9507" width="5.6640625" style="825" customWidth="1"/>
    <col min="9508" max="9508" width="9.109375" style="825" customWidth="1"/>
    <col min="9509" max="9511" width="8.88671875" style="825"/>
    <col min="9512" max="9512" width="11.6640625" style="825" customWidth="1"/>
    <col min="9513" max="9736" width="8.88671875" style="825"/>
    <col min="9737" max="9737" width="6.44140625" style="825" customWidth="1"/>
    <col min="9738" max="9738" width="43.33203125" style="825" customWidth="1"/>
    <col min="9739" max="9739" width="11.109375" style="825" customWidth="1"/>
    <col min="9740" max="9740" width="13.109375" style="825" customWidth="1"/>
    <col min="9741" max="9741" width="13.88671875" style="825" customWidth="1"/>
    <col min="9742" max="9742" width="12.44140625" style="825" customWidth="1"/>
    <col min="9743" max="9743" width="13" style="825" customWidth="1"/>
    <col min="9744" max="9744" width="11" style="825" customWidth="1"/>
    <col min="9745" max="9745" width="9.88671875" style="825" customWidth="1"/>
    <col min="9746" max="9746" width="11.109375" style="825" customWidth="1"/>
    <col min="9747" max="9747" width="9.44140625" style="825" customWidth="1"/>
    <col min="9748" max="9748" width="9.5546875" style="825" customWidth="1"/>
    <col min="9749" max="9749" width="10.77734375" style="825" customWidth="1"/>
    <col min="9750" max="9750" width="6.5546875" style="825" customWidth="1"/>
    <col min="9751" max="9751" width="7.5546875" style="825" customWidth="1"/>
    <col min="9752" max="9752" width="10.109375" style="825" customWidth="1"/>
    <col min="9753" max="9753" width="9.44140625" style="825" customWidth="1"/>
    <col min="9754" max="9754" width="11" style="825" customWidth="1"/>
    <col min="9755" max="9755" width="14" style="825" customWidth="1"/>
    <col min="9756" max="9756" width="9.88671875" style="825" customWidth="1"/>
    <col min="9757" max="9760" width="8.88671875" style="825"/>
    <col min="9761" max="9761" width="15" style="825" customWidth="1"/>
    <col min="9762" max="9762" width="6.44140625" style="825" customWidth="1"/>
    <col min="9763" max="9763" width="5.6640625" style="825" customWidth="1"/>
    <col min="9764" max="9764" width="9.109375" style="825" customWidth="1"/>
    <col min="9765" max="9767" width="8.88671875" style="825"/>
    <col min="9768" max="9768" width="11.6640625" style="825" customWidth="1"/>
    <col min="9769" max="9992" width="8.88671875" style="825"/>
    <col min="9993" max="9993" width="6.44140625" style="825" customWidth="1"/>
    <col min="9994" max="9994" width="43.33203125" style="825" customWidth="1"/>
    <col min="9995" max="9995" width="11.109375" style="825" customWidth="1"/>
    <col min="9996" max="9996" width="13.109375" style="825" customWidth="1"/>
    <col min="9997" max="9997" width="13.88671875" style="825" customWidth="1"/>
    <col min="9998" max="9998" width="12.44140625" style="825" customWidth="1"/>
    <col min="9999" max="9999" width="13" style="825" customWidth="1"/>
    <col min="10000" max="10000" width="11" style="825" customWidth="1"/>
    <col min="10001" max="10001" width="9.88671875" style="825" customWidth="1"/>
    <col min="10002" max="10002" width="11.109375" style="825" customWidth="1"/>
    <col min="10003" max="10003" width="9.44140625" style="825" customWidth="1"/>
    <col min="10004" max="10004" width="9.5546875" style="825" customWidth="1"/>
    <col min="10005" max="10005" width="10.77734375" style="825" customWidth="1"/>
    <col min="10006" max="10006" width="6.5546875" style="825" customWidth="1"/>
    <col min="10007" max="10007" width="7.5546875" style="825" customWidth="1"/>
    <col min="10008" max="10008" width="10.109375" style="825" customWidth="1"/>
    <col min="10009" max="10009" width="9.44140625" style="825" customWidth="1"/>
    <col min="10010" max="10010" width="11" style="825" customWidth="1"/>
    <col min="10011" max="10011" width="14" style="825" customWidth="1"/>
    <col min="10012" max="10012" width="9.88671875" style="825" customWidth="1"/>
    <col min="10013" max="10016" width="8.88671875" style="825"/>
    <col min="10017" max="10017" width="15" style="825" customWidth="1"/>
    <col min="10018" max="10018" width="6.44140625" style="825" customWidth="1"/>
    <col min="10019" max="10019" width="5.6640625" style="825" customWidth="1"/>
    <col min="10020" max="10020" width="9.109375" style="825" customWidth="1"/>
    <col min="10021" max="10023" width="8.88671875" style="825"/>
    <col min="10024" max="10024" width="11.6640625" style="825" customWidth="1"/>
    <col min="10025" max="10248" width="8.88671875" style="825"/>
    <col min="10249" max="10249" width="6.44140625" style="825" customWidth="1"/>
    <col min="10250" max="10250" width="43.33203125" style="825" customWidth="1"/>
    <col min="10251" max="10251" width="11.109375" style="825" customWidth="1"/>
    <col min="10252" max="10252" width="13.109375" style="825" customWidth="1"/>
    <col min="10253" max="10253" width="13.88671875" style="825" customWidth="1"/>
    <col min="10254" max="10254" width="12.44140625" style="825" customWidth="1"/>
    <col min="10255" max="10255" width="13" style="825" customWidth="1"/>
    <col min="10256" max="10256" width="11" style="825" customWidth="1"/>
    <col min="10257" max="10257" width="9.88671875" style="825" customWidth="1"/>
    <col min="10258" max="10258" width="11.109375" style="825" customWidth="1"/>
    <col min="10259" max="10259" width="9.44140625" style="825" customWidth="1"/>
    <col min="10260" max="10260" width="9.5546875" style="825" customWidth="1"/>
    <col min="10261" max="10261" width="10.77734375" style="825" customWidth="1"/>
    <col min="10262" max="10262" width="6.5546875" style="825" customWidth="1"/>
    <col min="10263" max="10263" width="7.5546875" style="825" customWidth="1"/>
    <col min="10264" max="10264" width="10.109375" style="825" customWidth="1"/>
    <col min="10265" max="10265" width="9.44140625" style="825" customWidth="1"/>
    <col min="10266" max="10266" width="11" style="825" customWidth="1"/>
    <col min="10267" max="10267" width="14" style="825" customWidth="1"/>
    <col min="10268" max="10268" width="9.88671875" style="825" customWidth="1"/>
    <col min="10269" max="10272" width="8.88671875" style="825"/>
    <col min="10273" max="10273" width="15" style="825" customWidth="1"/>
    <col min="10274" max="10274" width="6.44140625" style="825" customWidth="1"/>
    <col min="10275" max="10275" width="5.6640625" style="825" customWidth="1"/>
    <col min="10276" max="10276" width="9.109375" style="825" customWidth="1"/>
    <col min="10277" max="10279" width="8.88671875" style="825"/>
    <col min="10280" max="10280" width="11.6640625" style="825" customWidth="1"/>
    <col min="10281" max="10504" width="8.88671875" style="825"/>
    <col min="10505" max="10505" width="6.44140625" style="825" customWidth="1"/>
    <col min="10506" max="10506" width="43.33203125" style="825" customWidth="1"/>
    <col min="10507" max="10507" width="11.109375" style="825" customWidth="1"/>
    <col min="10508" max="10508" width="13.109375" style="825" customWidth="1"/>
    <col min="10509" max="10509" width="13.88671875" style="825" customWidth="1"/>
    <col min="10510" max="10510" width="12.44140625" style="825" customWidth="1"/>
    <col min="10511" max="10511" width="13" style="825" customWidth="1"/>
    <col min="10512" max="10512" width="11" style="825" customWidth="1"/>
    <col min="10513" max="10513" width="9.88671875" style="825" customWidth="1"/>
    <col min="10514" max="10514" width="11.109375" style="825" customWidth="1"/>
    <col min="10515" max="10515" width="9.44140625" style="825" customWidth="1"/>
    <col min="10516" max="10516" width="9.5546875" style="825" customWidth="1"/>
    <col min="10517" max="10517" width="10.77734375" style="825" customWidth="1"/>
    <col min="10518" max="10518" width="6.5546875" style="825" customWidth="1"/>
    <col min="10519" max="10519" width="7.5546875" style="825" customWidth="1"/>
    <col min="10520" max="10520" width="10.109375" style="825" customWidth="1"/>
    <col min="10521" max="10521" width="9.44140625" style="825" customWidth="1"/>
    <col min="10522" max="10522" width="11" style="825" customWidth="1"/>
    <col min="10523" max="10523" width="14" style="825" customWidth="1"/>
    <col min="10524" max="10524" width="9.88671875" style="825" customWidth="1"/>
    <col min="10525" max="10528" width="8.88671875" style="825"/>
    <col min="10529" max="10529" width="15" style="825" customWidth="1"/>
    <col min="10530" max="10530" width="6.44140625" style="825" customWidth="1"/>
    <col min="10531" max="10531" width="5.6640625" style="825" customWidth="1"/>
    <col min="10532" max="10532" width="9.109375" style="825" customWidth="1"/>
    <col min="10533" max="10535" width="8.88671875" style="825"/>
    <col min="10536" max="10536" width="11.6640625" style="825" customWidth="1"/>
    <col min="10537" max="10760" width="8.88671875" style="825"/>
    <col min="10761" max="10761" width="6.44140625" style="825" customWidth="1"/>
    <col min="10762" max="10762" width="43.33203125" style="825" customWidth="1"/>
    <col min="10763" max="10763" width="11.109375" style="825" customWidth="1"/>
    <col min="10764" max="10764" width="13.109375" style="825" customWidth="1"/>
    <col min="10765" max="10765" width="13.88671875" style="825" customWidth="1"/>
    <col min="10766" max="10766" width="12.44140625" style="825" customWidth="1"/>
    <col min="10767" max="10767" width="13" style="825" customWidth="1"/>
    <col min="10768" max="10768" width="11" style="825" customWidth="1"/>
    <col min="10769" max="10769" width="9.88671875" style="825" customWidth="1"/>
    <col min="10770" max="10770" width="11.109375" style="825" customWidth="1"/>
    <col min="10771" max="10771" width="9.44140625" style="825" customWidth="1"/>
    <col min="10772" max="10772" width="9.5546875" style="825" customWidth="1"/>
    <col min="10773" max="10773" width="10.77734375" style="825" customWidth="1"/>
    <col min="10774" max="10774" width="6.5546875" style="825" customWidth="1"/>
    <col min="10775" max="10775" width="7.5546875" style="825" customWidth="1"/>
    <col min="10776" max="10776" width="10.109375" style="825" customWidth="1"/>
    <col min="10777" max="10777" width="9.44140625" style="825" customWidth="1"/>
    <col min="10778" max="10778" width="11" style="825" customWidth="1"/>
    <col min="10779" max="10779" width="14" style="825" customWidth="1"/>
    <col min="10780" max="10780" width="9.88671875" style="825" customWidth="1"/>
    <col min="10781" max="10784" width="8.88671875" style="825"/>
    <col min="10785" max="10785" width="15" style="825" customWidth="1"/>
    <col min="10786" max="10786" width="6.44140625" style="825" customWidth="1"/>
    <col min="10787" max="10787" width="5.6640625" style="825" customWidth="1"/>
    <col min="10788" max="10788" width="9.109375" style="825" customWidth="1"/>
    <col min="10789" max="10791" width="8.88671875" style="825"/>
    <col min="10792" max="10792" width="11.6640625" style="825" customWidth="1"/>
    <col min="10793" max="11016" width="8.88671875" style="825"/>
    <col min="11017" max="11017" width="6.44140625" style="825" customWidth="1"/>
    <col min="11018" max="11018" width="43.33203125" style="825" customWidth="1"/>
    <col min="11019" max="11019" width="11.109375" style="825" customWidth="1"/>
    <col min="11020" max="11020" width="13.109375" style="825" customWidth="1"/>
    <col min="11021" max="11021" width="13.88671875" style="825" customWidth="1"/>
    <col min="11022" max="11022" width="12.44140625" style="825" customWidth="1"/>
    <col min="11023" max="11023" width="13" style="825" customWidth="1"/>
    <col min="11024" max="11024" width="11" style="825" customWidth="1"/>
    <col min="11025" max="11025" width="9.88671875" style="825" customWidth="1"/>
    <col min="11026" max="11026" width="11.109375" style="825" customWidth="1"/>
    <col min="11027" max="11027" width="9.44140625" style="825" customWidth="1"/>
    <col min="11028" max="11028" width="9.5546875" style="825" customWidth="1"/>
    <col min="11029" max="11029" width="10.77734375" style="825" customWidth="1"/>
    <col min="11030" max="11030" width="6.5546875" style="825" customWidth="1"/>
    <col min="11031" max="11031" width="7.5546875" style="825" customWidth="1"/>
    <col min="11032" max="11032" width="10.109375" style="825" customWidth="1"/>
    <col min="11033" max="11033" width="9.44140625" style="825" customWidth="1"/>
    <col min="11034" max="11034" width="11" style="825" customWidth="1"/>
    <col min="11035" max="11035" width="14" style="825" customWidth="1"/>
    <col min="11036" max="11036" width="9.88671875" style="825" customWidth="1"/>
    <col min="11037" max="11040" width="8.88671875" style="825"/>
    <col min="11041" max="11041" width="15" style="825" customWidth="1"/>
    <col min="11042" max="11042" width="6.44140625" style="825" customWidth="1"/>
    <col min="11043" max="11043" width="5.6640625" style="825" customWidth="1"/>
    <col min="11044" max="11044" width="9.109375" style="825" customWidth="1"/>
    <col min="11045" max="11047" width="8.88671875" style="825"/>
    <col min="11048" max="11048" width="11.6640625" style="825" customWidth="1"/>
    <col min="11049" max="11272" width="8.88671875" style="825"/>
    <col min="11273" max="11273" width="6.44140625" style="825" customWidth="1"/>
    <col min="11274" max="11274" width="43.33203125" style="825" customWidth="1"/>
    <col min="11275" max="11275" width="11.109375" style="825" customWidth="1"/>
    <col min="11276" max="11276" width="13.109375" style="825" customWidth="1"/>
    <col min="11277" max="11277" width="13.88671875" style="825" customWidth="1"/>
    <col min="11278" max="11278" width="12.44140625" style="825" customWidth="1"/>
    <col min="11279" max="11279" width="13" style="825" customWidth="1"/>
    <col min="11280" max="11280" width="11" style="825" customWidth="1"/>
    <col min="11281" max="11281" width="9.88671875" style="825" customWidth="1"/>
    <col min="11282" max="11282" width="11.109375" style="825" customWidth="1"/>
    <col min="11283" max="11283" width="9.44140625" style="825" customWidth="1"/>
    <col min="11284" max="11284" width="9.5546875" style="825" customWidth="1"/>
    <col min="11285" max="11285" width="10.77734375" style="825" customWidth="1"/>
    <col min="11286" max="11286" width="6.5546875" style="825" customWidth="1"/>
    <col min="11287" max="11287" width="7.5546875" style="825" customWidth="1"/>
    <col min="11288" max="11288" width="10.109375" style="825" customWidth="1"/>
    <col min="11289" max="11289" width="9.44140625" style="825" customWidth="1"/>
    <col min="11290" max="11290" width="11" style="825" customWidth="1"/>
    <col min="11291" max="11291" width="14" style="825" customWidth="1"/>
    <col min="11292" max="11292" width="9.88671875" style="825" customWidth="1"/>
    <col min="11293" max="11296" width="8.88671875" style="825"/>
    <col min="11297" max="11297" width="15" style="825" customWidth="1"/>
    <col min="11298" max="11298" width="6.44140625" style="825" customWidth="1"/>
    <col min="11299" max="11299" width="5.6640625" style="825" customWidth="1"/>
    <col min="11300" max="11300" width="9.109375" style="825" customWidth="1"/>
    <col min="11301" max="11303" width="8.88671875" style="825"/>
    <col min="11304" max="11304" width="11.6640625" style="825" customWidth="1"/>
    <col min="11305" max="11528" width="8.88671875" style="825"/>
    <col min="11529" max="11529" width="6.44140625" style="825" customWidth="1"/>
    <col min="11530" max="11530" width="43.33203125" style="825" customWidth="1"/>
    <col min="11531" max="11531" width="11.109375" style="825" customWidth="1"/>
    <col min="11532" max="11532" width="13.109375" style="825" customWidth="1"/>
    <col min="11533" max="11533" width="13.88671875" style="825" customWidth="1"/>
    <col min="11534" max="11534" width="12.44140625" style="825" customWidth="1"/>
    <col min="11535" max="11535" width="13" style="825" customWidth="1"/>
    <col min="11536" max="11536" width="11" style="825" customWidth="1"/>
    <col min="11537" max="11537" width="9.88671875" style="825" customWidth="1"/>
    <col min="11538" max="11538" width="11.109375" style="825" customWidth="1"/>
    <col min="11539" max="11539" width="9.44140625" style="825" customWidth="1"/>
    <col min="11540" max="11540" width="9.5546875" style="825" customWidth="1"/>
    <col min="11541" max="11541" width="10.77734375" style="825" customWidth="1"/>
    <col min="11542" max="11542" width="6.5546875" style="825" customWidth="1"/>
    <col min="11543" max="11543" width="7.5546875" style="825" customWidth="1"/>
    <col min="11544" max="11544" width="10.109375" style="825" customWidth="1"/>
    <col min="11545" max="11545" width="9.44140625" style="825" customWidth="1"/>
    <col min="11546" max="11546" width="11" style="825" customWidth="1"/>
    <col min="11547" max="11547" width="14" style="825" customWidth="1"/>
    <col min="11548" max="11548" width="9.88671875" style="825" customWidth="1"/>
    <col min="11549" max="11552" width="8.88671875" style="825"/>
    <col min="11553" max="11553" width="15" style="825" customWidth="1"/>
    <col min="11554" max="11554" width="6.44140625" style="825" customWidth="1"/>
    <col min="11555" max="11555" width="5.6640625" style="825" customWidth="1"/>
    <col min="11556" max="11556" width="9.109375" style="825" customWidth="1"/>
    <col min="11557" max="11559" width="8.88671875" style="825"/>
    <col min="11560" max="11560" width="11.6640625" style="825" customWidth="1"/>
    <col min="11561" max="11784" width="8.88671875" style="825"/>
    <col min="11785" max="11785" width="6.44140625" style="825" customWidth="1"/>
    <col min="11786" max="11786" width="43.33203125" style="825" customWidth="1"/>
    <col min="11787" max="11787" width="11.109375" style="825" customWidth="1"/>
    <col min="11788" max="11788" width="13.109375" style="825" customWidth="1"/>
    <col min="11789" max="11789" width="13.88671875" style="825" customWidth="1"/>
    <col min="11790" max="11790" width="12.44140625" style="825" customWidth="1"/>
    <col min="11791" max="11791" width="13" style="825" customWidth="1"/>
    <col min="11792" max="11792" width="11" style="825" customWidth="1"/>
    <col min="11793" max="11793" width="9.88671875" style="825" customWidth="1"/>
    <col min="11794" max="11794" width="11.109375" style="825" customWidth="1"/>
    <col min="11795" max="11795" width="9.44140625" style="825" customWidth="1"/>
    <col min="11796" max="11796" width="9.5546875" style="825" customWidth="1"/>
    <col min="11797" max="11797" width="10.77734375" style="825" customWidth="1"/>
    <col min="11798" max="11798" width="6.5546875" style="825" customWidth="1"/>
    <col min="11799" max="11799" width="7.5546875" style="825" customWidth="1"/>
    <col min="11800" max="11800" width="10.109375" style="825" customWidth="1"/>
    <col min="11801" max="11801" width="9.44140625" style="825" customWidth="1"/>
    <col min="11802" max="11802" width="11" style="825" customWidth="1"/>
    <col min="11803" max="11803" width="14" style="825" customWidth="1"/>
    <col min="11804" max="11804" width="9.88671875" style="825" customWidth="1"/>
    <col min="11805" max="11808" width="8.88671875" style="825"/>
    <col min="11809" max="11809" width="15" style="825" customWidth="1"/>
    <col min="11810" max="11810" width="6.44140625" style="825" customWidth="1"/>
    <col min="11811" max="11811" width="5.6640625" style="825" customWidth="1"/>
    <col min="11812" max="11812" width="9.109375" style="825" customWidth="1"/>
    <col min="11813" max="11815" width="8.88671875" style="825"/>
    <col min="11816" max="11816" width="11.6640625" style="825" customWidth="1"/>
    <col min="11817" max="12040" width="8.88671875" style="825"/>
    <col min="12041" max="12041" width="6.44140625" style="825" customWidth="1"/>
    <col min="12042" max="12042" width="43.33203125" style="825" customWidth="1"/>
    <col min="12043" max="12043" width="11.109375" style="825" customWidth="1"/>
    <col min="12044" max="12044" width="13.109375" style="825" customWidth="1"/>
    <col min="12045" max="12045" width="13.88671875" style="825" customWidth="1"/>
    <col min="12046" max="12046" width="12.44140625" style="825" customWidth="1"/>
    <col min="12047" max="12047" width="13" style="825" customWidth="1"/>
    <col min="12048" max="12048" width="11" style="825" customWidth="1"/>
    <col min="12049" max="12049" width="9.88671875" style="825" customWidth="1"/>
    <col min="12050" max="12050" width="11.109375" style="825" customWidth="1"/>
    <col min="12051" max="12051" width="9.44140625" style="825" customWidth="1"/>
    <col min="12052" max="12052" width="9.5546875" style="825" customWidth="1"/>
    <col min="12053" max="12053" width="10.77734375" style="825" customWidth="1"/>
    <col min="12054" max="12054" width="6.5546875" style="825" customWidth="1"/>
    <col min="12055" max="12055" width="7.5546875" style="825" customWidth="1"/>
    <col min="12056" max="12056" width="10.109375" style="825" customWidth="1"/>
    <col min="12057" max="12057" width="9.44140625" style="825" customWidth="1"/>
    <col min="12058" max="12058" width="11" style="825" customWidth="1"/>
    <col min="12059" max="12059" width="14" style="825" customWidth="1"/>
    <col min="12060" max="12060" width="9.88671875" style="825" customWidth="1"/>
    <col min="12061" max="12064" width="8.88671875" style="825"/>
    <col min="12065" max="12065" width="15" style="825" customWidth="1"/>
    <col min="12066" max="12066" width="6.44140625" style="825" customWidth="1"/>
    <col min="12067" max="12067" width="5.6640625" style="825" customWidth="1"/>
    <col min="12068" max="12068" width="9.109375" style="825" customWidth="1"/>
    <col min="12069" max="12071" width="8.88671875" style="825"/>
    <col min="12072" max="12072" width="11.6640625" style="825" customWidth="1"/>
    <col min="12073" max="12296" width="8.88671875" style="825"/>
    <col min="12297" max="12297" width="6.44140625" style="825" customWidth="1"/>
    <col min="12298" max="12298" width="43.33203125" style="825" customWidth="1"/>
    <col min="12299" max="12299" width="11.109375" style="825" customWidth="1"/>
    <col min="12300" max="12300" width="13.109375" style="825" customWidth="1"/>
    <col min="12301" max="12301" width="13.88671875" style="825" customWidth="1"/>
    <col min="12302" max="12302" width="12.44140625" style="825" customWidth="1"/>
    <col min="12303" max="12303" width="13" style="825" customWidth="1"/>
    <col min="12304" max="12304" width="11" style="825" customWidth="1"/>
    <col min="12305" max="12305" width="9.88671875" style="825" customWidth="1"/>
    <col min="12306" max="12306" width="11.109375" style="825" customWidth="1"/>
    <col min="12307" max="12307" width="9.44140625" style="825" customWidth="1"/>
    <col min="12308" max="12308" width="9.5546875" style="825" customWidth="1"/>
    <col min="12309" max="12309" width="10.77734375" style="825" customWidth="1"/>
    <col min="12310" max="12310" width="6.5546875" style="825" customWidth="1"/>
    <col min="12311" max="12311" width="7.5546875" style="825" customWidth="1"/>
    <col min="12312" max="12312" width="10.109375" style="825" customWidth="1"/>
    <col min="12313" max="12313" width="9.44140625" style="825" customWidth="1"/>
    <col min="12314" max="12314" width="11" style="825" customWidth="1"/>
    <col min="12315" max="12315" width="14" style="825" customWidth="1"/>
    <col min="12316" max="12316" width="9.88671875" style="825" customWidth="1"/>
    <col min="12317" max="12320" width="8.88671875" style="825"/>
    <col min="12321" max="12321" width="15" style="825" customWidth="1"/>
    <col min="12322" max="12322" width="6.44140625" style="825" customWidth="1"/>
    <col min="12323" max="12323" width="5.6640625" style="825" customWidth="1"/>
    <col min="12324" max="12324" width="9.109375" style="825" customWidth="1"/>
    <col min="12325" max="12327" width="8.88671875" style="825"/>
    <col min="12328" max="12328" width="11.6640625" style="825" customWidth="1"/>
    <col min="12329" max="12552" width="8.88671875" style="825"/>
    <col min="12553" max="12553" width="6.44140625" style="825" customWidth="1"/>
    <col min="12554" max="12554" width="43.33203125" style="825" customWidth="1"/>
    <col min="12555" max="12555" width="11.109375" style="825" customWidth="1"/>
    <col min="12556" max="12556" width="13.109375" style="825" customWidth="1"/>
    <col min="12557" max="12557" width="13.88671875" style="825" customWidth="1"/>
    <col min="12558" max="12558" width="12.44140625" style="825" customWidth="1"/>
    <col min="12559" max="12559" width="13" style="825" customWidth="1"/>
    <col min="12560" max="12560" width="11" style="825" customWidth="1"/>
    <col min="12561" max="12561" width="9.88671875" style="825" customWidth="1"/>
    <col min="12562" max="12562" width="11.109375" style="825" customWidth="1"/>
    <col min="12563" max="12563" width="9.44140625" style="825" customWidth="1"/>
    <col min="12564" max="12564" width="9.5546875" style="825" customWidth="1"/>
    <col min="12565" max="12565" width="10.77734375" style="825" customWidth="1"/>
    <col min="12566" max="12566" width="6.5546875" style="825" customWidth="1"/>
    <col min="12567" max="12567" width="7.5546875" style="825" customWidth="1"/>
    <col min="12568" max="12568" width="10.109375" style="825" customWidth="1"/>
    <col min="12569" max="12569" width="9.44140625" style="825" customWidth="1"/>
    <col min="12570" max="12570" width="11" style="825" customWidth="1"/>
    <col min="12571" max="12571" width="14" style="825" customWidth="1"/>
    <col min="12572" max="12572" width="9.88671875" style="825" customWidth="1"/>
    <col min="12573" max="12576" width="8.88671875" style="825"/>
    <col min="12577" max="12577" width="15" style="825" customWidth="1"/>
    <col min="12578" max="12578" width="6.44140625" style="825" customWidth="1"/>
    <col min="12579" max="12579" width="5.6640625" style="825" customWidth="1"/>
    <col min="12580" max="12580" width="9.109375" style="825" customWidth="1"/>
    <col min="12581" max="12583" width="8.88671875" style="825"/>
    <col min="12584" max="12584" width="11.6640625" style="825" customWidth="1"/>
    <col min="12585" max="12808" width="8.88671875" style="825"/>
    <col min="12809" max="12809" width="6.44140625" style="825" customWidth="1"/>
    <col min="12810" max="12810" width="43.33203125" style="825" customWidth="1"/>
    <col min="12811" max="12811" width="11.109375" style="825" customWidth="1"/>
    <col min="12812" max="12812" width="13.109375" style="825" customWidth="1"/>
    <col min="12813" max="12813" width="13.88671875" style="825" customWidth="1"/>
    <col min="12814" max="12814" width="12.44140625" style="825" customWidth="1"/>
    <col min="12815" max="12815" width="13" style="825" customWidth="1"/>
    <col min="12816" max="12816" width="11" style="825" customWidth="1"/>
    <col min="12817" max="12817" width="9.88671875" style="825" customWidth="1"/>
    <col min="12818" max="12818" width="11.109375" style="825" customWidth="1"/>
    <col min="12819" max="12819" width="9.44140625" style="825" customWidth="1"/>
    <col min="12820" max="12820" width="9.5546875" style="825" customWidth="1"/>
    <col min="12821" max="12821" width="10.77734375" style="825" customWidth="1"/>
    <col min="12822" max="12822" width="6.5546875" style="825" customWidth="1"/>
    <col min="12823" max="12823" width="7.5546875" style="825" customWidth="1"/>
    <col min="12824" max="12824" width="10.109375" style="825" customWidth="1"/>
    <col min="12825" max="12825" width="9.44140625" style="825" customWidth="1"/>
    <col min="12826" max="12826" width="11" style="825" customWidth="1"/>
    <col min="12827" max="12827" width="14" style="825" customWidth="1"/>
    <col min="12828" max="12828" width="9.88671875" style="825" customWidth="1"/>
    <col min="12829" max="12832" width="8.88671875" style="825"/>
    <col min="12833" max="12833" width="15" style="825" customWidth="1"/>
    <col min="12834" max="12834" width="6.44140625" style="825" customWidth="1"/>
    <col min="12835" max="12835" width="5.6640625" style="825" customWidth="1"/>
    <col min="12836" max="12836" width="9.109375" style="825" customWidth="1"/>
    <col min="12837" max="12839" width="8.88671875" style="825"/>
    <col min="12840" max="12840" width="11.6640625" style="825" customWidth="1"/>
    <col min="12841" max="13064" width="8.88671875" style="825"/>
    <col min="13065" max="13065" width="6.44140625" style="825" customWidth="1"/>
    <col min="13066" max="13066" width="43.33203125" style="825" customWidth="1"/>
    <col min="13067" max="13067" width="11.109375" style="825" customWidth="1"/>
    <col min="13068" max="13068" width="13.109375" style="825" customWidth="1"/>
    <col min="13069" max="13069" width="13.88671875" style="825" customWidth="1"/>
    <col min="13070" max="13070" width="12.44140625" style="825" customWidth="1"/>
    <col min="13071" max="13071" width="13" style="825" customWidth="1"/>
    <col min="13072" max="13072" width="11" style="825" customWidth="1"/>
    <col min="13073" max="13073" width="9.88671875" style="825" customWidth="1"/>
    <col min="13074" max="13074" width="11.109375" style="825" customWidth="1"/>
    <col min="13075" max="13075" width="9.44140625" style="825" customWidth="1"/>
    <col min="13076" max="13076" width="9.5546875" style="825" customWidth="1"/>
    <col min="13077" max="13077" width="10.77734375" style="825" customWidth="1"/>
    <col min="13078" max="13078" width="6.5546875" style="825" customWidth="1"/>
    <col min="13079" max="13079" width="7.5546875" style="825" customWidth="1"/>
    <col min="13080" max="13080" width="10.109375" style="825" customWidth="1"/>
    <col min="13081" max="13081" width="9.44140625" style="825" customWidth="1"/>
    <col min="13082" max="13082" width="11" style="825" customWidth="1"/>
    <col min="13083" max="13083" width="14" style="825" customWidth="1"/>
    <col min="13084" max="13084" width="9.88671875" style="825" customWidth="1"/>
    <col min="13085" max="13088" width="8.88671875" style="825"/>
    <col min="13089" max="13089" width="15" style="825" customWidth="1"/>
    <col min="13090" max="13090" width="6.44140625" style="825" customWidth="1"/>
    <col min="13091" max="13091" width="5.6640625" style="825" customWidth="1"/>
    <col min="13092" max="13092" width="9.109375" style="825" customWidth="1"/>
    <col min="13093" max="13095" width="8.88671875" style="825"/>
    <col min="13096" max="13096" width="11.6640625" style="825" customWidth="1"/>
    <col min="13097" max="13320" width="8.88671875" style="825"/>
    <col min="13321" max="13321" width="6.44140625" style="825" customWidth="1"/>
    <col min="13322" max="13322" width="43.33203125" style="825" customWidth="1"/>
    <col min="13323" max="13323" width="11.109375" style="825" customWidth="1"/>
    <col min="13324" max="13324" width="13.109375" style="825" customWidth="1"/>
    <col min="13325" max="13325" width="13.88671875" style="825" customWidth="1"/>
    <col min="13326" max="13326" width="12.44140625" style="825" customWidth="1"/>
    <col min="13327" max="13327" width="13" style="825" customWidth="1"/>
    <col min="13328" max="13328" width="11" style="825" customWidth="1"/>
    <col min="13329" max="13329" width="9.88671875" style="825" customWidth="1"/>
    <col min="13330" max="13330" width="11.109375" style="825" customWidth="1"/>
    <col min="13331" max="13331" width="9.44140625" style="825" customWidth="1"/>
    <col min="13332" max="13332" width="9.5546875" style="825" customWidth="1"/>
    <col min="13333" max="13333" width="10.77734375" style="825" customWidth="1"/>
    <col min="13334" max="13334" width="6.5546875" style="825" customWidth="1"/>
    <col min="13335" max="13335" width="7.5546875" style="825" customWidth="1"/>
    <col min="13336" max="13336" width="10.109375" style="825" customWidth="1"/>
    <col min="13337" max="13337" width="9.44140625" style="825" customWidth="1"/>
    <col min="13338" max="13338" width="11" style="825" customWidth="1"/>
    <col min="13339" max="13339" width="14" style="825" customWidth="1"/>
    <col min="13340" max="13340" width="9.88671875" style="825" customWidth="1"/>
    <col min="13341" max="13344" width="8.88671875" style="825"/>
    <col min="13345" max="13345" width="15" style="825" customWidth="1"/>
    <col min="13346" max="13346" width="6.44140625" style="825" customWidth="1"/>
    <col min="13347" max="13347" width="5.6640625" style="825" customWidth="1"/>
    <col min="13348" max="13348" width="9.109375" style="825" customWidth="1"/>
    <col min="13349" max="13351" width="8.88671875" style="825"/>
    <col min="13352" max="13352" width="11.6640625" style="825" customWidth="1"/>
    <col min="13353" max="13576" width="8.88671875" style="825"/>
    <col min="13577" max="13577" width="6.44140625" style="825" customWidth="1"/>
    <col min="13578" max="13578" width="43.33203125" style="825" customWidth="1"/>
    <col min="13579" max="13579" width="11.109375" style="825" customWidth="1"/>
    <col min="13580" max="13580" width="13.109375" style="825" customWidth="1"/>
    <col min="13581" max="13581" width="13.88671875" style="825" customWidth="1"/>
    <col min="13582" max="13582" width="12.44140625" style="825" customWidth="1"/>
    <col min="13583" max="13583" width="13" style="825" customWidth="1"/>
    <col min="13584" max="13584" width="11" style="825" customWidth="1"/>
    <col min="13585" max="13585" width="9.88671875" style="825" customWidth="1"/>
    <col min="13586" max="13586" width="11.109375" style="825" customWidth="1"/>
    <col min="13587" max="13587" width="9.44140625" style="825" customWidth="1"/>
    <col min="13588" max="13588" width="9.5546875" style="825" customWidth="1"/>
    <col min="13589" max="13589" width="10.77734375" style="825" customWidth="1"/>
    <col min="13590" max="13590" width="6.5546875" style="825" customWidth="1"/>
    <col min="13591" max="13591" width="7.5546875" style="825" customWidth="1"/>
    <col min="13592" max="13592" width="10.109375" style="825" customWidth="1"/>
    <col min="13593" max="13593" width="9.44140625" style="825" customWidth="1"/>
    <col min="13594" max="13594" width="11" style="825" customWidth="1"/>
    <col min="13595" max="13595" width="14" style="825" customWidth="1"/>
    <col min="13596" max="13596" width="9.88671875" style="825" customWidth="1"/>
    <col min="13597" max="13600" width="8.88671875" style="825"/>
    <col min="13601" max="13601" width="15" style="825" customWidth="1"/>
    <col min="13602" max="13602" width="6.44140625" style="825" customWidth="1"/>
    <col min="13603" max="13603" width="5.6640625" style="825" customWidth="1"/>
    <col min="13604" max="13604" width="9.109375" style="825" customWidth="1"/>
    <col min="13605" max="13607" width="8.88671875" style="825"/>
    <col min="13608" max="13608" width="11.6640625" style="825" customWidth="1"/>
    <col min="13609" max="13832" width="8.88671875" style="825"/>
    <col min="13833" max="13833" width="6.44140625" style="825" customWidth="1"/>
    <col min="13834" max="13834" width="43.33203125" style="825" customWidth="1"/>
    <col min="13835" max="13835" width="11.109375" style="825" customWidth="1"/>
    <col min="13836" max="13836" width="13.109375" style="825" customWidth="1"/>
    <col min="13837" max="13837" width="13.88671875" style="825" customWidth="1"/>
    <col min="13838" max="13838" width="12.44140625" style="825" customWidth="1"/>
    <col min="13839" max="13839" width="13" style="825" customWidth="1"/>
    <col min="13840" max="13840" width="11" style="825" customWidth="1"/>
    <col min="13841" max="13841" width="9.88671875" style="825" customWidth="1"/>
    <col min="13842" max="13842" width="11.109375" style="825" customWidth="1"/>
    <col min="13843" max="13843" width="9.44140625" style="825" customWidth="1"/>
    <col min="13844" max="13844" width="9.5546875" style="825" customWidth="1"/>
    <col min="13845" max="13845" width="10.77734375" style="825" customWidth="1"/>
    <col min="13846" max="13846" width="6.5546875" style="825" customWidth="1"/>
    <col min="13847" max="13847" width="7.5546875" style="825" customWidth="1"/>
    <col min="13848" max="13848" width="10.109375" style="825" customWidth="1"/>
    <col min="13849" max="13849" width="9.44140625" style="825" customWidth="1"/>
    <col min="13850" max="13850" width="11" style="825" customWidth="1"/>
    <col min="13851" max="13851" width="14" style="825" customWidth="1"/>
    <col min="13852" max="13852" width="9.88671875" style="825" customWidth="1"/>
    <col min="13853" max="13856" width="8.88671875" style="825"/>
    <col min="13857" max="13857" width="15" style="825" customWidth="1"/>
    <col min="13858" max="13858" width="6.44140625" style="825" customWidth="1"/>
    <col min="13859" max="13859" width="5.6640625" style="825" customWidth="1"/>
    <col min="13860" max="13860" width="9.109375" style="825" customWidth="1"/>
    <col min="13861" max="13863" width="8.88671875" style="825"/>
    <col min="13864" max="13864" width="11.6640625" style="825" customWidth="1"/>
    <col min="13865" max="14088" width="8.88671875" style="825"/>
    <col min="14089" max="14089" width="6.44140625" style="825" customWidth="1"/>
    <col min="14090" max="14090" width="43.33203125" style="825" customWidth="1"/>
    <col min="14091" max="14091" width="11.109375" style="825" customWidth="1"/>
    <col min="14092" max="14092" width="13.109375" style="825" customWidth="1"/>
    <col min="14093" max="14093" width="13.88671875" style="825" customWidth="1"/>
    <col min="14094" max="14094" width="12.44140625" style="825" customWidth="1"/>
    <col min="14095" max="14095" width="13" style="825" customWidth="1"/>
    <col min="14096" max="14096" width="11" style="825" customWidth="1"/>
    <col min="14097" max="14097" width="9.88671875" style="825" customWidth="1"/>
    <col min="14098" max="14098" width="11.109375" style="825" customWidth="1"/>
    <col min="14099" max="14099" width="9.44140625" style="825" customWidth="1"/>
    <col min="14100" max="14100" width="9.5546875" style="825" customWidth="1"/>
    <col min="14101" max="14101" width="10.77734375" style="825" customWidth="1"/>
    <col min="14102" max="14102" width="6.5546875" style="825" customWidth="1"/>
    <col min="14103" max="14103" width="7.5546875" style="825" customWidth="1"/>
    <col min="14104" max="14104" width="10.109375" style="825" customWidth="1"/>
    <col min="14105" max="14105" width="9.44140625" style="825" customWidth="1"/>
    <col min="14106" max="14106" width="11" style="825" customWidth="1"/>
    <col min="14107" max="14107" width="14" style="825" customWidth="1"/>
    <col min="14108" max="14108" width="9.88671875" style="825" customWidth="1"/>
    <col min="14109" max="14112" width="8.88671875" style="825"/>
    <col min="14113" max="14113" width="15" style="825" customWidth="1"/>
    <col min="14114" max="14114" width="6.44140625" style="825" customWidth="1"/>
    <col min="14115" max="14115" width="5.6640625" style="825" customWidth="1"/>
    <col min="14116" max="14116" width="9.109375" style="825" customWidth="1"/>
    <col min="14117" max="14119" width="8.88671875" style="825"/>
    <col min="14120" max="14120" width="11.6640625" style="825" customWidth="1"/>
    <col min="14121" max="14344" width="8.88671875" style="825"/>
    <col min="14345" max="14345" width="6.44140625" style="825" customWidth="1"/>
    <col min="14346" max="14346" width="43.33203125" style="825" customWidth="1"/>
    <col min="14347" max="14347" width="11.109375" style="825" customWidth="1"/>
    <col min="14348" max="14348" width="13.109375" style="825" customWidth="1"/>
    <col min="14349" max="14349" width="13.88671875" style="825" customWidth="1"/>
    <col min="14350" max="14350" width="12.44140625" style="825" customWidth="1"/>
    <col min="14351" max="14351" width="13" style="825" customWidth="1"/>
    <col min="14352" max="14352" width="11" style="825" customWidth="1"/>
    <col min="14353" max="14353" width="9.88671875" style="825" customWidth="1"/>
    <col min="14354" max="14354" width="11.109375" style="825" customWidth="1"/>
    <col min="14355" max="14355" width="9.44140625" style="825" customWidth="1"/>
    <col min="14356" max="14356" width="9.5546875" style="825" customWidth="1"/>
    <col min="14357" max="14357" width="10.77734375" style="825" customWidth="1"/>
    <col min="14358" max="14358" width="6.5546875" style="825" customWidth="1"/>
    <col min="14359" max="14359" width="7.5546875" style="825" customWidth="1"/>
    <col min="14360" max="14360" width="10.109375" style="825" customWidth="1"/>
    <col min="14361" max="14361" width="9.44140625" style="825" customWidth="1"/>
    <col min="14362" max="14362" width="11" style="825" customWidth="1"/>
    <col min="14363" max="14363" width="14" style="825" customWidth="1"/>
    <col min="14364" max="14364" width="9.88671875" style="825" customWidth="1"/>
    <col min="14365" max="14368" width="8.88671875" style="825"/>
    <col min="14369" max="14369" width="15" style="825" customWidth="1"/>
    <col min="14370" max="14370" width="6.44140625" style="825" customWidth="1"/>
    <col min="14371" max="14371" width="5.6640625" style="825" customWidth="1"/>
    <col min="14372" max="14372" width="9.109375" style="825" customWidth="1"/>
    <col min="14373" max="14375" width="8.88671875" style="825"/>
    <col min="14376" max="14376" width="11.6640625" style="825" customWidth="1"/>
    <col min="14377" max="14600" width="8.88671875" style="825"/>
    <col min="14601" max="14601" width="6.44140625" style="825" customWidth="1"/>
    <col min="14602" max="14602" width="43.33203125" style="825" customWidth="1"/>
    <col min="14603" max="14603" width="11.109375" style="825" customWidth="1"/>
    <col min="14604" max="14604" width="13.109375" style="825" customWidth="1"/>
    <col min="14605" max="14605" width="13.88671875" style="825" customWidth="1"/>
    <col min="14606" max="14606" width="12.44140625" style="825" customWidth="1"/>
    <col min="14607" max="14607" width="13" style="825" customWidth="1"/>
    <col min="14608" max="14608" width="11" style="825" customWidth="1"/>
    <col min="14609" max="14609" width="9.88671875" style="825" customWidth="1"/>
    <col min="14610" max="14610" width="11.109375" style="825" customWidth="1"/>
    <col min="14611" max="14611" width="9.44140625" style="825" customWidth="1"/>
    <col min="14612" max="14612" width="9.5546875" style="825" customWidth="1"/>
    <col min="14613" max="14613" width="10.77734375" style="825" customWidth="1"/>
    <col min="14614" max="14614" width="6.5546875" style="825" customWidth="1"/>
    <col min="14615" max="14615" width="7.5546875" style="825" customWidth="1"/>
    <col min="14616" max="14616" width="10.109375" style="825" customWidth="1"/>
    <col min="14617" max="14617" width="9.44140625" style="825" customWidth="1"/>
    <col min="14618" max="14618" width="11" style="825" customWidth="1"/>
    <col min="14619" max="14619" width="14" style="825" customWidth="1"/>
    <col min="14620" max="14620" width="9.88671875" style="825" customWidth="1"/>
    <col min="14621" max="14624" width="8.88671875" style="825"/>
    <col min="14625" max="14625" width="15" style="825" customWidth="1"/>
    <col min="14626" max="14626" width="6.44140625" style="825" customWidth="1"/>
    <col min="14627" max="14627" width="5.6640625" style="825" customWidth="1"/>
    <col min="14628" max="14628" width="9.109375" style="825" customWidth="1"/>
    <col min="14629" max="14631" width="8.88671875" style="825"/>
    <col min="14632" max="14632" width="11.6640625" style="825" customWidth="1"/>
    <col min="14633" max="14856" width="8.88671875" style="825"/>
    <col min="14857" max="14857" width="6.44140625" style="825" customWidth="1"/>
    <col min="14858" max="14858" width="43.33203125" style="825" customWidth="1"/>
    <col min="14859" max="14859" width="11.109375" style="825" customWidth="1"/>
    <col min="14860" max="14860" width="13.109375" style="825" customWidth="1"/>
    <col min="14861" max="14861" width="13.88671875" style="825" customWidth="1"/>
    <col min="14862" max="14862" width="12.44140625" style="825" customWidth="1"/>
    <col min="14863" max="14863" width="13" style="825" customWidth="1"/>
    <col min="14864" max="14864" width="11" style="825" customWidth="1"/>
    <col min="14865" max="14865" width="9.88671875" style="825" customWidth="1"/>
    <col min="14866" max="14866" width="11.109375" style="825" customWidth="1"/>
    <col min="14867" max="14867" width="9.44140625" style="825" customWidth="1"/>
    <col min="14868" max="14868" width="9.5546875" style="825" customWidth="1"/>
    <col min="14869" max="14869" width="10.77734375" style="825" customWidth="1"/>
    <col min="14870" max="14870" width="6.5546875" style="825" customWidth="1"/>
    <col min="14871" max="14871" width="7.5546875" style="825" customWidth="1"/>
    <col min="14872" max="14872" width="10.109375" style="825" customWidth="1"/>
    <col min="14873" max="14873" width="9.44140625" style="825" customWidth="1"/>
    <col min="14874" max="14874" width="11" style="825" customWidth="1"/>
    <col min="14875" max="14875" width="14" style="825" customWidth="1"/>
    <col min="14876" max="14876" width="9.88671875" style="825" customWidth="1"/>
    <col min="14877" max="14880" width="8.88671875" style="825"/>
    <col min="14881" max="14881" width="15" style="825" customWidth="1"/>
    <col min="14882" max="14882" width="6.44140625" style="825" customWidth="1"/>
    <col min="14883" max="14883" width="5.6640625" style="825" customWidth="1"/>
    <col min="14884" max="14884" width="9.109375" style="825" customWidth="1"/>
    <col min="14885" max="14887" width="8.88671875" style="825"/>
    <col min="14888" max="14888" width="11.6640625" style="825" customWidth="1"/>
    <col min="14889" max="15112" width="8.88671875" style="825"/>
    <col min="15113" max="15113" width="6.44140625" style="825" customWidth="1"/>
    <col min="15114" max="15114" width="43.33203125" style="825" customWidth="1"/>
    <col min="15115" max="15115" width="11.109375" style="825" customWidth="1"/>
    <col min="15116" max="15116" width="13.109375" style="825" customWidth="1"/>
    <col min="15117" max="15117" width="13.88671875" style="825" customWidth="1"/>
    <col min="15118" max="15118" width="12.44140625" style="825" customWidth="1"/>
    <col min="15119" max="15119" width="13" style="825" customWidth="1"/>
    <col min="15120" max="15120" width="11" style="825" customWidth="1"/>
    <col min="15121" max="15121" width="9.88671875" style="825" customWidth="1"/>
    <col min="15122" max="15122" width="11.109375" style="825" customWidth="1"/>
    <col min="15123" max="15123" width="9.44140625" style="825" customWidth="1"/>
    <col min="15124" max="15124" width="9.5546875" style="825" customWidth="1"/>
    <col min="15125" max="15125" width="10.77734375" style="825" customWidth="1"/>
    <col min="15126" max="15126" width="6.5546875" style="825" customWidth="1"/>
    <col min="15127" max="15127" width="7.5546875" style="825" customWidth="1"/>
    <col min="15128" max="15128" width="10.109375" style="825" customWidth="1"/>
    <col min="15129" max="15129" width="9.44140625" style="825" customWidth="1"/>
    <col min="15130" max="15130" width="11" style="825" customWidth="1"/>
    <col min="15131" max="15131" width="14" style="825" customWidth="1"/>
    <col min="15132" max="15132" width="9.88671875" style="825" customWidth="1"/>
    <col min="15133" max="15136" width="8.88671875" style="825"/>
    <col min="15137" max="15137" width="15" style="825" customWidth="1"/>
    <col min="15138" max="15138" width="6.44140625" style="825" customWidth="1"/>
    <col min="15139" max="15139" width="5.6640625" style="825" customWidth="1"/>
    <col min="15140" max="15140" width="9.109375" style="825" customWidth="1"/>
    <col min="15141" max="15143" width="8.88671875" style="825"/>
    <col min="15144" max="15144" width="11.6640625" style="825" customWidth="1"/>
    <col min="15145" max="15368" width="8.88671875" style="825"/>
    <col min="15369" max="15369" width="6.44140625" style="825" customWidth="1"/>
    <col min="15370" max="15370" width="43.33203125" style="825" customWidth="1"/>
    <col min="15371" max="15371" width="11.109375" style="825" customWidth="1"/>
    <col min="15372" max="15372" width="13.109375" style="825" customWidth="1"/>
    <col min="15373" max="15373" width="13.88671875" style="825" customWidth="1"/>
    <col min="15374" max="15374" width="12.44140625" style="825" customWidth="1"/>
    <col min="15375" max="15375" width="13" style="825" customWidth="1"/>
    <col min="15376" max="15376" width="11" style="825" customWidth="1"/>
    <col min="15377" max="15377" width="9.88671875" style="825" customWidth="1"/>
    <col min="15378" max="15378" width="11.109375" style="825" customWidth="1"/>
    <col min="15379" max="15379" width="9.44140625" style="825" customWidth="1"/>
    <col min="15380" max="15380" width="9.5546875" style="825" customWidth="1"/>
    <col min="15381" max="15381" width="10.77734375" style="825" customWidth="1"/>
    <col min="15382" max="15382" width="6.5546875" style="825" customWidth="1"/>
    <col min="15383" max="15383" width="7.5546875" style="825" customWidth="1"/>
    <col min="15384" max="15384" width="10.109375" style="825" customWidth="1"/>
    <col min="15385" max="15385" width="9.44140625" style="825" customWidth="1"/>
    <col min="15386" max="15386" width="11" style="825" customWidth="1"/>
    <col min="15387" max="15387" width="14" style="825" customWidth="1"/>
    <col min="15388" max="15388" width="9.88671875" style="825" customWidth="1"/>
    <col min="15389" max="15392" width="8.88671875" style="825"/>
    <col min="15393" max="15393" width="15" style="825" customWidth="1"/>
    <col min="15394" max="15394" width="6.44140625" style="825" customWidth="1"/>
    <col min="15395" max="15395" width="5.6640625" style="825" customWidth="1"/>
    <col min="15396" max="15396" width="9.109375" style="825" customWidth="1"/>
    <col min="15397" max="15399" width="8.88671875" style="825"/>
    <col min="15400" max="15400" width="11.6640625" style="825" customWidth="1"/>
    <col min="15401" max="15624" width="8.88671875" style="825"/>
    <col min="15625" max="15625" width="6.44140625" style="825" customWidth="1"/>
    <col min="15626" max="15626" width="43.33203125" style="825" customWidth="1"/>
    <col min="15627" max="15627" width="11.109375" style="825" customWidth="1"/>
    <col min="15628" max="15628" width="13.109375" style="825" customWidth="1"/>
    <col min="15629" max="15629" width="13.88671875" style="825" customWidth="1"/>
    <col min="15630" max="15630" width="12.44140625" style="825" customWidth="1"/>
    <col min="15631" max="15631" width="13" style="825" customWidth="1"/>
    <col min="15632" max="15632" width="11" style="825" customWidth="1"/>
    <col min="15633" max="15633" width="9.88671875" style="825" customWidth="1"/>
    <col min="15634" max="15634" width="11.109375" style="825" customWidth="1"/>
    <col min="15635" max="15635" width="9.44140625" style="825" customWidth="1"/>
    <col min="15636" max="15636" width="9.5546875" style="825" customWidth="1"/>
    <col min="15637" max="15637" width="10.77734375" style="825" customWidth="1"/>
    <col min="15638" max="15638" width="6.5546875" style="825" customWidth="1"/>
    <col min="15639" max="15639" width="7.5546875" style="825" customWidth="1"/>
    <col min="15640" max="15640" width="10.109375" style="825" customWidth="1"/>
    <col min="15641" max="15641" width="9.44140625" style="825" customWidth="1"/>
    <col min="15642" max="15642" width="11" style="825" customWidth="1"/>
    <col min="15643" max="15643" width="14" style="825" customWidth="1"/>
    <col min="15644" max="15644" width="9.88671875" style="825" customWidth="1"/>
    <col min="15645" max="15648" width="8.88671875" style="825"/>
    <col min="15649" max="15649" width="15" style="825" customWidth="1"/>
    <col min="15650" max="15650" width="6.44140625" style="825" customWidth="1"/>
    <col min="15651" max="15651" width="5.6640625" style="825" customWidth="1"/>
    <col min="15652" max="15652" width="9.109375" style="825" customWidth="1"/>
    <col min="15653" max="15655" width="8.88671875" style="825"/>
    <col min="15656" max="15656" width="11.6640625" style="825" customWidth="1"/>
    <col min="15657" max="15880" width="8.88671875" style="825"/>
    <col min="15881" max="15881" width="6.44140625" style="825" customWidth="1"/>
    <col min="15882" max="15882" width="43.33203125" style="825" customWidth="1"/>
    <col min="15883" max="15883" width="11.109375" style="825" customWidth="1"/>
    <col min="15884" max="15884" width="13.109375" style="825" customWidth="1"/>
    <col min="15885" max="15885" width="13.88671875" style="825" customWidth="1"/>
    <col min="15886" max="15886" width="12.44140625" style="825" customWidth="1"/>
    <col min="15887" max="15887" width="13" style="825" customWidth="1"/>
    <col min="15888" max="15888" width="11" style="825" customWidth="1"/>
    <col min="15889" max="15889" width="9.88671875" style="825" customWidth="1"/>
    <col min="15890" max="15890" width="11.109375" style="825" customWidth="1"/>
    <col min="15891" max="15891" width="9.44140625" style="825" customWidth="1"/>
    <col min="15892" max="15892" width="9.5546875" style="825" customWidth="1"/>
    <col min="15893" max="15893" width="10.77734375" style="825" customWidth="1"/>
    <col min="15894" max="15894" width="6.5546875" style="825" customWidth="1"/>
    <col min="15895" max="15895" width="7.5546875" style="825" customWidth="1"/>
    <col min="15896" max="15896" width="10.109375" style="825" customWidth="1"/>
    <col min="15897" max="15897" width="9.44140625" style="825" customWidth="1"/>
    <col min="15898" max="15898" width="11" style="825" customWidth="1"/>
    <col min="15899" max="15899" width="14" style="825" customWidth="1"/>
    <col min="15900" max="15900" width="9.88671875" style="825" customWidth="1"/>
    <col min="15901" max="15904" width="8.88671875" style="825"/>
    <col min="15905" max="15905" width="15" style="825" customWidth="1"/>
    <col min="15906" max="15906" width="6.44140625" style="825" customWidth="1"/>
    <col min="15907" max="15907" width="5.6640625" style="825" customWidth="1"/>
    <col min="15908" max="15908" width="9.109375" style="825" customWidth="1"/>
    <col min="15909" max="15911" width="8.88671875" style="825"/>
    <col min="15912" max="15912" width="11.6640625" style="825" customWidth="1"/>
    <col min="15913" max="16136" width="8.88671875" style="825"/>
    <col min="16137" max="16137" width="6.44140625" style="825" customWidth="1"/>
    <col min="16138" max="16138" width="43.33203125" style="825" customWidth="1"/>
    <col min="16139" max="16139" width="11.109375" style="825" customWidth="1"/>
    <col min="16140" max="16140" width="13.109375" style="825" customWidth="1"/>
    <col min="16141" max="16141" width="13.88671875" style="825" customWidth="1"/>
    <col min="16142" max="16142" width="12.44140625" style="825" customWidth="1"/>
    <col min="16143" max="16143" width="13" style="825" customWidth="1"/>
    <col min="16144" max="16144" width="11" style="825" customWidth="1"/>
    <col min="16145" max="16145" width="9.88671875" style="825" customWidth="1"/>
    <col min="16146" max="16146" width="11.109375" style="825" customWidth="1"/>
    <col min="16147" max="16147" width="9.44140625" style="825" customWidth="1"/>
    <col min="16148" max="16148" width="9.5546875" style="825" customWidth="1"/>
    <col min="16149" max="16149" width="10.77734375" style="825" customWidth="1"/>
    <col min="16150" max="16150" width="6.5546875" style="825" customWidth="1"/>
    <col min="16151" max="16151" width="7.5546875" style="825" customWidth="1"/>
    <col min="16152" max="16152" width="10.109375" style="825" customWidth="1"/>
    <col min="16153" max="16153" width="9.44140625" style="825" customWidth="1"/>
    <col min="16154" max="16154" width="11" style="825" customWidth="1"/>
    <col min="16155" max="16155" width="14" style="825" customWidth="1"/>
    <col min="16156" max="16156" width="9.88671875" style="825" customWidth="1"/>
    <col min="16157" max="16160" width="8.88671875" style="825"/>
    <col min="16161" max="16161" width="15" style="825" customWidth="1"/>
    <col min="16162" max="16162" width="6.44140625" style="825" customWidth="1"/>
    <col min="16163" max="16163" width="5.6640625" style="825" customWidth="1"/>
    <col min="16164" max="16164" width="9.109375" style="825" customWidth="1"/>
    <col min="16165" max="16167" width="8.88671875" style="825"/>
    <col min="16168" max="16168" width="11.6640625" style="825" customWidth="1"/>
    <col min="16169" max="16384" width="8.88671875" style="825"/>
  </cols>
  <sheetData>
    <row r="1" spans="1:44" ht="15.75" x14ac:dyDescent="0.25">
      <c r="S1" s="185" t="s">
        <v>37</v>
      </c>
    </row>
    <row r="2" spans="1:44" ht="15.75" x14ac:dyDescent="0.25">
      <c r="A2" s="184"/>
      <c r="B2" s="184"/>
      <c r="C2" s="184"/>
      <c r="D2" s="184"/>
      <c r="E2" s="185"/>
      <c r="F2" s="185"/>
      <c r="G2" s="185"/>
      <c r="H2" s="185"/>
      <c r="I2" s="185"/>
      <c r="J2" s="185"/>
      <c r="K2" s="185"/>
      <c r="L2" s="185"/>
      <c r="M2" s="185"/>
      <c r="N2" s="185"/>
      <c r="O2" s="185"/>
      <c r="P2" s="185"/>
      <c r="Q2" s="185"/>
      <c r="R2" s="184"/>
      <c r="S2" s="185" t="s">
        <v>249</v>
      </c>
      <c r="T2" s="184"/>
      <c r="U2" s="184"/>
      <c r="V2" s="184"/>
      <c r="W2" s="184"/>
      <c r="X2" s="184"/>
      <c r="Y2" s="184"/>
    </row>
    <row r="3" spans="1:44" ht="15.75" x14ac:dyDescent="0.25">
      <c r="A3" s="184"/>
      <c r="B3" s="184"/>
      <c r="D3" s="184"/>
      <c r="E3" s="930"/>
      <c r="F3" s="930"/>
      <c r="G3" s="930"/>
      <c r="H3" s="930"/>
      <c r="I3" s="930"/>
      <c r="J3" s="930"/>
      <c r="K3" s="930"/>
      <c r="L3" s="930"/>
      <c r="M3" s="930"/>
      <c r="N3" s="930"/>
      <c r="O3" s="930"/>
      <c r="P3" s="930"/>
      <c r="Q3" s="930"/>
      <c r="R3" s="184"/>
      <c r="S3" s="930" t="s">
        <v>844</v>
      </c>
      <c r="T3" s="184"/>
      <c r="U3" s="184"/>
      <c r="V3" s="184"/>
      <c r="W3" s="184"/>
      <c r="X3" s="184"/>
      <c r="Y3" s="184"/>
    </row>
    <row r="4" spans="1:44" ht="15.75" x14ac:dyDescent="0.25">
      <c r="A4" s="184"/>
      <c r="B4" s="184"/>
      <c r="D4" s="184"/>
      <c r="E4" s="189"/>
      <c r="F4" s="189"/>
      <c r="G4" s="189"/>
      <c r="H4" s="189"/>
      <c r="I4" s="189"/>
      <c r="J4" s="189"/>
      <c r="K4" s="189"/>
      <c r="L4" s="189"/>
      <c r="M4" s="189"/>
      <c r="N4" s="189"/>
      <c r="O4" s="189"/>
      <c r="P4" s="189"/>
      <c r="Q4" s="189"/>
      <c r="R4" s="184"/>
      <c r="S4" s="189" t="s">
        <v>845</v>
      </c>
      <c r="T4" s="184"/>
      <c r="U4" s="184"/>
      <c r="V4" s="184"/>
      <c r="W4" s="184"/>
      <c r="X4" s="184"/>
      <c r="Y4" s="184"/>
    </row>
    <row r="5" spans="1:44" ht="15.75" hidden="1" x14ac:dyDescent="0.25">
      <c r="A5" s="184"/>
      <c r="B5" s="184"/>
      <c r="C5" s="184"/>
      <c r="D5" s="184"/>
      <c r="E5" s="184"/>
      <c r="F5" s="184"/>
      <c r="G5" s="184"/>
      <c r="H5" s="184"/>
      <c r="I5" s="184"/>
      <c r="J5" s="184"/>
      <c r="K5" s="184"/>
      <c r="L5" s="184"/>
      <c r="M5" s="184"/>
      <c r="N5" s="184"/>
      <c r="O5" s="184"/>
      <c r="P5" s="184"/>
      <c r="Q5" s="184"/>
      <c r="R5" s="184"/>
      <c r="S5" s="184"/>
      <c r="T5" s="184"/>
      <c r="U5" s="184"/>
      <c r="V5" s="184"/>
      <c r="W5" s="184"/>
      <c r="X5" s="67"/>
      <c r="Y5" s="184"/>
    </row>
    <row r="6" spans="1:44" ht="18" x14ac:dyDescent="0.25">
      <c r="A6" s="1117" t="s">
        <v>252</v>
      </c>
      <c r="B6" s="1117"/>
      <c r="C6" s="1117"/>
      <c r="D6" s="1117"/>
      <c r="E6" s="1117"/>
      <c r="F6" s="1117"/>
      <c r="G6" s="1117"/>
      <c r="H6" s="1117"/>
      <c r="I6" s="1117"/>
      <c r="J6" s="1117"/>
      <c r="K6" s="1117"/>
      <c r="L6" s="1117"/>
      <c r="M6" s="1117"/>
      <c r="N6" s="1117"/>
      <c r="O6" s="1117"/>
      <c r="P6" s="1117"/>
      <c r="Q6" s="1117"/>
      <c r="R6" s="1117"/>
      <c r="S6" s="1117"/>
      <c r="T6" s="184"/>
      <c r="U6" s="184"/>
      <c r="V6" s="184"/>
      <c r="W6" s="184"/>
      <c r="X6" s="36"/>
      <c r="Y6" s="184"/>
    </row>
    <row r="7" spans="1:44" ht="18" x14ac:dyDescent="0.25">
      <c r="A7" s="1117" t="s">
        <v>670</v>
      </c>
      <c r="B7" s="1117"/>
      <c r="C7" s="1117"/>
      <c r="D7" s="1117"/>
      <c r="E7" s="1117"/>
      <c r="F7" s="1117"/>
      <c r="G7" s="1117"/>
      <c r="H7" s="1117"/>
      <c r="I7" s="1117"/>
      <c r="J7" s="1117"/>
      <c r="K7" s="1117"/>
      <c r="L7" s="1117"/>
      <c r="M7" s="1117"/>
      <c r="N7" s="1117"/>
      <c r="O7" s="1117"/>
      <c r="P7" s="1117"/>
      <c r="Q7" s="1117"/>
      <c r="R7" s="1117"/>
      <c r="S7" s="1117"/>
      <c r="T7" s="184"/>
      <c r="U7" s="184"/>
      <c r="V7" s="184"/>
      <c r="W7" s="184"/>
      <c r="X7" s="184"/>
      <c r="Y7" s="184"/>
    </row>
    <row r="8" spans="1:44" ht="18" customHeight="1" x14ac:dyDescent="0.25">
      <c r="A8" s="1157" t="s">
        <v>839</v>
      </c>
      <c r="B8" s="1157"/>
      <c r="C8" s="1157"/>
      <c r="D8" s="1157"/>
      <c r="E8" s="1157"/>
      <c r="F8" s="1157"/>
      <c r="G8" s="1157"/>
      <c r="H8" s="1157"/>
      <c r="I8" s="1157"/>
      <c r="J8" s="1157"/>
      <c r="K8" s="1157"/>
      <c r="L8" s="1157"/>
      <c r="M8" s="1157"/>
      <c r="N8" s="1157"/>
      <c r="O8" s="1157"/>
      <c r="P8" s="1157"/>
      <c r="Q8" s="1157"/>
      <c r="R8" s="1157"/>
      <c r="S8" s="1157"/>
      <c r="T8" s="184"/>
      <c r="U8" s="184"/>
      <c r="V8" s="184"/>
      <c r="W8" s="184"/>
      <c r="X8" s="184"/>
      <c r="Y8" s="184"/>
    </row>
    <row r="9" spans="1:44" ht="15.75" x14ac:dyDescent="0.25">
      <c r="A9" s="1120" t="s">
        <v>814</v>
      </c>
      <c r="B9" s="1120"/>
      <c r="C9" s="1120"/>
      <c r="D9" s="1120"/>
      <c r="E9" s="1120"/>
      <c r="F9" s="1120"/>
      <c r="G9" s="1120"/>
      <c r="H9" s="1120"/>
      <c r="I9" s="1120"/>
      <c r="J9" s="1120"/>
      <c r="K9" s="1120"/>
      <c r="L9" s="1120"/>
      <c r="M9" s="1120"/>
      <c r="N9" s="1120"/>
      <c r="O9" s="1120"/>
      <c r="P9" s="1120"/>
      <c r="Q9" s="1120"/>
      <c r="R9" s="1120"/>
      <c r="S9" s="1120"/>
      <c r="T9" s="184"/>
      <c r="U9" s="184"/>
      <c r="V9" s="184"/>
      <c r="W9" s="184"/>
      <c r="X9" s="184"/>
      <c r="Y9" s="184"/>
    </row>
    <row r="10" spans="1:44" ht="15.75" x14ac:dyDescent="0.25">
      <c r="A10" s="1120" t="s">
        <v>815</v>
      </c>
      <c r="B10" s="1120"/>
      <c r="C10" s="1120"/>
      <c r="D10" s="1120"/>
      <c r="E10" s="1120"/>
      <c r="F10" s="1120"/>
      <c r="G10" s="1120"/>
      <c r="H10" s="1120"/>
      <c r="I10" s="1120"/>
      <c r="J10" s="1120"/>
      <c r="K10" s="1120"/>
      <c r="L10" s="1120"/>
      <c r="M10" s="1120"/>
      <c r="N10" s="1120"/>
      <c r="O10" s="1120"/>
      <c r="P10" s="1120"/>
      <c r="Q10" s="1120"/>
      <c r="R10" s="1120"/>
      <c r="S10" s="1120"/>
      <c r="T10" s="184"/>
      <c r="U10" s="184"/>
      <c r="V10" s="184"/>
      <c r="W10" s="184"/>
      <c r="X10" s="184"/>
      <c r="Y10" s="184"/>
    </row>
    <row r="11" spans="1:44" ht="9.75" customHeight="1" x14ac:dyDescent="0.25">
      <c r="A11" s="194"/>
      <c r="B11" s="194"/>
      <c r="C11" s="194"/>
      <c r="D11" s="194"/>
      <c r="E11" s="194"/>
      <c r="F11" s="194"/>
      <c r="G11" s="194"/>
      <c r="H11" s="194"/>
      <c r="I11" s="194"/>
      <c r="J11" s="194"/>
      <c r="K11" s="194"/>
      <c r="L11" s="194"/>
      <c r="M11" s="194"/>
      <c r="N11" s="194"/>
      <c r="O11" s="194"/>
      <c r="P11" s="194"/>
      <c r="Q11" s="194"/>
      <c r="R11" s="184"/>
      <c r="S11" s="184"/>
      <c r="T11" s="184"/>
      <c r="U11" s="184"/>
      <c r="V11" s="184"/>
      <c r="W11" s="184"/>
      <c r="X11" s="184"/>
      <c r="Y11" s="184"/>
    </row>
    <row r="12" spans="1:44" ht="19.5" customHeight="1" x14ac:dyDescent="0.25">
      <c r="A12" s="826"/>
      <c r="B12" s="827"/>
      <c r="C12" s="828"/>
      <c r="D12" s="184"/>
      <c r="E12" s="829"/>
      <c r="F12" s="829"/>
      <c r="G12" s="829"/>
      <c r="H12" s="993" t="s">
        <v>842</v>
      </c>
      <c r="I12" s="834"/>
      <c r="J12" s="994">
        <v>90.479799999999997</v>
      </c>
      <c r="K12" s="829"/>
      <c r="L12" s="829"/>
      <c r="M12" s="829"/>
      <c r="N12" s="829"/>
      <c r="O12" s="829"/>
      <c r="P12" s="829"/>
      <c r="Q12" s="829"/>
      <c r="R12" s="184"/>
      <c r="S12" s="932"/>
      <c r="T12" s="184"/>
      <c r="U12" s="184"/>
      <c r="V12" s="184"/>
      <c r="W12" s="184"/>
      <c r="X12" s="184"/>
      <c r="Y12" s="184"/>
      <c r="AA12" s="830"/>
      <c r="AB12" s="831"/>
      <c r="AC12" s="831"/>
      <c r="AD12" s="832"/>
      <c r="AE12" s="831"/>
      <c r="AM12" s="831"/>
      <c r="AN12" s="831"/>
      <c r="AO12" s="831"/>
      <c r="AP12" s="831"/>
      <c r="AQ12" s="831"/>
      <c r="AR12" s="831"/>
    </row>
    <row r="13" spans="1:44" s="837" customFormat="1" ht="21" customHeight="1" x14ac:dyDescent="0.2">
      <c r="A13" s="1159" t="s">
        <v>138</v>
      </c>
      <c r="B13" s="1162" t="s">
        <v>260</v>
      </c>
      <c r="C13" s="988"/>
      <c r="D13" s="986"/>
      <c r="E13" s="1153" t="s">
        <v>816</v>
      </c>
      <c r="F13" s="1137" t="s">
        <v>837</v>
      </c>
      <c r="G13" s="1138"/>
      <c r="H13" s="1138"/>
      <c r="I13" s="1138"/>
      <c r="J13" s="1138"/>
      <c r="K13" s="1138"/>
      <c r="L13" s="1138"/>
      <c r="M13" s="1138"/>
      <c r="N13" s="1138"/>
      <c r="O13" s="1138"/>
      <c r="P13" s="1138"/>
      <c r="Q13" s="1139"/>
      <c r="R13" s="1146" t="s">
        <v>840</v>
      </c>
      <c r="S13" s="1146"/>
      <c r="T13" s="833"/>
      <c r="U13" s="833"/>
      <c r="V13" s="833"/>
      <c r="W13" s="833"/>
      <c r="X13" s="833"/>
      <c r="Y13" s="833"/>
      <c r="AA13" s="989"/>
      <c r="AB13" s="835"/>
      <c r="AC13" s="835"/>
      <c r="AD13" s="990"/>
      <c r="AE13" s="835"/>
      <c r="AM13" s="835"/>
      <c r="AN13" s="835"/>
      <c r="AO13" s="835"/>
      <c r="AP13" s="835"/>
      <c r="AQ13" s="835"/>
      <c r="AR13" s="835"/>
    </row>
    <row r="14" spans="1:44" ht="31.5" customHeight="1" x14ac:dyDescent="0.25">
      <c r="A14" s="1160"/>
      <c r="B14" s="1163"/>
      <c r="C14" s="937"/>
      <c r="D14" s="329"/>
      <c r="E14" s="1158"/>
      <c r="F14" s="1143" t="s">
        <v>817</v>
      </c>
      <c r="G14" s="1144"/>
      <c r="H14" s="1144"/>
      <c r="I14" s="1144"/>
      <c r="J14" s="1144"/>
      <c r="K14" s="1145"/>
      <c r="L14" s="1134" t="s">
        <v>838</v>
      </c>
      <c r="M14" s="1135"/>
      <c r="N14" s="1135"/>
      <c r="O14" s="1135"/>
      <c r="P14" s="1135"/>
      <c r="Q14" s="1136"/>
      <c r="R14" s="939" t="s">
        <v>817</v>
      </c>
      <c r="S14" s="1020" t="s">
        <v>841</v>
      </c>
      <c r="T14" s="184"/>
      <c r="U14" s="184"/>
      <c r="V14" s="184"/>
      <c r="W14" s="184"/>
      <c r="X14" s="184"/>
      <c r="Y14" s="184"/>
      <c r="AA14" s="830"/>
      <c r="AB14" s="831"/>
      <c r="AC14" s="831"/>
      <c r="AD14" s="832"/>
      <c r="AE14" s="831"/>
      <c r="AM14" s="831"/>
      <c r="AN14" s="831"/>
      <c r="AO14" s="831"/>
      <c r="AP14" s="831"/>
      <c r="AQ14" s="831"/>
      <c r="AR14" s="831"/>
    </row>
    <row r="15" spans="1:44" s="837" customFormat="1" ht="19.5" customHeight="1" x14ac:dyDescent="0.2">
      <c r="A15" s="1160"/>
      <c r="B15" s="1163"/>
      <c r="C15" s="988"/>
      <c r="D15" s="986"/>
      <c r="E15" s="1158"/>
      <c r="F15" s="1165" t="s">
        <v>820</v>
      </c>
      <c r="G15" s="1166"/>
      <c r="H15" s="1167" t="s">
        <v>822</v>
      </c>
      <c r="I15" s="1168"/>
      <c r="J15" s="938" t="s">
        <v>823</v>
      </c>
      <c r="K15" s="1153" t="s">
        <v>826</v>
      </c>
      <c r="L15" s="1165" t="s">
        <v>820</v>
      </c>
      <c r="M15" s="1166"/>
      <c r="N15" s="1167" t="s">
        <v>822</v>
      </c>
      <c r="O15" s="1168"/>
      <c r="P15" s="938" t="s">
        <v>823</v>
      </c>
      <c r="Q15" s="1155" t="s">
        <v>826</v>
      </c>
      <c r="R15" s="1140" t="s">
        <v>827</v>
      </c>
      <c r="S15" s="1140" t="s">
        <v>827</v>
      </c>
      <c r="T15" s="833"/>
      <c r="U15" s="833"/>
      <c r="V15" s="833"/>
      <c r="W15" s="833"/>
      <c r="X15" s="833"/>
      <c r="Y15" s="833"/>
      <c r="AA15" s="989"/>
      <c r="AB15" s="835"/>
      <c r="AC15" s="835"/>
      <c r="AD15" s="990"/>
      <c r="AE15" s="835"/>
      <c r="AM15" s="835"/>
      <c r="AN15" s="835"/>
      <c r="AO15" s="835"/>
      <c r="AP15" s="835"/>
      <c r="AQ15" s="835"/>
      <c r="AR15" s="835"/>
    </row>
    <row r="16" spans="1:44" ht="18.75" customHeight="1" x14ac:dyDescent="0.25">
      <c r="A16" s="1160"/>
      <c r="B16" s="1163"/>
      <c r="C16" s="937"/>
      <c r="D16" s="329"/>
      <c r="E16" s="1154"/>
      <c r="F16" s="935" t="s">
        <v>821</v>
      </c>
      <c r="G16" s="935" t="s">
        <v>824</v>
      </c>
      <c r="H16" s="935" t="s">
        <v>821</v>
      </c>
      <c r="I16" s="935" t="s">
        <v>824</v>
      </c>
      <c r="J16" s="935" t="s">
        <v>825</v>
      </c>
      <c r="K16" s="1154"/>
      <c r="L16" s="935" t="s">
        <v>821</v>
      </c>
      <c r="M16" s="935" t="s">
        <v>824</v>
      </c>
      <c r="N16" s="935" t="s">
        <v>821</v>
      </c>
      <c r="O16" s="935" t="s">
        <v>824</v>
      </c>
      <c r="P16" s="935" t="s">
        <v>836</v>
      </c>
      <c r="Q16" s="1156"/>
      <c r="R16" s="1141"/>
      <c r="S16" s="1141"/>
      <c r="T16" s="184"/>
      <c r="U16" s="184"/>
      <c r="V16" s="184"/>
      <c r="W16" s="184"/>
      <c r="X16" s="184"/>
      <c r="Y16" s="184"/>
      <c r="AA16" s="830"/>
      <c r="AB16" s="831"/>
      <c r="AC16" s="831"/>
      <c r="AD16" s="832"/>
      <c r="AE16" s="831"/>
      <c r="AM16" s="831"/>
      <c r="AN16" s="831"/>
      <c r="AO16" s="831"/>
      <c r="AP16" s="831"/>
      <c r="AQ16" s="831"/>
      <c r="AR16" s="831"/>
    </row>
    <row r="17" spans="1:44" s="837" customFormat="1" ht="18.75" customHeight="1" x14ac:dyDescent="0.2">
      <c r="A17" s="1161"/>
      <c r="B17" s="1164"/>
      <c r="C17" s="952" t="s">
        <v>14</v>
      </c>
      <c r="D17" s="953" t="s">
        <v>12</v>
      </c>
      <c r="E17" s="954" t="s">
        <v>4</v>
      </c>
      <c r="F17" s="936" t="s">
        <v>4</v>
      </c>
      <c r="G17" s="936" t="s">
        <v>4</v>
      </c>
      <c r="H17" s="936" t="s">
        <v>4</v>
      </c>
      <c r="I17" s="936" t="s">
        <v>4</v>
      </c>
      <c r="J17" s="936" t="s">
        <v>4</v>
      </c>
      <c r="K17" s="936" t="s">
        <v>4</v>
      </c>
      <c r="L17" s="936" t="s">
        <v>4</v>
      </c>
      <c r="M17" s="936" t="s">
        <v>4</v>
      </c>
      <c r="N17" s="936" t="s">
        <v>4</v>
      </c>
      <c r="O17" s="936" t="s">
        <v>4</v>
      </c>
      <c r="P17" s="936" t="s">
        <v>4</v>
      </c>
      <c r="Q17" s="936" t="s">
        <v>4</v>
      </c>
      <c r="R17" s="1142"/>
      <c r="S17" s="1142"/>
      <c r="T17" s="209"/>
      <c r="U17" s="209"/>
      <c r="V17" s="209"/>
      <c r="W17" s="209"/>
      <c r="X17" s="209"/>
      <c r="Y17" s="833"/>
      <c r="Z17" s="209"/>
      <c r="AA17" s="834"/>
      <c r="AB17" s="835"/>
      <c r="AC17" s="835"/>
      <c r="AD17" s="835"/>
      <c r="AE17" s="835"/>
      <c r="AF17" s="209"/>
      <c r="AG17" s="209"/>
      <c r="AH17" s="209"/>
      <c r="AI17" s="209"/>
      <c r="AJ17" s="836"/>
      <c r="AM17" s="838"/>
      <c r="AN17" s="835"/>
      <c r="AO17" s="835"/>
      <c r="AP17" s="835"/>
      <c r="AQ17" s="835"/>
      <c r="AR17" s="835"/>
    </row>
    <row r="18" spans="1:44" s="837" customFormat="1" ht="19.5" customHeight="1" x14ac:dyDescent="0.2">
      <c r="A18" s="1007">
        <v>1</v>
      </c>
      <c r="B18" s="909" t="s">
        <v>805</v>
      </c>
      <c r="C18" s="1008">
        <v>0</v>
      </c>
      <c r="D18" s="980">
        <v>25.720433810907107</v>
      </c>
      <c r="E18" s="981">
        <v>25.720433810907107</v>
      </c>
      <c r="F18" s="1009">
        <v>7200000</v>
      </c>
      <c r="G18" s="1009">
        <v>7200000</v>
      </c>
      <c r="H18" s="1009">
        <v>2500000</v>
      </c>
      <c r="I18" s="981"/>
      <c r="J18" s="982">
        <v>1.4159999999999999</v>
      </c>
      <c r="K18" s="982">
        <v>89.181405999999996</v>
      </c>
      <c r="L18" s="1009">
        <v>2700000</v>
      </c>
      <c r="M18" s="982">
        <v>24.429545999999998</v>
      </c>
      <c r="N18" s="1009">
        <v>1700000</v>
      </c>
      <c r="O18" s="982">
        <v>15.381565999999999</v>
      </c>
      <c r="P18" s="981">
        <v>0.11800000000000001</v>
      </c>
      <c r="Q18" s="981">
        <v>39.929111999999996</v>
      </c>
      <c r="R18" s="981">
        <v>45.713908000000004</v>
      </c>
      <c r="S18" s="981">
        <v>29.532450000000001</v>
      </c>
      <c r="T18" s="833"/>
      <c r="U18" s="833"/>
      <c r="V18" s="833"/>
      <c r="W18" s="833"/>
      <c r="X18" s="209"/>
      <c r="Y18" s="960"/>
      <c r="Z18" s="961"/>
      <c r="AA18" s="1010"/>
      <c r="AB18" s="835"/>
      <c r="AC18" s="835"/>
      <c r="AD18" s="835"/>
      <c r="AE18" s="835"/>
      <c r="AF18" s="961"/>
      <c r="AG18" s="961"/>
      <c r="AH18" s="961"/>
      <c r="AI18" s="961"/>
      <c r="AJ18" s="961"/>
      <c r="AM18" s="1011"/>
      <c r="AN18" s="835"/>
      <c r="AO18" s="835"/>
      <c r="AP18" s="835"/>
      <c r="AQ18" s="835"/>
      <c r="AR18" s="835"/>
    </row>
    <row r="19" spans="1:44" s="837" customFormat="1" ht="21" customHeight="1" x14ac:dyDescent="0.2">
      <c r="A19" s="1007">
        <v>2</v>
      </c>
      <c r="B19" s="1012" t="s">
        <v>262</v>
      </c>
      <c r="C19" s="1008">
        <v>0</v>
      </c>
      <c r="D19" s="980">
        <v>274.37779983872753</v>
      </c>
      <c r="E19" s="981">
        <v>274.37779983872753</v>
      </c>
      <c r="F19" s="1009"/>
      <c r="G19" s="981"/>
      <c r="H19" s="1009"/>
      <c r="I19" s="981"/>
      <c r="J19" s="982">
        <v>691.48</v>
      </c>
      <c r="K19" s="982">
        <v>691.48</v>
      </c>
      <c r="L19" s="1009"/>
      <c r="M19" s="982">
        <v>0</v>
      </c>
      <c r="N19" s="1009"/>
      <c r="O19" s="982">
        <v>0</v>
      </c>
      <c r="P19" s="981">
        <v>336.14660000000003</v>
      </c>
      <c r="Q19" s="981">
        <v>336.14660000000003</v>
      </c>
      <c r="R19" s="981">
        <v>519.14383199999997</v>
      </c>
      <c r="S19" s="981">
        <v>419.16019</v>
      </c>
      <c r="T19" s="930"/>
      <c r="U19" s="930"/>
      <c r="V19" s="930"/>
      <c r="W19" s="930"/>
      <c r="X19" s="209"/>
      <c r="Y19" s="960"/>
      <c r="Z19" s="961"/>
      <c r="AA19" s="1013"/>
      <c r="AB19" s="1014"/>
      <c r="AC19" s="924"/>
      <c r="AD19" s="924"/>
      <c r="AE19" s="965"/>
      <c r="AF19" s="961"/>
      <c r="AG19" s="961"/>
      <c r="AH19" s="961"/>
      <c r="AI19" s="961"/>
      <c r="AJ19" s="961"/>
      <c r="AM19" s="1011"/>
      <c r="AN19" s="835"/>
      <c r="AO19" s="835"/>
      <c r="AP19" s="1015"/>
      <c r="AQ19" s="835"/>
      <c r="AR19" s="835"/>
    </row>
    <row r="20" spans="1:44" ht="30" x14ac:dyDescent="0.25">
      <c r="A20" s="839">
        <v>3</v>
      </c>
      <c r="B20" s="844" t="s">
        <v>263</v>
      </c>
      <c r="C20" s="840"/>
      <c r="D20" s="841">
        <v>41.094090000000001</v>
      </c>
      <c r="E20" s="842">
        <v>41.094090000000001</v>
      </c>
      <c r="F20" s="940"/>
      <c r="G20" s="842"/>
      <c r="H20" s="940"/>
      <c r="I20" s="842"/>
      <c r="J20" s="931">
        <v>3.7760000000000002</v>
      </c>
      <c r="K20" s="931">
        <v>3.7760000000000002</v>
      </c>
      <c r="L20" s="940"/>
      <c r="M20" s="931">
        <v>0</v>
      </c>
      <c r="N20" s="940"/>
      <c r="O20" s="931">
        <v>0</v>
      </c>
      <c r="P20" s="842">
        <v>3.7760000000000002</v>
      </c>
      <c r="Q20" s="842">
        <v>3.7760000000000002</v>
      </c>
      <c r="R20" s="931" t="s">
        <v>206</v>
      </c>
      <c r="S20" s="931" t="s">
        <v>206</v>
      </c>
      <c r="T20" s="184"/>
      <c r="U20" s="184"/>
      <c r="V20" s="184"/>
      <c r="W20" s="184"/>
      <c r="X20" s="220"/>
      <c r="Y20" s="221"/>
      <c r="Z20" s="222"/>
      <c r="AA20" s="845"/>
      <c r="AB20" s="849"/>
      <c r="AC20" s="846"/>
      <c r="AD20" s="846"/>
      <c r="AE20" s="847"/>
      <c r="AF20" s="222"/>
      <c r="AG20" s="222"/>
      <c r="AH20" s="222"/>
      <c r="AI20" s="222"/>
      <c r="AJ20" s="222"/>
      <c r="AM20" s="831"/>
      <c r="AN20" s="831"/>
      <c r="AO20" s="831"/>
      <c r="AP20" s="831"/>
      <c r="AQ20" s="831"/>
      <c r="AR20" s="831"/>
    </row>
    <row r="21" spans="1:44" s="837" customFormat="1" ht="16.5" customHeight="1" x14ac:dyDescent="0.2">
      <c r="A21" s="1007">
        <v>4</v>
      </c>
      <c r="B21" s="1016" t="s">
        <v>264</v>
      </c>
      <c r="C21" s="1008">
        <v>0</v>
      </c>
      <c r="D21" s="1017">
        <v>90.190215781225163</v>
      </c>
      <c r="E21" s="981">
        <v>90.190215781225163</v>
      </c>
      <c r="F21" s="1009"/>
      <c r="G21" s="981"/>
      <c r="H21" s="1009"/>
      <c r="I21" s="981"/>
      <c r="J21" s="982">
        <v>177</v>
      </c>
      <c r="K21" s="982">
        <v>177</v>
      </c>
      <c r="L21" s="1009"/>
      <c r="M21" s="982">
        <v>0</v>
      </c>
      <c r="N21" s="1009"/>
      <c r="O21" s="982">
        <v>0</v>
      </c>
      <c r="P21" s="981">
        <v>129.80000000000001</v>
      </c>
      <c r="Q21" s="981">
        <v>129.80000000000001</v>
      </c>
      <c r="R21" s="981">
        <v>120.545614</v>
      </c>
      <c r="S21" s="981">
        <v>107.159576</v>
      </c>
      <c r="T21" s="833"/>
      <c r="U21" s="833"/>
      <c r="V21" s="833"/>
      <c r="W21" s="833"/>
      <c r="X21" s="209"/>
      <c r="Y21" s="960"/>
      <c r="Z21" s="961"/>
      <c r="AA21" s="1018"/>
      <c r="AB21" s="973"/>
      <c r="AC21" s="1018"/>
      <c r="AD21" s="1018"/>
      <c r="AE21" s="1018"/>
      <c r="AF21" s="961"/>
      <c r="AG21" s="961"/>
      <c r="AH21" s="961"/>
      <c r="AI21" s="961"/>
      <c r="AJ21" s="961"/>
      <c r="AM21" s="1018"/>
      <c r="AN21" s="1018"/>
      <c r="AO21" s="915"/>
      <c r="AP21" s="915"/>
      <c r="AQ21" s="924"/>
      <c r="AR21" s="835"/>
    </row>
    <row r="22" spans="1:44" ht="30" x14ac:dyDescent="0.25">
      <c r="A22" s="839">
        <v>5</v>
      </c>
      <c r="B22" s="844" t="s">
        <v>265</v>
      </c>
      <c r="C22" s="840"/>
      <c r="D22" s="841">
        <v>46.507711617825962</v>
      </c>
      <c r="E22" s="842">
        <v>46.507711617825962</v>
      </c>
      <c r="F22" s="940"/>
      <c r="G22" s="842"/>
      <c r="H22" s="940"/>
      <c r="I22" s="842"/>
      <c r="J22" s="931">
        <v>70.8</v>
      </c>
      <c r="K22" s="931">
        <v>70.8</v>
      </c>
      <c r="L22" s="940"/>
      <c r="M22" s="931">
        <v>0</v>
      </c>
      <c r="N22" s="940"/>
      <c r="O22" s="931">
        <v>0</v>
      </c>
      <c r="P22" s="842">
        <v>70.8</v>
      </c>
      <c r="Q22" s="842">
        <v>70.8</v>
      </c>
      <c r="R22" s="842">
        <v>97.704117999999994</v>
      </c>
      <c r="S22" s="842">
        <v>90.562404000000001</v>
      </c>
      <c r="T22" s="184"/>
      <c r="U22" s="184"/>
      <c r="V22" s="184"/>
      <c r="W22" s="184"/>
      <c r="X22" s="220"/>
      <c r="Y22" s="221"/>
      <c r="Z22" s="222"/>
      <c r="AA22" s="831"/>
      <c r="AB22" s="831"/>
      <c r="AC22" s="831"/>
      <c r="AD22" s="831"/>
      <c r="AE22" s="852"/>
      <c r="AF22" s="222"/>
      <c r="AG22" s="222"/>
      <c r="AH22" s="222"/>
      <c r="AI22" s="222"/>
      <c r="AJ22" s="222"/>
      <c r="AM22" s="852"/>
      <c r="AN22" s="852"/>
      <c r="AQ22" s="855"/>
      <c r="AR22" s="831"/>
    </row>
    <row r="23" spans="1:44" ht="30" x14ac:dyDescent="0.25">
      <c r="A23" s="839">
        <v>6</v>
      </c>
      <c r="B23" s="844" t="s">
        <v>806</v>
      </c>
      <c r="C23" s="851"/>
      <c r="D23" s="841">
        <v>14.008856669998675</v>
      </c>
      <c r="E23" s="842">
        <v>14.008856669998675</v>
      </c>
      <c r="F23" s="940"/>
      <c r="G23" s="842"/>
      <c r="H23" s="940"/>
      <c r="I23" s="842"/>
      <c r="J23" s="931">
        <v>23.6</v>
      </c>
      <c r="K23" s="931">
        <v>23.6</v>
      </c>
      <c r="L23" s="940"/>
      <c r="M23" s="931">
        <v>0</v>
      </c>
      <c r="N23" s="940"/>
      <c r="O23" s="931">
        <v>0</v>
      </c>
      <c r="P23" s="842">
        <v>23.6</v>
      </c>
      <c r="Q23" s="842">
        <v>23.6</v>
      </c>
      <c r="R23" s="842">
        <v>5.31</v>
      </c>
      <c r="S23" s="842">
        <v>5.31</v>
      </c>
      <c r="T23" s="184"/>
      <c r="U23" s="184"/>
      <c r="V23" s="184"/>
      <c r="W23" s="184"/>
      <c r="X23" s="220"/>
      <c r="Y23" s="221"/>
      <c r="Z23" s="222"/>
      <c r="AA23" s="831"/>
      <c r="AB23" s="831"/>
      <c r="AC23" s="831"/>
      <c r="AD23" s="831"/>
      <c r="AE23" s="852"/>
      <c r="AF23" s="222"/>
      <c r="AG23" s="222"/>
      <c r="AH23" s="222"/>
      <c r="AI23" s="222"/>
      <c r="AJ23" s="222"/>
      <c r="AM23" s="852"/>
      <c r="AN23" s="852"/>
      <c r="AQ23" s="855"/>
      <c r="AR23" s="831"/>
    </row>
    <row r="24" spans="1:44" ht="45" x14ac:dyDescent="0.25">
      <c r="A24" s="839">
        <v>7</v>
      </c>
      <c r="B24" s="844" t="s">
        <v>807</v>
      </c>
      <c r="C24" s="856"/>
      <c r="D24" s="841">
        <v>60.686036915553821</v>
      </c>
      <c r="E24" s="842">
        <v>60.686036915553821</v>
      </c>
      <c r="F24" s="940"/>
      <c r="G24" s="842"/>
      <c r="H24" s="940"/>
      <c r="I24" s="842"/>
      <c r="J24" s="931">
        <v>158.12</v>
      </c>
      <c r="K24" s="931">
        <v>158.12</v>
      </c>
      <c r="L24" s="940"/>
      <c r="M24" s="931">
        <v>0</v>
      </c>
      <c r="N24" s="940"/>
      <c r="O24" s="931">
        <v>0</v>
      </c>
      <c r="P24" s="842">
        <v>94.4</v>
      </c>
      <c r="Q24" s="842">
        <v>94.4</v>
      </c>
      <c r="R24" s="842">
        <v>109.29561200000001</v>
      </c>
      <c r="S24" s="842">
        <v>90.654561999999999</v>
      </c>
    </row>
    <row r="25" spans="1:44" s="837" customFormat="1" ht="17.25" customHeight="1" x14ac:dyDescent="0.2">
      <c r="A25" s="1007">
        <v>8</v>
      </c>
      <c r="B25" s="1019" t="s">
        <v>808</v>
      </c>
      <c r="D25" s="980">
        <v>7.5402000000000005</v>
      </c>
      <c r="E25" s="981">
        <v>7.5402000000000005</v>
      </c>
      <c r="F25" s="1009"/>
      <c r="G25" s="981"/>
      <c r="H25" s="1009"/>
      <c r="I25" s="981"/>
      <c r="J25" s="982">
        <v>2.36</v>
      </c>
      <c r="K25" s="982">
        <v>2.36</v>
      </c>
      <c r="L25" s="1009"/>
      <c r="M25" s="982">
        <v>0</v>
      </c>
      <c r="N25" s="1009"/>
      <c r="O25" s="982">
        <v>0</v>
      </c>
      <c r="P25" s="981">
        <v>2.36</v>
      </c>
      <c r="Q25" s="981">
        <v>2.36</v>
      </c>
      <c r="R25" s="982" t="s">
        <v>206</v>
      </c>
      <c r="S25" s="982" t="s">
        <v>206</v>
      </c>
    </row>
    <row r="26" spans="1:44" ht="31.5" x14ac:dyDescent="0.25">
      <c r="A26" s="839">
        <v>9</v>
      </c>
      <c r="B26" s="857" t="s">
        <v>809</v>
      </c>
      <c r="C26" s="858">
        <v>0</v>
      </c>
      <c r="D26" s="249"/>
      <c r="E26" s="217">
        <v>0</v>
      </c>
      <c r="F26" s="940">
        <v>800000</v>
      </c>
      <c r="G26" s="217"/>
      <c r="H26" s="940">
        <v>1000000</v>
      </c>
      <c r="I26" s="217"/>
      <c r="J26" s="931"/>
      <c r="K26" s="931">
        <v>16.286363999999999</v>
      </c>
      <c r="L26" s="940">
        <v>750000</v>
      </c>
      <c r="M26" s="931">
        <v>6.7859850000000002</v>
      </c>
      <c r="N26" s="940">
        <v>648000</v>
      </c>
      <c r="O26" s="931">
        <v>5.8630910399999996</v>
      </c>
      <c r="P26" s="217"/>
      <c r="Q26" s="842">
        <v>12.649076040000001</v>
      </c>
      <c r="R26" s="931" t="s">
        <v>206</v>
      </c>
      <c r="S26" s="931" t="s">
        <v>206</v>
      </c>
      <c r="T26" s="187"/>
      <c r="U26" s="187"/>
      <c r="V26" s="187"/>
      <c r="W26" s="187"/>
      <c r="X26" s="220"/>
      <c r="Y26" s="221"/>
      <c r="Z26" s="222"/>
      <c r="AA26" s="859"/>
      <c r="AB26" s="860"/>
      <c r="AC26" s="861"/>
      <c r="AD26" s="862"/>
      <c r="AE26" s="863"/>
      <c r="AF26" s="222"/>
      <c r="AG26" s="222"/>
      <c r="AH26" s="222"/>
      <c r="AI26" s="222"/>
      <c r="AJ26" s="222"/>
      <c r="AM26" s="860"/>
      <c r="AN26" s="864"/>
      <c r="AO26" s="865"/>
      <c r="AP26" s="856"/>
      <c r="AQ26" s="843"/>
      <c r="AR26" s="831"/>
    </row>
    <row r="27" spans="1:44" ht="45" x14ac:dyDescent="0.25">
      <c r="A27" s="839">
        <v>10</v>
      </c>
      <c r="B27" s="866" t="s">
        <v>810</v>
      </c>
      <c r="C27" s="867">
        <v>0</v>
      </c>
      <c r="D27" s="235"/>
      <c r="E27" s="217">
        <v>0</v>
      </c>
      <c r="F27" s="940"/>
      <c r="G27" s="217"/>
      <c r="H27" s="940">
        <v>200000</v>
      </c>
      <c r="I27" s="217"/>
      <c r="J27" s="931"/>
      <c r="K27" s="931">
        <v>1.809596</v>
      </c>
      <c r="L27" s="940"/>
      <c r="M27" s="931">
        <v>0</v>
      </c>
      <c r="N27" s="940"/>
      <c r="O27" s="931">
        <v>0</v>
      </c>
      <c r="P27" s="217"/>
      <c r="Q27" s="842">
        <v>0</v>
      </c>
      <c r="R27" s="842">
        <v>0.11799999999999999</v>
      </c>
      <c r="S27" s="842">
        <v>0.11799999999999999</v>
      </c>
      <c r="T27" s="187"/>
      <c r="U27" s="187"/>
      <c r="V27" s="187"/>
      <c r="W27" s="187"/>
      <c r="X27" s="193"/>
      <c r="Y27" s="259"/>
      <c r="Z27" s="236"/>
      <c r="AA27" s="868"/>
      <c r="AB27" s="860"/>
      <c r="AC27" s="861"/>
      <c r="AD27" s="862"/>
      <c r="AE27" s="863"/>
      <c r="AF27" s="236"/>
      <c r="AG27" s="236"/>
      <c r="AH27" s="236"/>
      <c r="AI27" s="222"/>
      <c r="AJ27" s="222"/>
      <c r="AM27" s="860"/>
      <c r="AN27" s="864"/>
      <c r="AO27" s="869"/>
      <c r="AQ27" s="831"/>
      <c r="AR27" s="831"/>
    </row>
    <row r="28" spans="1:44" ht="45" x14ac:dyDescent="0.25">
      <c r="A28" s="839">
        <v>11</v>
      </c>
      <c r="B28" s="857" t="s">
        <v>811</v>
      </c>
      <c r="C28" s="867">
        <v>0</v>
      </c>
      <c r="D28" s="235">
        <v>0</v>
      </c>
      <c r="E28" s="217">
        <v>0</v>
      </c>
      <c r="F28" s="940"/>
      <c r="G28" s="217"/>
      <c r="H28" s="940"/>
      <c r="I28" s="217"/>
      <c r="J28" s="931"/>
      <c r="K28" s="931">
        <v>0</v>
      </c>
      <c r="L28" s="940"/>
      <c r="M28" s="931">
        <v>0</v>
      </c>
      <c r="N28" s="940"/>
      <c r="O28" s="931">
        <v>0</v>
      </c>
      <c r="P28" s="217"/>
      <c r="Q28" s="842">
        <v>0</v>
      </c>
      <c r="R28" s="931" t="s">
        <v>206</v>
      </c>
      <c r="S28" s="931" t="s">
        <v>206</v>
      </c>
      <c r="T28" s="187"/>
      <c r="U28" s="187"/>
      <c r="V28" s="187"/>
      <c r="W28" s="187"/>
      <c r="X28" s="193"/>
      <c r="Y28" s="259"/>
      <c r="Z28" s="236"/>
      <c r="AA28" s="868"/>
      <c r="AB28" s="860"/>
      <c r="AC28" s="861"/>
      <c r="AD28" s="862"/>
      <c r="AE28" s="863"/>
      <c r="AF28" s="236"/>
      <c r="AG28" s="236"/>
      <c r="AH28" s="236"/>
      <c r="AI28" s="222"/>
      <c r="AJ28" s="222"/>
      <c r="AM28" s="870"/>
      <c r="AN28" s="864"/>
      <c r="AO28" s="869"/>
      <c r="AQ28" s="831"/>
      <c r="AR28" s="831"/>
    </row>
    <row r="29" spans="1:44" ht="30" x14ac:dyDescent="0.25">
      <c r="A29" s="839">
        <v>12</v>
      </c>
      <c r="B29" s="857" t="s">
        <v>271</v>
      </c>
      <c r="D29" s="871" t="s">
        <v>272</v>
      </c>
      <c r="E29" s="872" t="s">
        <v>272</v>
      </c>
      <c r="F29" s="940"/>
      <c r="G29" s="872"/>
      <c r="H29" s="940"/>
      <c r="I29" s="872"/>
      <c r="J29" s="931">
        <v>0.47200000000000003</v>
      </c>
      <c r="K29" s="931">
        <v>0.47200000000000003</v>
      </c>
      <c r="L29" s="940"/>
      <c r="M29" s="931">
        <v>0</v>
      </c>
      <c r="N29" s="940"/>
      <c r="O29" s="931">
        <v>0</v>
      </c>
      <c r="P29" s="955">
        <v>0.35399999999999998</v>
      </c>
      <c r="Q29" s="842">
        <v>0.35399999999999998</v>
      </c>
      <c r="R29" s="842">
        <v>3.5588799999999998</v>
      </c>
      <c r="S29" s="842">
        <v>2.5739339999999999</v>
      </c>
      <c r="T29" s="187"/>
      <c r="U29" s="187"/>
      <c r="V29" s="187"/>
      <c r="W29" s="187"/>
      <c r="X29" s="220"/>
      <c r="Y29" s="221"/>
      <c r="Z29" s="222"/>
      <c r="AA29" s="859"/>
      <c r="AB29" s="873"/>
      <c r="AC29" s="846"/>
      <c r="AD29" s="874"/>
      <c r="AE29" s="847"/>
      <c r="AF29" s="222"/>
      <c r="AG29" s="222"/>
      <c r="AH29" s="222"/>
      <c r="AJ29" s="222"/>
      <c r="AM29" s="875"/>
      <c r="AN29" s="864"/>
      <c r="AO29" s="869"/>
      <c r="AQ29" s="831"/>
      <c r="AR29" s="831"/>
    </row>
    <row r="30" spans="1:44" s="885" customFormat="1" x14ac:dyDescent="0.25">
      <c r="A30" s="876">
        <v>13</v>
      </c>
      <c r="B30" s="877" t="s">
        <v>812</v>
      </c>
      <c r="C30" s="878">
        <v>0</v>
      </c>
      <c r="D30" s="879">
        <v>0</v>
      </c>
      <c r="E30" s="878">
        <v>0</v>
      </c>
      <c r="F30" s="940"/>
      <c r="G30" s="941"/>
      <c r="H30" s="940"/>
      <c r="I30" s="941"/>
      <c r="J30" s="947"/>
      <c r="K30" s="947">
        <v>0</v>
      </c>
      <c r="L30" s="948"/>
      <c r="M30" s="947">
        <v>0</v>
      </c>
      <c r="N30" s="948"/>
      <c r="O30" s="947">
        <v>0</v>
      </c>
      <c r="P30" s="879"/>
      <c r="Q30" s="949">
        <v>0</v>
      </c>
      <c r="R30" s="879">
        <v>0</v>
      </c>
      <c r="S30" s="949"/>
      <c r="T30" s="187"/>
      <c r="U30" s="187"/>
      <c r="V30" s="187"/>
      <c r="W30" s="187"/>
      <c r="X30" s="220"/>
      <c r="Y30" s="221"/>
      <c r="Z30" s="222"/>
      <c r="AA30" s="880"/>
      <c r="AB30" s="881"/>
      <c r="AC30" s="882"/>
      <c r="AD30" s="883"/>
      <c r="AE30" s="884"/>
      <c r="AF30" s="222"/>
      <c r="AG30" s="222"/>
      <c r="AH30" s="222"/>
      <c r="AJ30" s="222"/>
      <c r="AM30" s="886"/>
      <c r="AN30" s="887"/>
      <c r="AO30" s="888"/>
      <c r="AQ30" s="889"/>
      <c r="AR30" s="889"/>
    </row>
    <row r="31" spans="1:44" s="837" customFormat="1" ht="27" customHeight="1" x14ac:dyDescent="0.2">
      <c r="A31" s="959">
        <v>14</v>
      </c>
      <c r="B31" s="956" t="s">
        <v>843</v>
      </c>
      <c r="C31" s="957">
        <v>0</v>
      </c>
      <c r="D31" s="957">
        <v>560.12534463423833</v>
      </c>
      <c r="E31" s="999">
        <v>560.12534463423833</v>
      </c>
      <c r="F31" s="1000">
        <v>8000000</v>
      </c>
      <c r="G31" s="1000">
        <v>7200000</v>
      </c>
      <c r="H31" s="1000">
        <v>3700000</v>
      </c>
      <c r="I31" s="1000">
        <v>0</v>
      </c>
      <c r="J31" s="999">
        <v>1129.0239999999999</v>
      </c>
      <c r="K31" s="999">
        <v>1234.885366</v>
      </c>
      <c r="L31" s="1000">
        <v>3450000</v>
      </c>
      <c r="M31" s="999">
        <v>31.215530999999999</v>
      </c>
      <c r="N31" s="1000">
        <v>2348000</v>
      </c>
      <c r="O31" s="999">
        <v>21.24465704</v>
      </c>
      <c r="P31" s="999">
        <v>661.35460000000012</v>
      </c>
      <c r="Q31" s="999">
        <v>713.81478804000005</v>
      </c>
      <c r="R31" s="999">
        <v>901.38996399999996</v>
      </c>
      <c r="S31" s="999">
        <v>745.07111599999996</v>
      </c>
      <c r="T31" s="833"/>
      <c r="U31" s="833"/>
      <c r="V31" s="833"/>
      <c r="W31" s="833"/>
      <c r="X31" s="209"/>
      <c r="Y31" s="960"/>
      <c r="Z31" s="961"/>
      <c r="AA31" s="962"/>
      <c r="AB31" s="963"/>
      <c r="AC31" s="924"/>
      <c r="AD31" s="964"/>
      <c r="AE31" s="965"/>
      <c r="AF31" s="961"/>
      <c r="AG31" s="961"/>
      <c r="AH31" s="961"/>
      <c r="AJ31" s="961"/>
      <c r="AM31" s="920"/>
      <c r="AN31" s="964"/>
      <c r="AO31" s="925"/>
      <c r="AQ31" s="835"/>
      <c r="AR31" s="835"/>
    </row>
    <row r="32" spans="1:44" ht="15.75" x14ac:dyDescent="0.25">
      <c r="A32" s="839">
        <v>15</v>
      </c>
      <c r="B32" s="890" t="s">
        <v>274</v>
      </c>
      <c r="C32" s="891">
        <v>0</v>
      </c>
      <c r="D32" s="280"/>
      <c r="E32" s="280"/>
      <c r="F32" s="933"/>
      <c r="G32" s="933"/>
      <c r="H32" s="933"/>
      <c r="I32" s="933"/>
      <c r="J32" s="933"/>
      <c r="K32" s="933"/>
      <c r="L32" s="933"/>
      <c r="M32" s="933"/>
      <c r="N32" s="933"/>
      <c r="O32" s="933"/>
      <c r="P32" s="942"/>
      <c r="Q32" s="942"/>
      <c r="R32" s="943"/>
      <c r="S32" s="943"/>
      <c r="T32" s="184"/>
      <c r="U32" s="184"/>
      <c r="V32" s="184"/>
      <c r="W32" s="184"/>
      <c r="X32" s="184"/>
      <c r="Y32" s="184"/>
      <c r="AA32" s="892"/>
      <c r="AB32" s="893"/>
      <c r="AC32" s="852"/>
      <c r="AD32" s="894"/>
      <c r="AE32" s="853"/>
      <c r="AM32" s="853"/>
      <c r="AN32" s="853"/>
      <c r="AQ32" s="853"/>
      <c r="AR32" s="831">
        <v>0</v>
      </c>
    </row>
    <row r="33" spans="1:44" ht="18.75" customHeight="1" x14ac:dyDescent="0.25">
      <c r="A33" s="895" t="s">
        <v>126</v>
      </c>
      <c r="B33" s="896" t="s">
        <v>275</v>
      </c>
      <c r="C33" s="840"/>
      <c r="D33" s="897">
        <v>0</v>
      </c>
      <c r="E33" s="217">
        <v>0</v>
      </c>
      <c r="F33" s="217">
        <v>0</v>
      </c>
      <c r="G33" s="217"/>
      <c r="H33" s="217">
        <v>0</v>
      </c>
      <c r="I33" s="217"/>
      <c r="J33" s="217">
        <v>0</v>
      </c>
      <c r="K33" s="996">
        <v>6.5824054499999995</v>
      </c>
      <c r="L33" s="217">
        <v>0</v>
      </c>
      <c r="M33" s="217"/>
      <c r="N33" s="217">
        <v>0</v>
      </c>
      <c r="O33" s="217"/>
      <c r="P33" s="217">
        <v>0</v>
      </c>
      <c r="Q33" s="996">
        <v>2.9858333999999993</v>
      </c>
      <c r="R33" s="944"/>
      <c r="S33" s="944"/>
      <c r="T33" s="184"/>
      <c r="U33" s="184"/>
      <c r="V33" s="184"/>
      <c r="W33" s="184"/>
      <c r="X33" s="184"/>
      <c r="Y33" s="184"/>
      <c r="AA33" s="831"/>
      <c r="AB33" s="898"/>
      <c r="AC33" s="854"/>
      <c r="AD33" s="870"/>
      <c r="AE33" s="870"/>
      <c r="AM33" s="831"/>
      <c r="AN33" s="831"/>
      <c r="AQ33" s="831"/>
      <c r="AR33" s="831"/>
    </row>
    <row r="34" spans="1:44" ht="19.5" customHeight="1" x14ac:dyDescent="0.25">
      <c r="A34" s="895" t="s">
        <v>164</v>
      </c>
      <c r="B34" s="850" t="s">
        <v>276</v>
      </c>
      <c r="C34" s="840"/>
      <c r="D34" s="897">
        <v>0</v>
      </c>
      <c r="E34" s="217">
        <v>0</v>
      </c>
      <c r="F34" s="217">
        <v>0</v>
      </c>
      <c r="G34" s="217"/>
      <c r="H34" s="217">
        <v>0</v>
      </c>
      <c r="I34" s="217"/>
      <c r="J34" s="217">
        <v>0</v>
      </c>
      <c r="K34" s="996">
        <v>0.65824054499999995</v>
      </c>
      <c r="L34" s="217">
        <v>0</v>
      </c>
      <c r="M34" s="217"/>
      <c r="N34" s="217">
        <v>0</v>
      </c>
      <c r="O34" s="217"/>
      <c r="P34" s="217">
        <v>0</v>
      </c>
      <c r="Q34" s="996">
        <v>0.29858333999999992</v>
      </c>
      <c r="R34" s="945"/>
      <c r="S34" s="945"/>
      <c r="T34" s="184"/>
      <c r="U34" s="184"/>
      <c r="V34" s="184"/>
      <c r="W34" s="184"/>
      <c r="X34" s="184"/>
      <c r="Y34" s="184"/>
      <c r="AA34" s="864"/>
      <c r="AB34" s="899"/>
      <c r="AC34" s="854"/>
      <c r="AD34" s="870"/>
      <c r="AE34" s="870"/>
      <c r="AM34" s="831"/>
      <c r="AN34" s="831"/>
      <c r="AQ34" s="831"/>
      <c r="AR34" s="831"/>
    </row>
    <row r="35" spans="1:44" ht="19.5" customHeight="1" x14ac:dyDescent="0.25">
      <c r="A35" s="895" t="s">
        <v>165</v>
      </c>
      <c r="B35" s="850" t="s">
        <v>277</v>
      </c>
      <c r="C35" s="840"/>
      <c r="D35" s="897">
        <v>0</v>
      </c>
      <c r="E35" s="217">
        <v>0</v>
      </c>
      <c r="F35" s="217">
        <v>0</v>
      </c>
      <c r="G35" s="217"/>
      <c r="H35" s="217">
        <v>0</v>
      </c>
      <c r="I35" s="217"/>
      <c r="J35" s="217">
        <v>0</v>
      </c>
      <c r="K35" s="996">
        <v>17.101089359099998</v>
      </c>
      <c r="L35" s="217">
        <v>0</v>
      </c>
      <c r="M35" s="217"/>
      <c r="N35" s="217">
        <v>0</v>
      </c>
      <c r="O35" s="217"/>
      <c r="P35" s="217">
        <v>0</v>
      </c>
      <c r="Q35" s="996">
        <v>7.7571951731999986</v>
      </c>
      <c r="R35" s="945"/>
      <c r="S35" s="945"/>
      <c r="T35" s="184"/>
      <c r="U35" s="184"/>
      <c r="V35" s="184"/>
      <c r="W35" s="184"/>
      <c r="X35" s="184"/>
      <c r="Y35" s="184"/>
      <c r="AA35" s="864"/>
      <c r="AB35" s="899"/>
      <c r="AC35" s="854"/>
      <c r="AD35" s="870"/>
      <c r="AE35" s="870"/>
      <c r="AM35" s="831"/>
      <c r="AN35" s="831"/>
      <c r="AQ35" s="831"/>
      <c r="AR35" s="831"/>
    </row>
    <row r="36" spans="1:44" ht="18.75" customHeight="1" x14ac:dyDescent="0.25">
      <c r="A36" s="900" t="s">
        <v>166</v>
      </c>
      <c r="B36" s="857" t="s">
        <v>278</v>
      </c>
      <c r="C36" s="840"/>
      <c r="D36" s="897">
        <v>0</v>
      </c>
      <c r="E36" s="217">
        <v>0</v>
      </c>
      <c r="F36" s="217">
        <v>0</v>
      </c>
      <c r="G36" s="217"/>
      <c r="H36" s="217">
        <v>0</v>
      </c>
      <c r="I36" s="217"/>
      <c r="J36" s="217">
        <v>0</v>
      </c>
      <c r="K36" s="997" t="s">
        <v>828</v>
      </c>
      <c r="L36" s="217">
        <v>0</v>
      </c>
      <c r="M36" s="217"/>
      <c r="N36" s="217">
        <v>0</v>
      </c>
      <c r="O36" s="217"/>
      <c r="P36" s="217">
        <v>0</v>
      </c>
      <c r="Q36" s="997" t="s">
        <v>828</v>
      </c>
      <c r="R36" s="945"/>
      <c r="S36" s="945"/>
      <c r="T36" s="184"/>
      <c r="U36" s="184"/>
      <c r="V36" s="184"/>
      <c r="W36" s="184"/>
      <c r="X36" s="184"/>
      <c r="Y36" s="184"/>
      <c r="AA36" s="831"/>
      <c r="AB36" s="901"/>
      <c r="AC36" s="854"/>
      <c r="AD36" s="870"/>
      <c r="AE36" s="870"/>
      <c r="AM36" s="902"/>
      <c r="AN36" s="831"/>
      <c r="AQ36" s="902"/>
      <c r="AR36" s="831"/>
    </row>
    <row r="37" spans="1:44" ht="19.5" customHeight="1" x14ac:dyDescent="0.25">
      <c r="A37" s="900" t="s">
        <v>21</v>
      </c>
      <c r="B37" s="857" t="s">
        <v>279</v>
      </c>
      <c r="C37" s="903"/>
      <c r="D37" s="904">
        <v>0</v>
      </c>
      <c r="E37" s="294">
        <v>0</v>
      </c>
      <c r="F37" s="294">
        <v>0</v>
      </c>
      <c r="G37" s="294"/>
      <c r="H37" s="294">
        <v>0</v>
      </c>
      <c r="I37" s="294"/>
      <c r="J37" s="294">
        <v>0</v>
      </c>
      <c r="K37" s="996">
        <v>3.2572728</v>
      </c>
      <c r="L37" s="294">
        <v>0</v>
      </c>
      <c r="M37" s="294"/>
      <c r="N37" s="294">
        <v>0</v>
      </c>
      <c r="O37" s="294"/>
      <c r="P37" s="294">
        <v>0</v>
      </c>
      <c r="Q37" s="996">
        <v>2.2768336871999999</v>
      </c>
      <c r="R37" s="946"/>
      <c r="S37" s="945"/>
      <c r="T37" s="184"/>
      <c r="U37" s="184"/>
      <c r="V37" s="184"/>
      <c r="W37" s="184"/>
      <c r="X37" s="184"/>
      <c r="Y37" s="184"/>
      <c r="AA37" s="853"/>
      <c r="AB37" s="905"/>
      <c r="AC37" s="854"/>
      <c r="AD37" s="854"/>
      <c r="AE37" s="854"/>
      <c r="AM37" s="870"/>
      <c r="AN37" s="853"/>
      <c r="AQ37" s="831"/>
      <c r="AR37" s="831"/>
    </row>
    <row r="38" spans="1:44" s="837" customFormat="1" ht="19.5" customHeight="1" x14ac:dyDescent="0.2">
      <c r="A38" s="966"/>
      <c r="B38" s="967" t="s">
        <v>813</v>
      </c>
      <c r="C38" s="968">
        <v>0</v>
      </c>
      <c r="D38" s="969">
        <v>0</v>
      </c>
      <c r="E38" s="970">
        <v>0</v>
      </c>
      <c r="F38" s="970">
        <v>0</v>
      </c>
      <c r="G38" s="970"/>
      <c r="H38" s="970">
        <v>0</v>
      </c>
      <c r="I38" s="970"/>
      <c r="J38" s="970">
        <v>0</v>
      </c>
      <c r="K38" s="998">
        <v>27.599008154099995</v>
      </c>
      <c r="L38" s="970">
        <v>0</v>
      </c>
      <c r="M38" s="970"/>
      <c r="N38" s="970">
        <v>0</v>
      </c>
      <c r="O38" s="970"/>
      <c r="P38" s="970">
        <v>0</v>
      </c>
      <c r="Q38" s="998">
        <v>13.318445600399997</v>
      </c>
      <c r="R38" s="971"/>
      <c r="S38" s="972"/>
      <c r="T38" s="833"/>
      <c r="U38" s="833"/>
      <c r="V38" s="833"/>
      <c r="W38" s="833"/>
      <c r="X38" s="833"/>
      <c r="Y38" s="833"/>
      <c r="AA38" s="973"/>
      <c r="AB38" s="918"/>
      <c r="AC38" s="915"/>
      <c r="AD38" s="915"/>
      <c r="AE38" s="915"/>
      <c r="AM38" s="920"/>
      <c r="AN38" s="973"/>
      <c r="AQ38" s="835"/>
      <c r="AR38" s="835"/>
    </row>
    <row r="39" spans="1:44" s="837" customFormat="1" ht="24.75" customHeight="1" x14ac:dyDescent="0.2">
      <c r="A39" s="974">
        <v>16</v>
      </c>
      <c r="B39" s="983" t="s">
        <v>829</v>
      </c>
      <c r="C39" s="984">
        <v>0</v>
      </c>
      <c r="D39" s="958">
        <v>560.12534463423833</v>
      </c>
      <c r="E39" s="999">
        <v>560.12534463423833</v>
      </c>
      <c r="F39" s="1001">
        <v>8000000</v>
      </c>
      <c r="G39" s="1001">
        <v>7200000</v>
      </c>
      <c r="H39" s="1001">
        <v>3700000</v>
      </c>
      <c r="I39" s="1001">
        <v>0</v>
      </c>
      <c r="J39" s="999">
        <v>1129.0239999999999</v>
      </c>
      <c r="K39" s="999">
        <v>1262.4843741540999</v>
      </c>
      <c r="L39" s="1001">
        <v>3450000</v>
      </c>
      <c r="M39" s="999">
        <v>31.215530999999999</v>
      </c>
      <c r="N39" s="1001">
        <v>2348000</v>
      </c>
      <c r="O39" s="999">
        <v>21.24465704</v>
      </c>
      <c r="P39" s="999">
        <v>661.35460000000012</v>
      </c>
      <c r="Q39" s="999">
        <v>727.13323364040002</v>
      </c>
      <c r="R39" s="999">
        <v>901.38996399999996</v>
      </c>
      <c r="S39" s="999">
        <v>745.07111599999996</v>
      </c>
      <c r="T39" s="833"/>
      <c r="U39" s="833"/>
      <c r="V39" s="833"/>
      <c r="W39" s="833"/>
      <c r="X39" s="833"/>
      <c r="Y39" s="833"/>
      <c r="AA39" s="973"/>
      <c r="AB39" s="918"/>
      <c r="AC39" s="915"/>
      <c r="AD39" s="919"/>
      <c r="AE39" s="920"/>
      <c r="AM39" s="920"/>
      <c r="AN39" s="973"/>
      <c r="AQ39" s="835"/>
      <c r="AR39" s="835"/>
    </row>
    <row r="40" spans="1:44" s="837" customFormat="1" ht="26.25" customHeight="1" x14ac:dyDescent="0.2">
      <c r="A40" s="974">
        <v>17</v>
      </c>
      <c r="B40" s="978" t="s">
        <v>282</v>
      </c>
      <c r="C40" s="979"/>
      <c r="D40" s="980">
        <v>75.757138743697567</v>
      </c>
      <c r="E40" s="1002">
        <v>75.757138743697567</v>
      </c>
      <c r="F40" s="1002"/>
      <c r="G40" s="1003"/>
      <c r="H40" s="1002"/>
      <c r="I40" s="1003"/>
      <c r="J40" s="1002">
        <v>167.68799999999999</v>
      </c>
      <c r="K40" s="1002">
        <v>188.0463621591</v>
      </c>
      <c r="L40" s="1002"/>
      <c r="M40" s="1002"/>
      <c r="N40" s="1002"/>
      <c r="O40" s="1002"/>
      <c r="P40" s="1002">
        <v>96.348600000000005</v>
      </c>
      <c r="Q40" s="1002">
        <v>106.3826288604</v>
      </c>
      <c r="R40" s="1002">
        <v>136.69016400000001</v>
      </c>
      <c r="S40" s="1002">
        <v>112.844916</v>
      </c>
      <c r="T40" s="833"/>
      <c r="U40" s="833"/>
      <c r="V40" s="833"/>
      <c r="W40" s="833"/>
      <c r="X40" s="833"/>
      <c r="Y40" s="833"/>
      <c r="AA40" s="973"/>
      <c r="AB40" s="918"/>
      <c r="AC40" s="915"/>
      <c r="AD40" s="919"/>
      <c r="AE40" s="920"/>
      <c r="AM40" s="920"/>
      <c r="AN40" s="973"/>
      <c r="AQ40" s="835"/>
      <c r="AR40" s="835"/>
    </row>
    <row r="41" spans="1:44" s="837" customFormat="1" ht="22.5" customHeight="1" x14ac:dyDescent="0.2">
      <c r="A41" s="974">
        <v>18</v>
      </c>
      <c r="B41" s="975" t="s">
        <v>830</v>
      </c>
      <c r="C41" s="976">
        <v>0</v>
      </c>
      <c r="D41" s="977">
        <v>484.36820589054076</v>
      </c>
      <c r="E41" s="1004">
        <v>484.36820589054076</v>
      </c>
      <c r="F41" s="1004"/>
      <c r="G41" s="1005"/>
      <c r="H41" s="1004"/>
      <c r="I41" s="1005"/>
      <c r="J41" s="1004">
        <v>961.3359999999999</v>
      </c>
      <c r="K41" s="1004">
        <v>1074.4380119949999</v>
      </c>
      <c r="L41" s="1004"/>
      <c r="M41" s="1004"/>
      <c r="N41" s="1004"/>
      <c r="O41" s="1004"/>
      <c r="P41" s="1004">
        <v>565.00600000000009</v>
      </c>
      <c r="Q41" s="1004">
        <v>620.75060478</v>
      </c>
      <c r="R41" s="1004">
        <v>764.69979999999998</v>
      </c>
      <c r="S41" s="1004">
        <v>632.22619999999995</v>
      </c>
      <c r="T41" s="833"/>
      <c r="U41" s="833"/>
      <c r="V41" s="833"/>
      <c r="W41" s="833"/>
      <c r="X41" s="833"/>
      <c r="Y41" s="833"/>
    </row>
    <row r="42" spans="1:44" s="837" customFormat="1" ht="24" customHeight="1" x14ac:dyDescent="0.2">
      <c r="A42" s="974">
        <v>19</v>
      </c>
      <c r="B42" s="106" t="s">
        <v>818</v>
      </c>
      <c r="C42" s="985"/>
      <c r="D42" s="986"/>
      <c r="E42" s="986"/>
      <c r="F42" s="985"/>
      <c r="G42" s="985"/>
      <c r="H42" s="985"/>
      <c r="I42" s="985"/>
      <c r="J42" s="985"/>
      <c r="K42" s="1021">
        <v>1.2182257194598054</v>
      </c>
      <c r="L42" s="985"/>
      <c r="M42" s="985"/>
      <c r="N42" s="985"/>
      <c r="O42" s="985"/>
      <c r="P42" s="985"/>
      <c r="Q42" s="987">
        <v>0.28156761164517774</v>
      </c>
      <c r="R42" s="1021">
        <v>0.57875721548249093</v>
      </c>
      <c r="S42" s="1006">
        <v>0.30525949538247077</v>
      </c>
      <c r="T42" s="833"/>
      <c r="U42" s="833"/>
      <c r="V42" s="833"/>
      <c r="W42" s="833"/>
      <c r="X42" s="833"/>
      <c r="Y42" s="833"/>
    </row>
    <row r="43" spans="1:44" s="837" customFormat="1" ht="24" customHeight="1" x14ac:dyDescent="0.2">
      <c r="A43" s="974">
        <v>20</v>
      </c>
      <c r="B43" s="106" t="s">
        <v>819</v>
      </c>
      <c r="C43" s="991"/>
      <c r="D43" s="991"/>
      <c r="E43" s="991"/>
      <c r="F43" s="1150"/>
      <c r="G43" s="1151"/>
      <c r="H43" s="1151"/>
      <c r="I43" s="1151"/>
      <c r="J43" s="1151"/>
      <c r="K43" s="1152"/>
      <c r="L43" s="1147" t="s">
        <v>832</v>
      </c>
      <c r="M43" s="1148"/>
      <c r="N43" s="1148"/>
      <c r="O43" s="1148"/>
      <c r="P43" s="1148"/>
      <c r="Q43" s="1149"/>
      <c r="R43" s="992"/>
      <c r="S43" s="995" t="s">
        <v>833</v>
      </c>
      <c r="X43" s="835"/>
      <c r="Y43" s="835"/>
      <c r="Z43" s="835"/>
      <c r="AF43" s="835"/>
      <c r="AG43" s="835"/>
    </row>
    <row r="44" spans="1:44" x14ac:dyDescent="0.25">
      <c r="A44" s="831"/>
      <c r="B44" s="831"/>
      <c r="C44" s="831"/>
      <c r="D44" s="831"/>
      <c r="E44" s="852"/>
      <c r="F44" s="852"/>
      <c r="G44" s="852"/>
      <c r="H44" s="852"/>
      <c r="I44" s="852"/>
      <c r="J44" s="852"/>
      <c r="K44" s="852"/>
      <c r="L44" s="852"/>
      <c r="M44" s="852"/>
      <c r="N44" s="852"/>
      <c r="O44" s="852"/>
      <c r="P44" s="852"/>
      <c r="Q44" s="852"/>
      <c r="R44" s="831"/>
      <c r="S44" s="831"/>
      <c r="X44" s="831"/>
      <c r="Y44" s="831"/>
      <c r="Z44" s="831"/>
      <c r="AF44" s="831"/>
      <c r="AG44" s="831"/>
    </row>
    <row r="45" spans="1:44" x14ac:dyDescent="0.25">
      <c r="A45" s="911"/>
      <c r="B45" s="912"/>
      <c r="C45" s="913"/>
      <c r="D45" s="864"/>
      <c r="E45" s="910"/>
      <c r="F45" s="910"/>
      <c r="G45" s="910"/>
      <c r="H45" s="910"/>
      <c r="I45" s="910"/>
      <c r="J45" s="910"/>
      <c r="K45" s="910"/>
      <c r="L45" s="910"/>
      <c r="M45" s="910"/>
      <c r="N45" s="910"/>
      <c r="O45" s="910"/>
      <c r="P45" s="910"/>
      <c r="Q45" s="910"/>
      <c r="R45" s="831"/>
      <c r="S45" s="831"/>
      <c r="X45" s="831"/>
      <c r="Y45" s="910"/>
      <c r="Z45" s="831"/>
      <c r="AF45" s="831"/>
      <c r="AG45" s="831"/>
    </row>
    <row r="46" spans="1:44" x14ac:dyDescent="0.25">
      <c r="A46" s="868"/>
      <c r="B46" s="914"/>
      <c r="C46" s="854"/>
      <c r="D46" s="908"/>
      <c r="E46" s="870"/>
      <c r="F46" s="870"/>
      <c r="G46" s="870"/>
      <c r="H46" s="870"/>
      <c r="I46" s="870"/>
      <c r="J46" s="870"/>
      <c r="K46" s="870"/>
      <c r="L46" s="870"/>
      <c r="M46" s="870"/>
      <c r="N46" s="870"/>
      <c r="O46" s="870" t="s">
        <v>834</v>
      </c>
      <c r="P46" s="950">
        <v>396.32999999999981</v>
      </c>
      <c r="Q46" s="870"/>
      <c r="R46" s="951" t="s">
        <v>835</v>
      </c>
      <c r="S46" s="934">
        <v>132.47360000000003</v>
      </c>
      <c r="X46" s="848"/>
      <c r="Y46" s="831"/>
      <c r="Z46" s="831"/>
      <c r="AF46" s="831"/>
      <c r="AG46" s="831"/>
    </row>
    <row r="47" spans="1:44" x14ac:dyDescent="0.25">
      <c r="A47" s="868"/>
      <c r="B47" s="914"/>
      <c r="C47" s="854"/>
      <c r="D47" s="908"/>
      <c r="E47" s="870"/>
      <c r="F47" s="870"/>
      <c r="G47" s="870"/>
      <c r="H47" s="870"/>
      <c r="I47" s="870"/>
      <c r="J47" s="870"/>
      <c r="K47" s="870"/>
      <c r="L47" s="870"/>
      <c r="M47" s="870"/>
      <c r="N47" s="870"/>
      <c r="O47" s="870" t="s">
        <v>831</v>
      </c>
      <c r="P47" s="908">
        <v>5902000</v>
      </c>
      <c r="Q47" s="870"/>
      <c r="R47" s="910"/>
      <c r="S47" s="831"/>
      <c r="X47" s="848"/>
      <c r="Y47" s="831"/>
      <c r="Z47" s="831"/>
      <c r="AF47" s="831"/>
      <c r="AG47" s="831"/>
    </row>
    <row r="48" spans="1:44" x14ac:dyDescent="0.25">
      <c r="A48" s="868"/>
      <c r="B48" s="914"/>
      <c r="C48" s="854"/>
      <c r="D48" s="908"/>
      <c r="E48" s="870"/>
      <c r="F48" s="870"/>
      <c r="G48" s="870"/>
      <c r="H48" s="870"/>
      <c r="I48" s="870"/>
      <c r="J48" s="870"/>
      <c r="K48" s="870"/>
      <c r="L48" s="870"/>
      <c r="M48" s="870"/>
      <c r="N48" s="870"/>
      <c r="O48" s="870"/>
      <c r="P48" s="870"/>
      <c r="Q48" s="870"/>
      <c r="R48" s="910"/>
      <c r="S48" s="831"/>
      <c r="X48" s="848"/>
      <c r="Y48" s="831"/>
      <c r="Z48" s="831"/>
      <c r="AF48" s="831"/>
      <c r="AG48" s="831"/>
    </row>
    <row r="49" spans="1:33" x14ac:dyDescent="0.25">
      <c r="A49" s="868"/>
      <c r="B49" s="914"/>
      <c r="C49" s="854"/>
      <c r="D49" s="908"/>
      <c r="E49" s="870"/>
      <c r="F49" s="870"/>
      <c r="G49" s="870"/>
      <c r="H49" s="870"/>
      <c r="I49" s="870"/>
      <c r="J49" s="870"/>
      <c r="K49" s="870"/>
      <c r="L49" s="870"/>
      <c r="M49" s="870"/>
      <c r="N49" s="870"/>
      <c r="O49" s="870"/>
      <c r="P49" s="870"/>
      <c r="Q49" s="870"/>
      <c r="R49" s="910"/>
      <c r="S49" s="831"/>
      <c r="X49" s="848"/>
      <c r="Y49" s="831"/>
      <c r="Z49" s="831"/>
      <c r="AF49" s="831"/>
      <c r="AG49" s="831"/>
    </row>
    <row r="50" spans="1:33" x14ac:dyDescent="0.25">
      <c r="A50" s="892"/>
      <c r="B50" s="916"/>
      <c r="C50" s="852"/>
      <c r="D50" s="894"/>
      <c r="E50" s="853"/>
      <c r="F50" s="853"/>
      <c r="G50" s="853"/>
      <c r="H50" s="853"/>
      <c r="I50" s="853"/>
      <c r="J50" s="853"/>
      <c r="K50" s="853"/>
      <c r="L50" s="853"/>
      <c r="M50" s="853"/>
      <c r="N50" s="853"/>
      <c r="O50" s="853"/>
      <c r="P50" s="853"/>
      <c r="Q50" s="853"/>
      <c r="R50" s="910"/>
      <c r="S50" s="831"/>
      <c r="X50" s="848"/>
      <c r="Y50" s="831"/>
      <c r="Z50" s="831"/>
      <c r="AF50" s="831"/>
      <c r="AG50" s="831"/>
    </row>
    <row r="51" spans="1:33" x14ac:dyDescent="0.25">
      <c r="A51" s="831"/>
      <c r="B51" s="898"/>
      <c r="C51" s="854"/>
      <c r="D51" s="870"/>
      <c r="E51" s="870"/>
      <c r="F51" s="870"/>
      <c r="G51" s="870"/>
      <c r="H51" s="870"/>
      <c r="I51" s="870"/>
      <c r="J51" s="870"/>
      <c r="K51" s="870"/>
      <c r="L51" s="870"/>
      <c r="M51" s="870"/>
      <c r="N51" s="870"/>
      <c r="O51" s="870"/>
      <c r="P51" s="870"/>
      <c r="Q51" s="870"/>
      <c r="R51" s="831"/>
      <c r="S51" s="831"/>
      <c r="X51" s="831"/>
      <c r="Y51" s="831"/>
      <c r="Z51" s="831"/>
      <c r="AF51" s="831"/>
      <c r="AG51" s="831"/>
    </row>
    <row r="52" spans="1:33" x14ac:dyDescent="0.25">
      <c r="A52" s="864"/>
      <c r="B52" s="899"/>
      <c r="C52" s="854"/>
      <c r="D52" s="870"/>
      <c r="E52" s="870"/>
      <c r="F52" s="870"/>
      <c r="G52" s="870"/>
      <c r="H52" s="870"/>
      <c r="I52" s="870"/>
      <c r="J52" s="870"/>
      <c r="K52" s="870"/>
      <c r="L52" s="870"/>
      <c r="M52" s="870"/>
      <c r="N52" s="870"/>
      <c r="O52" s="870"/>
      <c r="P52" s="870"/>
      <c r="Q52" s="870"/>
      <c r="R52" s="831"/>
      <c r="S52" s="831"/>
      <c r="X52" s="831"/>
      <c r="Y52" s="831"/>
      <c r="Z52" s="831"/>
      <c r="AF52" s="831"/>
      <c r="AG52" s="831"/>
    </row>
    <row r="53" spans="1:33" x14ac:dyDescent="0.25">
      <c r="A53" s="864"/>
      <c r="B53" s="899"/>
      <c r="C53" s="854"/>
      <c r="D53" s="870"/>
      <c r="E53" s="870"/>
      <c r="F53" s="870"/>
      <c r="G53" s="870"/>
      <c r="H53" s="870"/>
      <c r="I53" s="870"/>
      <c r="J53" s="870"/>
      <c r="K53" s="870"/>
      <c r="L53" s="870"/>
      <c r="M53" s="870"/>
      <c r="N53" s="870"/>
      <c r="O53" s="870"/>
      <c r="P53" s="870"/>
      <c r="Q53" s="870"/>
      <c r="R53" s="831"/>
      <c r="S53" s="831"/>
      <c r="X53" s="831"/>
      <c r="Y53" s="831"/>
      <c r="Z53" s="831"/>
      <c r="AF53" s="831"/>
      <c r="AG53" s="831"/>
    </row>
    <row r="54" spans="1:33" x14ac:dyDescent="0.25">
      <c r="A54" s="831"/>
      <c r="B54" s="852"/>
      <c r="C54" s="852"/>
      <c r="D54" s="901"/>
      <c r="E54" s="901"/>
      <c r="F54" s="901"/>
      <c r="G54" s="901"/>
      <c r="H54" s="901"/>
      <c r="I54" s="901"/>
      <c r="J54" s="901"/>
      <c r="K54" s="901"/>
      <c r="L54" s="901"/>
      <c r="M54" s="901"/>
      <c r="N54" s="901"/>
      <c r="O54" s="901"/>
      <c r="P54" s="901"/>
      <c r="Q54" s="901"/>
      <c r="R54" s="831"/>
      <c r="S54" s="831"/>
      <c r="X54" s="831"/>
      <c r="Y54" s="831"/>
      <c r="Z54" s="831"/>
      <c r="AF54" s="831"/>
      <c r="AG54" s="831"/>
    </row>
    <row r="55" spans="1:33" x14ac:dyDescent="0.25">
      <c r="A55" s="831"/>
      <c r="B55" s="901"/>
      <c r="C55" s="854"/>
      <c r="D55" s="870"/>
      <c r="E55" s="870"/>
      <c r="F55" s="870"/>
      <c r="G55" s="870"/>
      <c r="H55" s="870"/>
      <c r="I55" s="870"/>
      <c r="J55" s="870"/>
      <c r="K55" s="870"/>
      <c r="L55" s="870"/>
      <c r="M55" s="870"/>
      <c r="N55" s="870"/>
      <c r="O55" s="870"/>
      <c r="P55" s="870"/>
      <c r="Q55" s="870"/>
      <c r="R55" s="831"/>
      <c r="S55" s="831"/>
      <c r="X55" s="831"/>
      <c r="Y55" s="831"/>
      <c r="Z55" s="831"/>
      <c r="AF55" s="831"/>
      <c r="AG55" s="831"/>
    </row>
    <row r="56" spans="1:33" x14ac:dyDescent="0.25">
      <c r="A56" s="859"/>
      <c r="B56" s="873"/>
      <c r="C56" s="846"/>
      <c r="D56" s="874"/>
      <c r="E56" s="847"/>
      <c r="F56" s="847"/>
      <c r="G56" s="847"/>
      <c r="H56" s="847"/>
      <c r="I56" s="847"/>
      <c r="J56" s="847"/>
      <c r="K56" s="847"/>
      <c r="L56" s="847"/>
      <c r="M56" s="847"/>
      <c r="N56" s="847"/>
      <c r="O56" s="847"/>
      <c r="P56" s="847"/>
      <c r="Q56" s="847"/>
      <c r="R56" s="873"/>
      <c r="S56" s="846"/>
      <c r="T56" s="874"/>
      <c r="U56" s="874"/>
      <c r="V56" s="874"/>
      <c r="W56" s="874"/>
      <c r="X56" s="875"/>
      <c r="Z56" s="856"/>
      <c r="AF56" s="843"/>
      <c r="AG56" s="831"/>
    </row>
    <row r="57" spans="1:33" x14ac:dyDescent="0.25">
      <c r="A57" s="892"/>
      <c r="B57" s="893"/>
      <c r="C57" s="852"/>
      <c r="D57" s="894"/>
      <c r="E57" s="853"/>
      <c r="F57" s="853"/>
      <c r="G57" s="853"/>
      <c r="H57" s="853"/>
      <c r="I57" s="853"/>
      <c r="J57" s="853"/>
      <c r="K57" s="853"/>
      <c r="L57" s="853"/>
      <c r="M57" s="853"/>
      <c r="N57" s="853"/>
      <c r="O57" s="853"/>
      <c r="P57" s="853"/>
      <c r="Q57" s="853"/>
      <c r="R57" s="917"/>
      <c r="S57" s="846"/>
      <c r="T57" s="874"/>
      <c r="U57" s="874"/>
      <c r="V57" s="874"/>
      <c r="W57" s="874"/>
      <c r="X57" s="875"/>
      <c r="AF57" s="853"/>
      <c r="AG57" s="831"/>
    </row>
    <row r="58" spans="1:33" x14ac:dyDescent="0.25">
      <c r="A58" s="831"/>
      <c r="B58" s="898"/>
      <c r="C58" s="854"/>
      <c r="D58" s="870"/>
      <c r="E58" s="870"/>
      <c r="F58" s="870"/>
      <c r="G58" s="870"/>
      <c r="H58" s="870"/>
      <c r="I58" s="870"/>
      <c r="J58" s="870"/>
      <c r="K58" s="870"/>
      <c r="L58" s="870"/>
      <c r="M58" s="870"/>
      <c r="N58" s="870"/>
      <c r="O58" s="870"/>
      <c r="P58" s="870"/>
      <c r="Q58" s="870"/>
      <c r="R58" s="893"/>
      <c r="S58" s="852"/>
      <c r="T58" s="894"/>
      <c r="U58" s="894"/>
      <c r="V58" s="894"/>
      <c r="W58" s="894"/>
      <c r="X58" s="853"/>
      <c r="AF58" s="831"/>
      <c r="AG58" s="831"/>
    </row>
    <row r="59" spans="1:33" x14ac:dyDescent="0.25">
      <c r="A59" s="864"/>
      <c r="B59" s="899"/>
      <c r="C59" s="854"/>
      <c r="D59" s="870"/>
      <c r="E59" s="870"/>
      <c r="F59" s="870"/>
      <c r="G59" s="870"/>
      <c r="H59" s="870"/>
      <c r="I59" s="870"/>
      <c r="J59" s="870"/>
      <c r="K59" s="870"/>
      <c r="L59" s="870"/>
      <c r="M59" s="870"/>
      <c r="N59" s="870"/>
      <c r="O59" s="870"/>
      <c r="P59" s="870"/>
      <c r="Q59" s="870"/>
      <c r="R59" s="898"/>
      <c r="S59" s="854"/>
      <c r="T59" s="870"/>
      <c r="U59" s="870"/>
      <c r="V59" s="870"/>
      <c r="W59" s="870"/>
      <c r="X59" s="831"/>
      <c r="AF59" s="831"/>
      <c r="AG59" s="831"/>
    </row>
    <row r="60" spans="1:33" x14ac:dyDescent="0.25">
      <c r="A60" s="864"/>
      <c r="B60" s="899"/>
      <c r="C60" s="854"/>
      <c r="D60" s="870"/>
      <c r="E60" s="870"/>
      <c r="F60" s="870"/>
      <c r="G60" s="870"/>
      <c r="H60" s="870"/>
      <c r="I60" s="870"/>
      <c r="J60" s="870"/>
      <c r="K60" s="870"/>
      <c r="L60" s="870"/>
      <c r="M60" s="870"/>
      <c r="N60" s="870"/>
      <c r="O60" s="870"/>
      <c r="P60" s="870"/>
      <c r="Q60" s="870"/>
      <c r="R60" s="899"/>
      <c r="S60" s="854"/>
      <c r="T60" s="870"/>
      <c r="U60" s="870"/>
      <c r="V60" s="870"/>
      <c r="W60" s="870"/>
      <c r="X60" s="831"/>
      <c r="AF60" s="831"/>
      <c r="AG60" s="831"/>
    </row>
    <row r="61" spans="1:33" x14ac:dyDescent="0.25">
      <c r="A61" s="831"/>
      <c r="B61" s="898"/>
      <c r="C61" s="852"/>
      <c r="D61" s="901"/>
      <c r="E61" s="901"/>
      <c r="F61" s="901"/>
      <c r="G61" s="901"/>
      <c r="H61" s="901"/>
      <c r="I61" s="901"/>
      <c r="J61" s="901"/>
      <c r="K61" s="901"/>
      <c r="L61" s="901"/>
      <c r="M61" s="901"/>
      <c r="N61" s="901"/>
      <c r="O61" s="901"/>
      <c r="P61" s="901"/>
      <c r="Q61" s="901"/>
      <c r="R61" s="899"/>
      <c r="S61" s="854"/>
      <c r="T61" s="870"/>
      <c r="U61" s="870"/>
      <c r="V61" s="870"/>
      <c r="W61" s="870"/>
      <c r="X61" s="831"/>
      <c r="AF61" s="831"/>
      <c r="AG61" s="831"/>
    </row>
    <row r="62" spans="1:33" x14ac:dyDescent="0.25">
      <c r="A62" s="831"/>
      <c r="B62" s="901"/>
      <c r="C62" s="854"/>
      <c r="D62" s="870"/>
      <c r="E62" s="870"/>
      <c r="F62" s="870"/>
      <c r="G62" s="870"/>
      <c r="H62" s="870"/>
      <c r="I62" s="870"/>
      <c r="J62" s="870"/>
      <c r="K62" s="870"/>
      <c r="L62" s="870"/>
      <c r="M62" s="870"/>
      <c r="N62" s="870"/>
      <c r="O62" s="870"/>
      <c r="P62" s="870"/>
      <c r="Q62" s="870"/>
      <c r="R62" s="898"/>
      <c r="S62" s="852"/>
      <c r="T62" s="901"/>
      <c r="U62" s="901"/>
      <c r="V62" s="901"/>
      <c r="W62" s="901"/>
      <c r="X62" s="902"/>
      <c r="AF62" s="902"/>
      <c r="AG62" s="831"/>
    </row>
    <row r="63" spans="1:33" x14ac:dyDescent="0.25">
      <c r="A63" s="853"/>
      <c r="B63" s="905"/>
      <c r="C63" s="854"/>
      <c r="D63" s="854"/>
      <c r="E63" s="854"/>
      <c r="F63" s="854"/>
      <c r="G63" s="854"/>
      <c r="H63" s="854"/>
      <c r="I63" s="854"/>
      <c r="J63" s="854"/>
      <c r="K63" s="854"/>
      <c r="L63" s="854"/>
      <c r="M63" s="854"/>
      <c r="N63" s="854"/>
      <c r="O63" s="854"/>
      <c r="P63" s="854"/>
      <c r="Q63" s="854"/>
      <c r="R63" s="901"/>
      <c r="S63" s="854"/>
      <c r="T63" s="870"/>
      <c r="U63" s="870"/>
      <c r="V63" s="870"/>
      <c r="W63" s="870"/>
      <c r="X63" s="902"/>
      <c r="AF63" s="831"/>
      <c r="AG63" s="831"/>
    </row>
    <row r="64" spans="1:33" x14ac:dyDescent="0.25">
      <c r="A64" s="853"/>
      <c r="B64" s="906"/>
      <c r="C64" s="907"/>
      <c r="D64" s="907"/>
      <c r="E64" s="907"/>
      <c r="F64" s="907"/>
      <c r="G64" s="907"/>
      <c r="H64" s="907"/>
      <c r="I64" s="907"/>
      <c r="J64" s="907"/>
      <c r="K64" s="907"/>
      <c r="L64" s="907"/>
      <c r="M64" s="907"/>
      <c r="N64" s="907"/>
      <c r="O64" s="907"/>
      <c r="P64" s="907"/>
      <c r="Q64" s="907"/>
      <c r="R64" s="905"/>
      <c r="S64" s="854"/>
      <c r="T64" s="854"/>
      <c r="U64" s="854"/>
      <c r="V64" s="854"/>
      <c r="W64" s="854"/>
      <c r="X64" s="870"/>
      <c r="Y64" s="831"/>
      <c r="Z64" s="831"/>
      <c r="AF64" s="831"/>
      <c r="AG64" s="831"/>
    </row>
    <row r="65" spans="1:33" x14ac:dyDescent="0.25">
      <c r="A65" s="853"/>
      <c r="B65" s="918"/>
      <c r="C65" s="915"/>
      <c r="D65" s="919"/>
      <c r="E65" s="920"/>
      <c r="F65" s="920"/>
      <c r="G65" s="920"/>
      <c r="H65" s="920"/>
      <c r="I65" s="920"/>
      <c r="J65" s="920"/>
      <c r="K65" s="920"/>
      <c r="L65" s="920"/>
      <c r="M65" s="920"/>
      <c r="N65" s="920"/>
      <c r="O65" s="920"/>
      <c r="P65" s="920"/>
      <c r="Q65" s="920"/>
      <c r="R65" s="906"/>
      <c r="S65" s="907"/>
      <c r="T65" s="921"/>
      <c r="U65" s="921"/>
      <c r="V65" s="921"/>
      <c r="W65" s="921"/>
      <c r="X65" s="875"/>
      <c r="Y65" s="831"/>
      <c r="Z65" s="831"/>
      <c r="AF65" s="831"/>
      <c r="AG65" s="831"/>
    </row>
    <row r="66" spans="1:33" x14ac:dyDescent="0.25">
      <c r="A66" s="853"/>
      <c r="B66" s="905"/>
      <c r="C66" s="854"/>
      <c r="D66" s="908"/>
      <c r="E66" s="870"/>
      <c r="F66" s="870"/>
      <c r="G66" s="870"/>
      <c r="H66" s="870"/>
      <c r="I66" s="870"/>
      <c r="J66" s="870"/>
      <c r="K66" s="870"/>
      <c r="L66" s="870"/>
      <c r="M66" s="870"/>
      <c r="N66" s="870"/>
      <c r="O66" s="870"/>
      <c r="P66" s="870"/>
      <c r="Q66" s="870"/>
      <c r="R66" s="906"/>
      <c r="S66" s="915"/>
      <c r="T66" s="922"/>
      <c r="U66" s="922"/>
      <c r="V66" s="922"/>
      <c r="W66" s="922"/>
      <c r="X66" s="875"/>
      <c r="Y66" s="831"/>
      <c r="Z66" s="831"/>
      <c r="AF66" s="831"/>
      <c r="AG66" s="831"/>
    </row>
    <row r="67" spans="1:33" x14ac:dyDescent="0.25">
      <c r="A67" s="853"/>
      <c r="B67" s="905"/>
      <c r="C67" s="854"/>
      <c r="D67" s="870"/>
      <c r="E67" s="870"/>
      <c r="F67" s="870"/>
      <c r="G67" s="870"/>
      <c r="H67" s="870"/>
      <c r="I67" s="870"/>
      <c r="J67" s="870"/>
      <c r="K67" s="870"/>
      <c r="L67" s="870"/>
      <c r="M67" s="870"/>
      <c r="N67" s="870"/>
      <c r="O67" s="870"/>
      <c r="P67" s="870"/>
      <c r="Q67" s="870"/>
      <c r="R67" s="923"/>
      <c r="S67" s="924"/>
      <c r="T67" s="925"/>
      <c r="U67" s="925"/>
      <c r="V67" s="925"/>
      <c r="W67" s="925"/>
      <c r="X67" s="915"/>
      <c r="Y67" s="926"/>
      <c r="Z67" s="831"/>
      <c r="AF67" s="831"/>
      <c r="AG67" s="831"/>
    </row>
    <row r="68" spans="1:33" x14ac:dyDescent="0.25">
      <c r="A68" s="853"/>
      <c r="B68" s="853"/>
      <c r="C68" s="852"/>
      <c r="D68" s="852"/>
      <c r="E68" s="852"/>
      <c r="F68" s="852"/>
      <c r="G68" s="852"/>
      <c r="H68" s="852"/>
      <c r="I68" s="852"/>
      <c r="J68" s="852"/>
      <c r="K68" s="852"/>
      <c r="L68" s="852"/>
      <c r="M68" s="852"/>
      <c r="N68" s="852"/>
      <c r="O68" s="852"/>
      <c r="P68" s="852"/>
      <c r="Q68" s="852"/>
      <c r="R68" s="831"/>
      <c r="S68" s="831"/>
      <c r="X68" s="831"/>
      <c r="Y68" s="831"/>
      <c r="Z68" s="831"/>
      <c r="AF68" s="831"/>
      <c r="AG68" s="831"/>
    </row>
    <row r="69" spans="1:33" x14ac:dyDescent="0.25">
      <c r="A69" s="853"/>
      <c r="B69" s="853"/>
      <c r="C69" s="852"/>
      <c r="D69" s="852"/>
      <c r="E69" s="852"/>
      <c r="F69" s="852"/>
      <c r="G69" s="852"/>
      <c r="H69" s="852"/>
      <c r="I69" s="852"/>
      <c r="J69" s="852"/>
      <c r="K69" s="852"/>
      <c r="L69" s="852"/>
      <c r="M69" s="852"/>
      <c r="N69" s="852"/>
      <c r="O69" s="852"/>
      <c r="P69" s="852"/>
      <c r="Q69" s="852"/>
      <c r="R69" s="831"/>
      <c r="S69" s="831"/>
      <c r="X69" s="831"/>
      <c r="Y69" s="831"/>
      <c r="Z69" s="831"/>
      <c r="AF69" s="831"/>
      <c r="AG69" s="831"/>
    </row>
    <row r="70" spans="1:33" x14ac:dyDescent="0.25">
      <c r="A70" s="853"/>
      <c r="B70" s="853"/>
      <c r="C70" s="852"/>
      <c r="D70" s="852"/>
      <c r="E70" s="852"/>
      <c r="F70" s="852"/>
      <c r="G70" s="852"/>
      <c r="H70" s="852"/>
      <c r="I70" s="852"/>
      <c r="J70" s="852"/>
      <c r="K70" s="852"/>
      <c r="L70" s="852"/>
      <c r="M70" s="852"/>
      <c r="N70" s="852"/>
      <c r="O70" s="852"/>
      <c r="P70" s="852"/>
      <c r="Q70" s="852"/>
      <c r="R70" s="831"/>
      <c r="S70" s="831"/>
      <c r="X70" s="831"/>
      <c r="Y70" s="831"/>
      <c r="Z70" s="831"/>
      <c r="AF70" s="831"/>
      <c r="AG70" s="831"/>
    </row>
    <row r="71" spans="1:33" x14ac:dyDescent="0.25">
      <c r="A71" s="853"/>
      <c r="B71" s="853"/>
      <c r="C71" s="852"/>
      <c r="D71" s="852"/>
      <c r="E71" s="852"/>
      <c r="F71" s="852"/>
      <c r="G71" s="852"/>
      <c r="H71" s="852"/>
      <c r="I71" s="852"/>
      <c r="J71" s="852"/>
      <c r="K71" s="852"/>
      <c r="L71" s="852"/>
      <c r="M71" s="852"/>
      <c r="N71" s="852"/>
      <c r="O71" s="852"/>
      <c r="P71" s="852"/>
      <c r="Q71" s="852"/>
      <c r="R71" s="831"/>
      <c r="S71" s="831"/>
      <c r="X71" s="831"/>
      <c r="Y71" s="831"/>
      <c r="Z71" s="831"/>
      <c r="AF71" s="831"/>
      <c r="AG71" s="831"/>
    </row>
    <row r="72" spans="1:33" x14ac:dyDescent="0.25">
      <c r="A72" s="853"/>
      <c r="B72" s="853"/>
      <c r="C72" s="852"/>
      <c r="D72" s="852"/>
      <c r="E72" s="852"/>
      <c r="F72" s="852"/>
      <c r="G72" s="852"/>
      <c r="H72" s="852"/>
      <c r="I72" s="852"/>
      <c r="J72" s="852"/>
      <c r="K72" s="852"/>
      <c r="L72" s="852"/>
      <c r="M72" s="852"/>
      <c r="N72" s="852"/>
      <c r="O72" s="852"/>
      <c r="P72" s="852"/>
      <c r="Q72" s="852"/>
      <c r="R72" s="831"/>
      <c r="S72" s="831"/>
      <c r="T72" s="831"/>
      <c r="U72" s="831"/>
      <c r="V72" s="831"/>
      <c r="W72" s="831"/>
      <c r="X72" s="831"/>
      <c r="Y72" s="831"/>
      <c r="Z72" s="831"/>
      <c r="AF72" s="831"/>
      <c r="AG72" s="831"/>
    </row>
    <row r="73" spans="1:33" x14ac:dyDescent="0.25">
      <c r="A73" s="853"/>
      <c r="B73" s="853"/>
      <c r="C73" s="852"/>
      <c r="D73" s="852"/>
      <c r="E73" s="852"/>
      <c r="F73" s="852"/>
      <c r="G73" s="852"/>
      <c r="H73" s="852"/>
      <c r="I73" s="852"/>
      <c r="J73" s="852"/>
      <c r="K73" s="852"/>
      <c r="L73" s="852"/>
      <c r="M73" s="852"/>
      <c r="N73" s="852"/>
      <c r="O73" s="852"/>
      <c r="P73" s="852"/>
      <c r="Q73" s="852"/>
      <c r="R73" s="831"/>
      <c r="S73" s="831"/>
      <c r="T73" s="831"/>
      <c r="U73" s="831"/>
      <c r="V73" s="831"/>
      <c r="W73" s="831"/>
      <c r="X73" s="831"/>
      <c r="Y73" s="831"/>
      <c r="Z73" s="831"/>
      <c r="AF73" s="831"/>
      <c r="AG73" s="831"/>
    </row>
    <row r="74" spans="1:33" x14ac:dyDescent="0.25">
      <c r="A74" s="831"/>
      <c r="B74" s="831"/>
      <c r="C74" s="910"/>
      <c r="D74" s="848"/>
      <c r="E74" s="831"/>
      <c r="F74" s="831"/>
      <c r="G74" s="831"/>
      <c r="H74" s="831"/>
      <c r="I74" s="831"/>
      <c r="J74" s="831"/>
      <c r="K74" s="831"/>
      <c r="L74" s="831"/>
      <c r="M74" s="831"/>
      <c r="N74" s="831"/>
      <c r="O74" s="831"/>
      <c r="P74" s="831"/>
      <c r="Q74" s="831"/>
      <c r="R74" s="831"/>
      <c r="S74" s="831"/>
      <c r="T74" s="831"/>
      <c r="U74" s="831"/>
      <c r="V74" s="831"/>
      <c r="W74" s="831"/>
      <c r="X74" s="831"/>
      <c r="Y74" s="831"/>
      <c r="Z74" s="831"/>
      <c r="AF74" s="831"/>
      <c r="AG74" s="831"/>
    </row>
    <row r="75" spans="1:33" x14ac:dyDescent="0.25">
      <c r="A75" s="892"/>
      <c r="B75" s="831"/>
      <c r="R75" s="831"/>
      <c r="S75" s="831"/>
      <c r="T75" s="831"/>
      <c r="U75" s="831"/>
      <c r="V75" s="831"/>
      <c r="W75" s="831"/>
      <c r="X75" s="831"/>
      <c r="Y75" s="831"/>
      <c r="Z75" s="831"/>
      <c r="AF75" s="831"/>
      <c r="AG75" s="831"/>
    </row>
    <row r="76" spans="1:33" x14ac:dyDescent="0.25">
      <c r="A76" s="911"/>
      <c r="B76" s="914"/>
      <c r="C76" s="927"/>
      <c r="D76" s="905"/>
      <c r="E76" s="905"/>
      <c r="F76" s="905"/>
      <c r="G76" s="905"/>
      <c r="H76" s="905"/>
      <c r="I76" s="905"/>
      <c r="J76" s="905"/>
      <c r="K76" s="905"/>
      <c r="L76" s="905"/>
      <c r="M76" s="905"/>
      <c r="N76" s="905"/>
      <c r="O76" s="905"/>
      <c r="P76" s="905"/>
      <c r="Q76" s="905"/>
      <c r="R76" s="831"/>
      <c r="S76" s="831"/>
      <c r="T76" s="831"/>
      <c r="U76" s="831"/>
      <c r="V76" s="831"/>
      <c r="W76" s="831"/>
      <c r="X76" s="831"/>
      <c r="Y76" s="831"/>
      <c r="Z76" s="831"/>
      <c r="AF76" s="831"/>
      <c r="AG76" s="831"/>
    </row>
    <row r="77" spans="1:33" x14ac:dyDescent="0.25">
      <c r="A77" s="928"/>
      <c r="B77" s="914"/>
      <c r="C77" s="854"/>
      <c r="D77" s="905"/>
      <c r="E77" s="905"/>
      <c r="F77" s="905"/>
      <c r="G77" s="905"/>
      <c r="H77" s="905"/>
      <c r="I77" s="905"/>
      <c r="J77" s="905"/>
      <c r="K77" s="905"/>
      <c r="L77" s="905"/>
      <c r="M77" s="905"/>
      <c r="N77" s="905"/>
      <c r="O77" s="905"/>
      <c r="P77" s="905"/>
      <c r="Q77" s="905"/>
      <c r="T77" s="831"/>
      <c r="U77" s="831"/>
      <c r="V77" s="831"/>
      <c r="W77" s="831"/>
      <c r="X77" s="831"/>
      <c r="Y77" s="831"/>
      <c r="Z77" s="831"/>
      <c r="AF77" s="831"/>
      <c r="AG77" s="831"/>
    </row>
    <row r="78" spans="1:33" x14ac:dyDescent="0.25">
      <c r="A78" s="831"/>
      <c r="B78" s="929"/>
      <c r="C78" s="854"/>
      <c r="D78" s="870"/>
      <c r="E78" s="870"/>
      <c r="F78" s="870"/>
      <c r="G78" s="870"/>
      <c r="H78" s="870"/>
      <c r="I78" s="870"/>
      <c r="J78" s="870"/>
      <c r="K78" s="870"/>
      <c r="L78" s="870"/>
      <c r="M78" s="870"/>
      <c r="N78" s="870"/>
      <c r="O78" s="870"/>
      <c r="P78" s="870"/>
      <c r="Q78" s="870"/>
    </row>
    <row r="79" spans="1:33" x14ac:dyDescent="0.25">
      <c r="A79" s="928"/>
      <c r="B79" s="914"/>
      <c r="C79" s="854"/>
      <c r="D79" s="908"/>
      <c r="E79" s="908"/>
      <c r="F79" s="908"/>
      <c r="G79" s="908"/>
      <c r="H79" s="908"/>
      <c r="I79" s="908"/>
      <c r="J79" s="908"/>
      <c r="K79" s="908"/>
      <c r="L79" s="908"/>
      <c r="M79" s="908"/>
      <c r="N79" s="908"/>
      <c r="O79" s="908"/>
      <c r="P79" s="908"/>
      <c r="Q79" s="908"/>
    </row>
    <row r="80" spans="1:33" x14ac:dyDescent="0.25">
      <c r="A80" s="831"/>
      <c r="B80" s="914"/>
      <c r="C80" s="854"/>
      <c r="D80" s="908"/>
      <c r="E80" s="908"/>
      <c r="F80" s="908"/>
      <c r="G80" s="908"/>
      <c r="H80" s="908"/>
      <c r="I80" s="908"/>
      <c r="J80" s="908"/>
      <c r="K80" s="908"/>
      <c r="L80" s="908"/>
      <c r="M80" s="908"/>
      <c r="N80" s="908"/>
      <c r="O80" s="908"/>
      <c r="P80" s="908"/>
      <c r="Q80" s="908"/>
    </row>
    <row r="81" spans="1:19" x14ac:dyDescent="0.25">
      <c r="A81" s="831"/>
      <c r="B81" s="914"/>
      <c r="C81" s="854"/>
      <c r="D81" s="908"/>
      <c r="E81" s="908"/>
      <c r="F81" s="908"/>
      <c r="G81" s="908"/>
      <c r="H81" s="908"/>
      <c r="I81" s="908"/>
      <c r="J81" s="908"/>
      <c r="K81" s="908"/>
      <c r="L81" s="908"/>
      <c r="M81" s="908"/>
      <c r="N81" s="908"/>
      <c r="O81" s="908"/>
      <c r="P81" s="908"/>
      <c r="Q81" s="908"/>
    </row>
    <row r="82" spans="1:19" x14ac:dyDescent="0.25">
      <c r="A82" s="831"/>
      <c r="B82" s="905"/>
      <c r="C82" s="913"/>
      <c r="D82" s="832"/>
      <c r="E82" s="832"/>
      <c r="F82" s="832"/>
      <c r="G82" s="832"/>
      <c r="H82" s="832"/>
      <c r="I82" s="832"/>
      <c r="J82" s="832"/>
      <c r="K82" s="832"/>
      <c r="L82" s="832"/>
      <c r="M82" s="832"/>
      <c r="N82" s="832"/>
      <c r="O82" s="832"/>
      <c r="P82" s="832"/>
      <c r="Q82" s="832"/>
    </row>
    <row r="83" spans="1:19" x14ac:dyDescent="0.25">
      <c r="A83" s="928"/>
      <c r="B83" s="914"/>
      <c r="C83" s="854"/>
      <c r="D83" s="908"/>
      <c r="E83" s="908"/>
      <c r="F83" s="908"/>
      <c r="G83" s="908"/>
      <c r="H83" s="908"/>
      <c r="I83" s="908"/>
      <c r="J83" s="908"/>
      <c r="K83" s="908"/>
      <c r="L83" s="908"/>
      <c r="M83" s="908"/>
      <c r="N83" s="908"/>
      <c r="O83" s="908"/>
      <c r="P83" s="908"/>
      <c r="Q83" s="908"/>
    </row>
    <row r="84" spans="1:19" x14ac:dyDescent="0.25">
      <c r="A84" s="928"/>
      <c r="B84" s="914"/>
      <c r="D84" s="832"/>
      <c r="E84" s="908"/>
      <c r="F84" s="908"/>
      <c r="G84" s="908"/>
      <c r="H84" s="908"/>
      <c r="I84" s="908"/>
      <c r="J84" s="908"/>
      <c r="K84" s="908"/>
      <c r="L84" s="908"/>
      <c r="M84" s="908"/>
      <c r="N84" s="908"/>
      <c r="O84" s="908"/>
      <c r="P84" s="908"/>
      <c r="Q84" s="908"/>
    </row>
    <row r="85" spans="1:19" x14ac:dyDescent="0.25">
      <c r="A85" s="928"/>
      <c r="B85" s="914"/>
      <c r="C85" s="854"/>
      <c r="D85" s="908"/>
      <c r="E85" s="908"/>
      <c r="F85" s="908"/>
      <c r="G85" s="908"/>
      <c r="H85" s="908"/>
      <c r="I85" s="908"/>
      <c r="J85" s="908"/>
      <c r="K85" s="908"/>
      <c r="L85" s="908"/>
      <c r="M85" s="908"/>
      <c r="N85" s="908"/>
      <c r="O85" s="908"/>
      <c r="P85" s="908"/>
      <c r="Q85" s="908"/>
    </row>
    <row r="86" spans="1:19" x14ac:dyDescent="0.25">
      <c r="A86" s="928"/>
      <c r="B86" s="843"/>
      <c r="C86" s="847"/>
      <c r="D86" s="847"/>
      <c r="E86" s="831"/>
      <c r="F86" s="831"/>
      <c r="G86" s="831"/>
      <c r="H86" s="831"/>
      <c r="I86" s="831"/>
      <c r="J86" s="831"/>
      <c r="K86" s="831"/>
      <c r="L86" s="831"/>
      <c r="M86" s="831"/>
      <c r="N86" s="831"/>
      <c r="O86" s="831"/>
      <c r="P86" s="831"/>
      <c r="Q86" s="831"/>
    </row>
    <row r="87" spans="1:19" x14ac:dyDescent="0.25">
      <c r="A87" s="928"/>
      <c r="B87" s="831"/>
      <c r="C87" s="910"/>
      <c r="D87" s="910"/>
      <c r="E87" s="831"/>
      <c r="F87" s="831"/>
      <c r="G87" s="831"/>
      <c r="H87" s="831"/>
      <c r="I87" s="831"/>
      <c r="J87" s="831"/>
      <c r="K87" s="831"/>
      <c r="L87" s="831"/>
      <c r="M87" s="831"/>
      <c r="N87" s="831"/>
      <c r="O87" s="831"/>
      <c r="P87" s="831"/>
      <c r="Q87" s="831"/>
      <c r="R87" s="831"/>
      <c r="S87" s="831"/>
    </row>
    <row r="88" spans="1:19" x14ac:dyDescent="0.25">
      <c r="B88" s="831"/>
      <c r="C88" s="910"/>
      <c r="D88" s="910"/>
      <c r="E88" s="831"/>
      <c r="F88" s="831"/>
      <c r="G88" s="831"/>
      <c r="H88" s="831"/>
      <c r="I88" s="831"/>
      <c r="J88" s="831"/>
      <c r="K88" s="831"/>
      <c r="L88" s="831"/>
      <c r="M88" s="831"/>
      <c r="N88" s="831"/>
      <c r="O88" s="831"/>
      <c r="P88" s="831"/>
      <c r="Q88" s="831"/>
      <c r="R88" s="831"/>
      <c r="S88" s="831"/>
    </row>
    <row r="89" spans="1:19" x14ac:dyDescent="0.25">
      <c r="A89" s="831"/>
      <c r="B89" s="831"/>
      <c r="C89" s="831"/>
      <c r="D89" s="831"/>
      <c r="E89" s="831"/>
      <c r="F89" s="831"/>
      <c r="G89" s="831"/>
      <c r="H89" s="831"/>
      <c r="I89" s="831"/>
      <c r="J89" s="831"/>
      <c r="K89" s="831"/>
      <c r="L89" s="831"/>
      <c r="M89" s="831"/>
      <c r="N89" s="831"/>
      <c r="O89" s="831"/>
      <c r="P89" s="831"/>
      <c r="Q89" s="831"/>
      <c r="R89" s="831"/>
      <c r="S89" s="831"/>
    </row>
    <row r="90" spans="1:19" x14ac:dyDescent="0.25">
      <c r="B90" s="831"/>
      <c r="C90" s="831"/>
      <c r="D90" s="831"/>
      <c r="E90" s="831"/>
      <c r="F90" s="831"/>
      <c r="G90" s="831"/>
      <c r="H90" s="831"/>
      <c r="I90" s="831"/>
      <c r="J90" s="831"/>
      <c r="K90" s="831"/>
      <c r="L90" s="831"/>
      <c r="M90" s="831"/>
      <c r="N90" s="831"/>
      <c r="O90" s="831"/>
      <c r="P90" s="831"/>
      <c r="Q90" s="831"/>
      <c r="R90" s="831"/>
      <c r="S90" s="831"/>
    </row>
    <row r="91" spans="1:19" x14ac:dyDescent="0.25">
      <c r="B91" s="831"/>
      <c r="C91" s="831"/>
      <c r="D91" s="831"/>
      <c r="E91" s="831"/>
      <c r="F91" s="831"/>
      <c r="G91" s="831"/>
      <c r="H91" s="831"/>
      <c r="I91" s="831"/>
      <c r="J91" s="831"/>
      <c r="K91" s="831"/>
      <c r="L91" s="831"/>
      <c r="M91" s="831"/>
      <c r="N91" s="831"/>
      <c r="O91" s="831"/>
      <c r="P91" s="831"/>
      <c r="Q91" s="831"/>
      <c r="R91" s="831"/>
      <c r="S91" s="831"/>
    </row>
    <row r="92" spans="1:19" x14ac:dyDescent="0.25">
      <c r="B92" s="831"/>
      <c r="C92" s="831"/>
      <c r="D92" s="831"/>
      <c r="E92" s="831"/>
      <c r="F92" s="831"/>
      <c r="G92" s="831"/>
      <c r="H92" s="831"/>
      <c r="I92" s="831"/>
      <c r="J92" s="831"/>
      <c r="K92" s="831"/>
      <c r="L92" s="831"/>
      <c r="M92" s="831"/>
      <c r="N92" s="831"/>
      <c r="O92" s="831"/>
      <c r="P92" s="831"/>
      <c r="Q92" s="831"/>
      <c r="R92" s="831"/>
      <c r="S92" s="831"/>
    </row>
    <row r="93" spans="1:19" x14ac:dyDescent="0.25">
      <c r="B93" s="831"/>
      <c r="C93" s="831"/>
      <c r="D93" s="831"/>
      <c r="E93" s="831"/>
      <c r="F93" s="831"/>
      <c r="G93" s="831"/>
      <c r="H93" s="831"/>
      <c r="I93" s="831"/>
      <c r="J93" s="831"/>
      <c r="K93" s="831"/>
      <c r="L93" s="831"/>
      <c r="M93" s="831"/>
      <c r="N93" s="831"/>
      <c r="O93" s="831"/>
      <c r="P93" s="831"/>
      <c r="Q93" s="831"/>
    </row>
    <row r="94" spans="1:19" x14ac:dyDescent="0.25">
      <c r="B94" s="831"/>
      <c r="C94" s="831"/>
      <c r="D94" s="831"/>
      <c r="E94" s="831"/>
      <c r="F94" s="831"/>
      <c r="G94" s="831"/>
      <c r="H94" s="831"/>
      <c r="I94" s="831"/>
      <c r="J94" s="831"/>
      <c r="K94" s="831"/>
      <c r="L94" s="831"/>
      <c r="M94" s="831"/>
      <c r="N94" s="831"/>
      <c r="O94" s="831"/>
      <c r="P94" s="831"/>
      <c r="Q94" s="831"/>
    </row>
  </sheetData>
  <mergeCells count="22">
    <mergeCell ref="L43:Q43"/>
    <mergeCell ref="F43:K43"/>
    <mergeCell ref="K15:K16"/>
    <mergeCell ref="Q15:Q16"/>
    <mergeCell ref="A6:S6"/>
    <mergeCell ref="A7:S7"/>
    <mergeCell ref="A8:S8"/>
    <mergeCell ref="A9:S9"/>
    <mergeCell ref="A10:S10"/>
    <mergeCell ref="E13:E16"/>
    <mergeCell ref="A13:A17"/>
    <mergeCell ref="B13:B17"/>
    <mergeCell ref="F15:G15"/>
    <mergeCell ref="H15:I15"/>
    <mergeCell ref="L15:M15"/>
    <mergeCell ref="N15:O15"/>
    <mergeCell ref="L14:Q14"/>
    <mergeCell ref="F13:Q13"/>
    <mergeCell ref="R15:R17"/>
    <mergeCell ref="F14:K14"/>
    <mergeCell ref="R13:S13"/>
    <mergeCell ref="S15:S17"/>
  </mergeCells>
  <pageMargins left="0.7" right="0.7" top="0.75" bottom="0.75" header="0.3" footer="0.3"/>
  <pageSetup paperSize="9" scale="4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O148"/>
  <sheetViews>
    <sheetView workbookViewId="0">
      <selection activeCell="A5" sqref="A5:F5"/>
    </sheetView>
  </sheetViews>
  <sheetFormatPr defaultRowHeight="15" x14ac:dyDescent="0.2"/>
  <cols>
    <col min="1" max="1" width="7.109375" customWidth="1"/>
    <col min="2" max="2" width="50.109375" customWidth="1"/>
    <col min="3" max="3" width="10" customWidth="1"/>
    <col min="4" max="4" width="9.109375" customWidth="1"/>
    <col min="5" max="5" width="11.6640625" customWidth="1"/>
    <col min="6" max="6" width="9.6640625" customWidth="1"/>
    <col min="7" max="7" width="17.109375" customWidth="1"/>
    <col min="8" max="8" width="20.77734375" customWidth="1"/>
    <col min="9" max="9" width="14.88671875" customWidth="1"/>
    <col min="10" max="10" width="13.77734375" customWidth="1"/>
    <col min="11" max="11" width="17.109375" customWidth="1"/>
    <col min="12" max="12" width="9" bestFit="1" customWidth="1"/>
  </cols>
  <sheetData>
    <row r="1" spans="1:6" ht="15.75" x14ac:dyDescent="0.25">
      <c r="E1" s="85"/>
    </row>
    <row r="2" spans="1:6" ht="15.75" x14ac:dyDescent="0.25">
      <c r="E2" s="85" t="s">
        <v>438</v>
      </c>
    </row>
    <row r="3" spans="1:6" x14ac:dyDescent="0.2">
      <c r="A3" s="1035" t="s">
        <v>488</v>
      </c>
      <c r="B3" s="1035"/>
      <c r="C3" s="1035"/>
      <c r="D3" s="1035"/>
      <c r="E3" s="1035"/>
      <c r="F3" s="1035"/>
    </row>
    <row r="4" spans="1:6" ht="15" customHeight="1" x14ac:dyDescent="0.25">
      <c r="A4" s="1036" t="s">
        <v>489</v>
      </c>
      <c r="B4" s="1036"/>
      <c r="C4" s="1036"/>
      <c r="D4" s="1036"/>
      <c r="E4" s="1036"/>
      <c r="F4" s="1036"/>
    </row>
    <row r="5" spans="1:6" ht="15" customHeight="1" x14ac:dyDescent="0.25">
      <c r="A5" s="1036" t="s">
        <v>439</v>
      </c>
      <c r="B5" s="1036"/>
      <c r="C5" s="1036"/>
      <c r="D5" s="1036"/>
      <c r="E5" s="1036"/>
      <c r="F5" s="1036"/>
    </row>
    <row r="6" spans="1:6" ht="15.75" x14ac:dyDescent="0.25">
      <c r="A6" s="2" t="s">
        <v>26</v>
      </c>
      <c r="B6" s="1" t="s">
        <v>440</v>
      </c>
    </row>
    <row r="7" spans="1:6" ht="15.75" x14ac:dyDescent="0.2">
      <c r="A7" s="540" t="s">
        <v>25</v>
      </c>
      <c r="B7" s="540" t="s">
        <v>122</v>
      </c>
      <c r="C7" s="540" t="s">
        <v>35</v>
      </c>
      <c r="D7" s="540" t="s">
        <v>139</v>
      </c>
    </row>
    <row r="8" spans="1:6" ht="21.95" customHeight="1" x14ac:dyDescent="0.2">
      <c r="A8" s="541">
        <v>1</v>
      </c>
      <c r="B8" s="538" t="s">
        <v>429</v>
      </c>
      <c r="C8" s="537" t="s">
        <v>430</v>
      </c>
      <c r="D8" s="542">
        <f>D129</f>
        <v>1758</v>
      </c>
    </row>
    <row r="9" spans="1:6" ht="21.95" customHeight="1" x14ac:dyDescent="0.2">
      <c r="A9" s="543">
        <f>1+A8</f>
        <v>2</v>
      </c>
      <c r="B9" s="538" t="s">
        <v>482</v>
      </c>
      <c r="C9" s="537" t="s">
        <v>333</v>
      </c>
      <c r="D9" s="542">
        <f>F79</f>
        <v>2760.06</v>
      </c>
    </row>
    <row r="10" spans="1:6" ht="21.95" customHeight="1" x14ac:dyDescent="0.2">
      <c r="A10" s="543">
        <f t="shared" ref="A10:A24" si="0">1+A9</f>
        <v>3</v>
      </c>
      <c r="B10" s="538" t="s">
        <v>431</v>
      </c>
      <c r="C10" s="537" t="s">
        <v>441</v>
      </c>
      <c r="D10" s="542">
        <f>D130</f>
        <v>350</v>
      </c>
    </row>
    <row r="11" spans="1:6" ht="21.95" customHeight="1" x14ac:dyDescent="0.2">
      <c r="A11" s="543">
        <f t="shared" si="0"/>
        <v>4</v>
      </c>
      <c r="B11" s="538" t="s">
        <v>483</v>
      </c>
      <c r="C11" s="537" t="s">
        <v>433</v>
      </c>
      <c r="D11" s="542">
        <f>F78</f>
        <v>912</v>
      </c>
    </row>
    <row r="12" spans="1:6" ht="21.95" customHeight="1" x14ac:dyDescent="0.2">
      <c r="A12" s="543">
        <f t="shared" si="0"/>
        <v>5</v>
      </c>
      <c r="B12" s="538" t="s">
        <v>434</v>
      </c>
      <c r="C12" s="537" t="s">
        <v>433</v>
      </c>
      <c r="D12" s="542">
        <f>E94</f>
        <v>1200</v>
      </c>
    </row>
    <row r="13" spans="1:6" ht="21.95" customHeight="1" x14ac:dyDescent="0.2">
      <c r="A13" s="543">
        <f t="shared" si="0"/>
        <v>6</v>
      </c>
      <c r="B13" s="539" t="s">
        <v>484</v>
      </c>
      <c r="C13" s="537" t="s">
        <v>442</v>
      </c>
      <c r="D13" s="544">
        <f>D97</f>
        <v>0.86</v>
      </c>
    </row>
    <row r="14" spans="1:6" ht="21.95" customHeight="1" x14ac:dyDescent="0.2">
      <c r="A14" s="543">
        <f t="shared" si="0"/>
        <v>7</v>
      </c>
      <c r="B14" s="539" t="s">
        <v>443</v>
      </c>
      <c r="C14" s="537" t="s">
        <v>442</v>
      </c>
      <c r="D14" s="544">
        <f>D98</f>
        <v>1</v>
      </c>
    </row>
    <row r="15" spans="1:6" ht="21.95" customHeight="1" x14ac:dyDescent="0.2">
      <c r="A15" s="543">
        <f t="shared" si="0"/>
        <v>8</v>
      </c>
      <c r="B15" s="539" t="s">
        <v>435</v>
      </c>
      <c r="C15" s="537" t="s">
        <v>333</v>
      </c>
      <c r="D15" s="542">
        <f>SUM(G52:G54)+F92*0</f>
        <v>118.95858600000001</v>
      </c>
    </row>
    <row r="16" spans="1:6" ht="21.95" customHeight="1" x14ac:dyDescent="0.2">
      <c r="A16" s="543">
        <f t="shared" si="0"/>
        <v>9</v>
      </c>
      <c r="B16" s="539" t="s">
        <v>444</v>
      </c>
      <c r="C16" s="537" t="s">
        <v>333</v>
      </c>
      <c r="D16" s="545">
        <f>(D14-D13)*0.11*D9</f>
        <v>42.504924000000003</v>
      </c>
    </row>
    <row r="17" spans="1:15" ht="21.95" customHeight="1" x14ac:dyDescent="0.2">
      <c r="A17" s="543">
        <f t="shared" si="0"/>
        <v>10</v>
      </c>
      <c r="B17" s="538" t="s">
        <v>445</v>
      </c>
      <c r="C17" s="537" t="s">
        <v>333</v>
      </c>
      <c r="D17" s="542">
        <f>D9+D15+D16</f>
        <v>2921.52351</v>
      </c>
      <c r="F17" s="546"/>
      <c r="G17" s="10"/>
      <c r="H17" s="547"/>
    </row>
    <row r="18" spans="1:15" ht="21.95" customHeight="1" x14ac:dyDescent="0.2">
      <c r="A18" s="543">
        <f t="shared" si="0"/>
        <v>11</v>
      </c>
      <c r="B18" s="538" t="s">
        <v>446</v>
      </c>
      <c r="C18" s="548" t="s">
        <v>447</v>
      </c>
      <c r="D18" s="542">
        <f>+D10*(D17-D9)</f>
        <v>56512.228500000012</v>
      </c>
    </row>
    <row r="19" spans="1:15" ht="21.95" customHeight="1" x14ac:dyDescent="0.2">
      <c r="A19" s="543">
        <f t="shared" si="0"/>
        <v>12</v>
      </c>
      <c r="B19" s="538" t="s">
        <v>436</v>
      </c>
      <c r="C19" s="548" t="s">
        <v>447</v>
      </c>
      <c r="D19" s="542">
        <f>+D18*D123</f>
        <v>52556.372505000014</v>
      </c>
      <c r="I19" s="549"/>
    </row>
    <row r="20" spans="1:15" ht="21.95" customHeight="1" x14ac:dyDescent="0.2">
      <c r="A20" s="543">
        <f t="shared" si="0"/>
        <v>13</v>
      </c>
      <c r="B20" s="538" t="s">
        <v>485</v>
      </c>
      <c r="C20" s="537" t="s">
        <v>336</v>
      </c>
      <c r="D20" s="542">
        <f>F80</f>
        <v>453</v>
      </c>
    </row>
    <row r="21" spans="1:15" ht="21.95" customHeight="1" x14ac:dyDescent="0.2">
      <c r="A21" s="543">
        <f t="shared" si="0"/>
        <v>14</v>
      </c>
      <c r="B21" s="539" t="s">
        <v>437</v>
      </c>
      <c r="C21" s="537" t="s">
        <v>336</v>
      </c>
      <c r="D21" s="542">
        <f>SUM(F52:F54)-F93*0</f>
        <v>18.618299999999998</v>
      </c>
    </row>
    <row r="22" spans="1:15" ht="21.95" customHeight="1" x14ac:dyDescent="0.2">
      <c r="A22" s="543">
        <f t="shared" si="0"/>
        <v>15</v>
      </c>
      <c r="B22" s="539" t="s">
        <v>448</v>
      </c>
      <c r="C22" s="537" t="s">
        <v>336</v>
      </c>
      <c r="D22" s="542">
        <f>(D14-D13)*0.05*D20</f>
        <v>3.1710000000000003</v>
      </c>
    </row>
    <row r="23" spans="1:15" ht="21.95" customHeight="1" x14ac:dyDescent="0.2">
      <c r="A23" s="543">
        <f t="shared" si="0"/>
        <v>16</v>
      </c>
      <c r="B23" s="538" t="s">
        <v>449</v>
      </c>
      <c r="C23" s="537" t="s">
        <v>336</v>
      </c>
      <c r="D23" s="542">
        <f>D20-D21-D22</f>
        <v>431.21070000000003</v>
      </c>
    </row>
    <row r="24" spans="1:15" ht="21.95" customHeight="1" x14ac:dyDescent="0.2">
      <c r="A24" s="550">
        <f t="shared" si="0"/>
        <v>17</v>
      </c>
      <c r="B24" s="551" t="s">
        <v>450</v>
      </c>
      <c r="C24" s="552" t="s">
        <v>336</v>
      </c>
      <c r="D24" s="553">
        <f>D20-D23</f>
        <v>21.789299999999969</v>
      </c>
    </row>
    <row r="26" spans="1:15" ht="15.75" x14ac:dyDescent="0.25">
      <c r="A26" s="554" t="s">
        <v>27</v>
      </c>
      <c r="B26" s="555" t="s">
        <v>451</v>
      </c>
      <c r="C26" s="8"/>
      <c r="D26" s="10"/>
      <c r="E26" s="10"/>
      <c r="F26" s="10"/>
    </row>
    <row r="27" spans="1:15" ht="30" x14ac:dyDescent="0.25">
      <c r="A27" s="556" t="s">
        <v>25</v>
      </c>
      <c r="B27" s="556" t="s">
        <v>122</v>
      </c>
      <c r="C27" s="556" t="s">
        <v>35</v>
      </c>
      <c r="D27" s="557" t="s">
        <v>452</v>
      </c>
      <c r="E27" s="557" t="s">
        <v>453</v>
      </c>
      <c r="F27" s="557" t="s">
        <v>454</v>
      </c>
      <c r="G27" s="558"/>
      <c r="H27" s="85"/>
      <c r="I27" s="2"/>
    </row>
    <row r="28" spans="1:15" ht="30" x14ac:dyDescent="0.2">
      <c r="A28" s="559">
        <v>1</v>
      </c>
      <c r="B28" s="643" t="s">
        <v>486</v>
      </c>
      <c r="C28" s="548" t="s">
        <v>447</v>
      </c>
      <c r="D28" s="560">
        <f>+D19</f>
        <v>52556.372505000014</v>
      </c>
      <c r="E28" s="560">
        <f>D114</f>
        <v>5487.3333333333321</v>
      </c>
      <c r="F28" s="561">
        <f>E28*D28/10^7</f>
        <v>28.839433472576999</v>
      </c>
      <c r="H28" s="562"/>
    </row>
    <row r="29" spans="1:15" ht="26.25" customHeight="1" x14ac:dyDescent="0.2">
      <c r="A29" s="563">
        <v>2</v>
      </c>
      <c r="B29" s="564" t="s">
        <v>487</v>
      </c>
      <c r="C29" s="565" t="s">
        <v>447</v>
      </c>
      <c r="D29" s="566">
        <f>+D24*D17*D10/1000</f>
        <v>22280.283275755017</v>
      </c>
      <c r="E29" s="566">
        <f>D115</f>
        <v>23586.55</v>
      </c>
      <c r="F29" s="567">
        <f>E29*D29/10^7</f>
        <v>52.551501549775949</v>
      </c>
      <c r="H29" s="562"/>
    </row>
    <row r="30" spans="1:15" ht="15.75" x14ac:dyDescent="0.25">
      <c r="A30" s="183"/>
      <c r="B30" s="568" t="s">
        <v>455</v>
      </c>
      <c r="C30" s="183"/>
      <c r="D30" s="569"/>
      <c r="E30" s="570"/>
      <c r="F30" s="571">
        <f>+F29+F28</f>
        <v>81.390935022352949</v>
      </c>
      <c r="H30" s="562"/>
      <c r="I30" t="s">
        <v>474</v>
      </c>
      <c r="J30" t="s">
        <v>475</v>
      </c>
      <c r="K30">
        <v>4200</v>
      </c>
      <c r="L30" t="s">
        <v>476</v>
      </c>
      <c r="M30" t="s">
        <v>477</v>
      </c>
      <c r="N30" t="s">
        <v>478</v>
      </c>
      <c r="O30" t="s">
        <v>479</v>
      </c>
    </row>
    <row r="31" spans="1:15" ht="15.75" x14ac:dyDescent="0.25">
      <c r="A31" s="572" t="s">
        <v>28</v>
      </c>
      <c r="B31" s="573" t="s">
        <v>456</v>
      </c>
      <c r="C31" s="574"/>
      <c r="D31" s="575"/>
      <c r="E31" s="576"/>
      <c r="F31" s="576"/>
      <c r="I31" t="s">
        <v>480</v>
      </c>
      <c r="J31" t="s">
        <v>475</v>
      </c>
      <c r="K31">
        <v>780</v>
      </c>
      <c r="L31" t="s">
        <v>476</v>
      </c>
    </row>
    <row r="32" spans="1:15" x14ac:dyDescent="0.2">
      <c r="A32" s="559">
        <v>1</v>
      </c>
      <c r="B32" s="11" t="s">
        <v>472</v>
      </c>
      <c r="C32" s="577" t="s">
        <v>447</v>
      </c>
      <c r="D32" s="578">
        <f>(D106-F82)*24*350</f>
        <v>50400</v>
      </c>
      <c r="E32" s="579">
        <f>D124</f>
        <v>1176.3599999999999</v>
      </c>
      <c r="F32" s="580">
        <f>D32*E32/10^7</f>
        <v>5.9288543999999996</v>
      </c>
    </row>
    <row r="33" spans="1:10" x14ac:dyDescent="0.2">
      <c r="A33" s="559">
        <v>2</v>
      </c>
      <c r="B33" s="11" t="s">
        <v>473</v>
      </c>
      <c r="C33" s="582" t="s">
        <v>481</v>
      </c>
      <c r="D33" s="578">
        <f>(D107-F83)*24*350*780/10^6</f>
        <v>131040</v>
      </c>
      <c r="E33" s="579">
        <f>D116</f>
        <v>1080.19</v>
      </c>
      <c r="F33" s="580">
        <f>D33*E33/10^7</f>
        <v>14.154809759999999</v>
      </c>
    </row>
    <row r="34" spans="1:10" ht="18" x14ac:dyDescent="0.2">
      <c r="A34" s="581">
        <v>2</v>
      </c>
      <c r="B34" s="655" t="s">
        <v>503</v>
      </c>
      <c r="C34" s="656" t="s">
        <v>504</v>
      </c>
      <c r="D34" s="641">
        <f>(0)*24*350/10^3</f>
        <v>0</v>
      </c>
      <c r="E34" s="579">
        <f>D120+1000</f>
        <v>1935.5</v>
      </c>
      <c r="F34" s="583">
        <f t="shared" ref="F34:F37" si="1">D34*E34/10^7</f>
        <v>0</v>
      </c>
      <c r="H34" s="584"/>
      <c r="I34" s="584"/>
    </row>
    <row r="35" spans="1:10" x14ac:dyDescent="0.2">
      <c r="A35" s="581">
        <v>3</v>
      </c>
      <c r="B35" s="655" t="s">
        <v>457</v>
      </c>
      <c r="C35" s="656" t="s">
        <v>420</v>
      </c>
      <c r="D35" s="641">
        <f>0*24*350/10^3</f>
        <v>0</v>
      </c>
      <c r="E35" s="579">
        <f>D119</f>
        <v>5072.7</v>
      </c>
      <c r="F35" s="580">
        <f t="shared" si="1"/>
        <v>0</v>
      </c>
      <c r="H35" s="584"/>
      <c r="I35" s="584"/>
    </row>
    <row r="36" spans="1:10" ht="18" x14ac:dyDescent="0.2">
      <c r="A36" s="581">
        <v>4</v>
      </c>
      <c r="B36" s="655" t="s">
        <v>505</v>
      </c>
      <c r="C36" s="656" t="s">
        <v>504</v>
      </c>
      <c r="D36" s="641">
        <f>(0)*24*350/10^3</f>
        <v>0</v>
      </c>
      <c r="E36" s="579">
        <f>D121</f>
        <v>786.44</v>
      </c>
      <c r="F36" s="583">
        <f t="shared" si="1"/>
        <v>0</v>
      </c>
      <c r="H36" s="584"/>
      <c r="I36" s="584"/>
    </row>
    <row r="37" spans="1:10" ht="18" x14ac:dyDescent="0.2">
      <c r="A37" s="581">
        <v>5</v>
      </c>
      <c r="B37" s="655" t="s">
        <v>506</v>
      </c>
      <c r="C37" s="656" t="s">
        <v>507</v>
      </c>
      <c r="D37" s="642">
        <f>(0)*24*350/10^5</f>
        <v>0</v>
      </c>
      <c r="E37" s="579">
        <f>D122</f>
        <v>2216.2600000000002</v>
      </c>
      <c r="F37" s="583">
        <f t="shared" si="1"/>
        <v>0</v>
      </c>
      <c r="H37" s="584"/>
      <c r="I37" s="584"/>
    </row>
    <row r="38" spans="1:10" x14ac:dyDescent="0.2">
      <c r="A38" s="585">
        <v>6</v>
      </c>
      <c r="B38" s="586" t="s">
        <v>509</v>
      </c>
      <c r="C38" s="587"/>
      <c r="D38" s="588"/>
      <c r="E38" s="589"/>
      <c r="F38" s="590" t="e">
        <f>#REF!*0.025</f>
        <v>#REF!</v>
      </c>
      <c r="H38" s="584"/>
      <c r="I38" s="584"/>
    </row>
    <row r="39" spans="1:10" ht="15.75" x14ac:dyDescent="0.25">
      <c r="A39" s="591"/>
      <c r="B39" s="592" t="s">
        <v>458</v>
      </c>
      <c r="C39" s="593"/>
      <c r="D39" s="594"/>
      <c r="E39" s="594"/>
      <c r="F39" s="592" t="e">
        <f>SUM(F32:F38)</f>
        <v>#REF!</v>
      </c>
      <c r="H39" s="109"/>
      <c r="I39" s="109"/>
    </row>
    <row r="40" spans="1:10" ht="15.75" x14ac:dyDescent="0.25">
      <c r="A40" s="595"/>
      <c r="B40" s="596" t="s">
        <v>459</v>
      </c>
      <c r="C40" s="593" t="s">
        <v>153</v>
      </c>
      <c r="D40" s="597"/>
      <c r="E40" s="598"/>
      <c r="F40" s="592" t="e">
        <f>F30-F39</f>
        <v>#REF!</v>
      </c>
      <c r="G40">
        <v>49.816194747660603</v>
      </c>
      <c r="H40" s="109">
        <v>133.94723662613373</v>
      </c>
      <c r="I40" s="109"/>
    </row>
    <row r="41" spans="1:10" x14ac:dyDescent="0.2">
      <c r="G41">
        <v>108.39368225358277</v>
      </c>
      <c r="H41">
        <v>71.419693767441785</v>
      </c>
    </row>
    <row r="43" spans="1:10" x14ac:dyDescent="0.2">
      <c r="F43" s="600"/>
    </row>
    <row r="45" spans="1:10" ht="15.75" x14ac:dyDescent="0.25">
      <c r="B45" s="601" t="s">
        <v>460</v>
      </c>
      <c r="C45" s="602"/>
      <c r="D45" s="447"/>
      <c r="E45" s="447"/>
      <c r="F45" s="603"/>
    </row>
    <row r="46" spans="1:10" x14ac:dyDescent="0.2">
      <c r="B46" s="604"/>
      <c r="C46" s="604"/>
      <c r="D46" s="13" t="s">
        <v>350</v>
      </c>
      <c r="E46" s="88" t="s">
        <v>337</v>
      </c>
      <c r="F46" s="88" t="s">
        <v>351</v>
      </c>
      <c r="G46" s="96"/>
    </row>
    <row r="47" spans="1:10" ht="15.75" x14ac:dyDescent="0.25">
      <c r="B47" s="13" t="s">
        <v>352</v>
      </c>
      <c r="C47" s="88" t="s">
        <v>333</v>
      </c>
      <c r="D47" s="605">
        <f>F79</f>
        <v>2760.06</v>
      </c>
      <c r="E47" s="606">
        <f>(+D47+D47*(E49-D49)/100*C55)*0+G56</f>
        <v>2921.52351</v>
      </c>
      <c r="F47" s="607">
        <f>ROUND(+E47-D47,0)</f>
        <v>161</v>
      </c>
      <c r="G47" s="435"/>
      <c r="H47">
        <f>D47+H53</f>
        <v>2879.0185860000001</v>
      </c>
      <c r="J47" s="3"/>
    </row>
    <row r="48" spans="1:10" ht="15.75" x14ac:dyDescent="0.25">
      <c r="B48" s="13" t="s">
        <v>386</v>
      </c>
      <c r="C48" s="88" t="s">
        <v>336</v>
      </c>
      <c r="D48" s="605">
        <f>F80</f>
        <v>453</v>
      </c>
      <c r="E48" s="606">
        <f>(+D48-D48*(E49-D49)/100*D55)*0+F56</f>
        <v>431.21069999999997</v>
      </c>
      <c r="F48" s="607">
        <f>ROUND(+E48-D48,0)</f>
        <v>-22</v>
      </c>
      <c r="G48" s="435"/>
    </row>
    <row r="49" spans="1:9" x14ac:dyDescent="0.2">
      <c r="B49" s="13" t="s">
        <v>388</v>
      </c>
      <c r="C49" s="88" t="s">
        <v>389</v>
      </c>
      <c r="D49" s="605">
        <f>F78</f>
        <v>912</v>
      </c>
      <c r="E49" s="607">
        <f>1200</f>
        <v>1200</v>
      </c>
      <c r="F49" s="607">
        <f>+E49-D49</f>
        <v>288</v>
      </c>
      <c r="G49" s="608"/>
    </row>
    <row r="50" spans="1:9" x14ac:dyDescent="0.2">
      <c r="B50" s="609"/>
      <c r="D50" s="10"/>
      <c r="F50" s="610"/>
    </row>
    <row r="51" spans="1:9" ht="90" x14ac:dyDescent="0.2">
      <c r="B51" s="611" t="s">
        <v>461</v>
      </c>
      <c r="C51" s="78" t="s">
        <v>462</v>
      </c>
      <c r="D51" s="78" t="s">
        <v>463</v>
      </c>
      <c r="E51" s="612" t="s">
        <v>464</v>
      </c>
      <c r="F51" t="s">
        <v>386</v>
      </c>
      <c r="G51" t="s">
        <v>352</v>
      </c>
    </row>
    <row r="52" spans="1:9" x14ac:dyDescent="0.2">
      <c r="B52" s="611" t="s">
        <v>465</v>
      </c>
      <c r="C52" s="613">
        <v>0.02</v>
      </c>
      <c r="D52" s="613">
        <v>0.02</v>
      </c>
      <c r="E52">
        <f>1000-D49</f>
        <v>88</v>
      </c>
      <c r="F52" s="614">
        <f>D48*E52*D52/100</f>
        <v>7.9727999999999994</v>
      </c>
      <c r="G52" s="614">
        <f>D47*C52*E52/100</f>
        <v>48.577055999999999</v>
      </c>
      <c r="H52">
        <f>D47*0.02*F49/100</f>
        <v>158.979456</v>
      </c>
      <c r="I52" s="448" t="s">
        <v>385</v>
      </c>
    </row>
    <row r="53" spans="1:9" x14ac:dyDescent="0.2">
      <c r="B53" s="611" t="s">
        <v>466</v>
      </c>
      <c r="C53" s="613">
        <v>1.4999999999999999E-2</v>
      </c>
      <c r="D53" s="613">
        <v>1.4999999999999999E-2</v>
      </c>
      <c r="E53">
        <v>100</v>
      </c>
      <c r="F53" s="614">
        <f>D48*E53*D53/100</f>
        <v>6.7949999999999999</v>
      </c>
      <c r="G53" s="614">
        <f>D47*E53*C53/100</f>
        <v>41.4009</v>
      </c>
      <c r="H53">
        <f>SUM(G52:G54)</f>
        <v>118.95858600000001</v>
      </c>
      <c r="I53" t="s">
        <v>467</v>
      </c>
    </row>
    <row r="54" spans="1:9" x14ac:dyDescent="0.2">
      <c r="B54" s="611" t="s">
        <v>468</v>
      </c>
      <c r="C54" s="613">
        <v>1.0500000000000001E-2</v>
      </c>
      <c r="D54" s="613">
        <v>8.5000000000000006E-3</v>
      </c>
      <c r="E54">
        <v>100</v>
      </c>
      <c r="F54" s="614">
        <f>D48*E54*D54/100</f>
        <v>3.8505000000000003</v>
      </c>
      <c r="G54" s="614">
        <f>D47*E54*C54/100</f>
        <v>28.980630000000001</v>
      </c>
      <c r="H54">
        <f>D48*0.033*F49/100</f>
        <v>43.05312</v>
      </c>
      <c r="I54" s="448" t="s">
        <v>387</v>
      </c>
    </row>
    <row r="55" spans="1:9" ht="47.25" x14ac:dyDescent="0.25">
      <c r="B55" s="611" t="s">
        <v>340</v>
      </c>
      <c r="C55" s="613">
        <f>AVERAGE(C52:C54)</f>
        <v>1.5166666666666669E-2</v>
      </c>
      <c r="D55" s="613">
        <f>AVERAGE(D52:D54)</f>
        <v>1.4500000000000001E-2</v>
      </c>
      <c r="E55" s="615" t="s">
        <v>469</v>
      </c>
      <c r="F55" s="614">
        <f>D61*D20</f>
        <v>3.1710000000000003</v>
      </c>
      <c r="G55" s="614">
        <f>D60*D9</f>
        <v>42.504924000000003</v>
      </c>
      <c r="H55">
        <f>SUM(F52:F54)</f>
        <v>18.618299999999998</v>
      </c>
      <c r="I55" t="s">
        <v>467</v>
      </c>
    </row>
    <row r="56" spans="1:9" ht="31.5" x14ac:dyDescent="0.25">
      <c r="B56" s="110"/>
      <c r="C56" s="616"/>
      <c r="D56" s="616"/>
      <c r="E56" s="615" t="s">
        <v>470</v>
      </c>
      <c r="F56" s="614">
        <f>D48-SUM(F52:F55)</f>
        <v>431.21069999999997</v>
      </c>
      <c r="G56" s="614">
        <f>D47+SUM(G52:G55)</f>
        <v>2921.52351</v>
      </c>
    </row>
    <row r="57" spans="1:9" ht="15.75" x14ac:dyDescent="0.25">
      <c r="B57" s="617" t="s">
        <v>391</v>
      </c>
      <c r="G57" s="617"/>
      <c r="H57" s="614"/>
      <c r="I57" s="614"/>
    </row>
    <row r="58" spans="1:9" ht="15.75" x14ac:dyDescent="0.25">
      <c r="A58" s="618">
        <v>1</v>
      </c>
      <c r="B58" s="619" t="s">
        <v>392</v>
      </c>
      <c r="C58" s="620" t="s">
        <v>393</v>
      </c>
      <c r="D58" s="621">
        <f>F81</f>
        <v>0.86</v>
      </c>
      <c r="G58" s="617"/>
      <c r="H58" s="614"/>
      <c r="I58" s="614"/>
    </row>
    <row r="59" spans="1:9" ht="15.75" x14ac:dyDescent="0.25">
      <c r="A59" s="618">
        <v>2</v>
      </c>
      <c r="B59" s="619" t="s">
        <v>394</v>
      </c>
      <c r="C59" s="620" t="s">
        <v>395</v>
      </c>
      <c r="D59" s="621">
        <f>D98</f>
        <v>1</v>
      </c>
      <c r="G59" s="617"/>
      <c r="H59" s="614"/>
      <c r="I59" s="614"/>
    </row>
    <row r="60" spans="1:9" ht="15.75" x14ac:dyDescent="0.25">
      <c r="A60" s="618">
        <v>3</v>
      </c>
      <c r="B60" s="619" t="s">
        <v>396</v>
      </c>
      <c r="C60" s="620"/>
      <c r="D60" s="622">
        <f>0.011*(D59-D58)/0.1</f>
        <v>1.54E-2</v>
      </c>
      <c r="E60" s="448" t="s">
        <v>397</v>
      </c>
      <c r="G60" s="617"/>
      <c r="H60" s="614"/>
      <c r="I60" s="614"/>
    </row>
    <row r="61" spans="1:9" ht="15.75" x14ac:dyDescent="0.25">
      <c r="A61" s="618">
        <v>4</v>
      </c>
      <c r="B61" s="619" t="s">
        <v>398</v>
      </c>
      <c r="C61" s="620" t="s">
        <v>336</v>
      </c>
      <c r="D61" s="623">
        <f>(D59-D58)*(0.05)*0+0.005*(D59-D58)/0.1</f>
        <v>7.000000000000001E-3</v>
      </c>
      <c r="E61" s="448" t="s">
        <v>399</v>
      </c>
      <c r="G61" s="617"/>
      <c r="H61" s="614"/>
      <c r="I61" s="614"/>
    </row>
    <row r="62" spans="1:9" x14ac:dyDescent="0.2">
      <c r="B62" s="599"/>
      <c r="C62" s="599"/>
      <c r="D62" s="599"/>
      <c r="E62" s="599"/>
      <c r="F62" s="599"/>
    </row>
    <row r="63" spans="1:9" x14ac:dyDescent="0.2">
      <c r="A63" s="624"/>
      <c r="B63" s="624"/>
      <c r="C63" s="624"/>
      <c r="D63" s="624"/>
      <c r="E63" s="624"/>
      <c r="F63" s="624"/>
    </row>
    <row r="64" spans="1:9" ht="15.75" x14ac:dyDescent="0.2">
      <c r="A64" s="625" t="s">
        <v>342</v>
      </c>
      <c r="B64" s="626"/>
      <c r="C64" s="627"/>
      <c r="D64" s="626"/>
      <c r="E64" s="626"/>
    </row>
    <row r="65" spans="1:9" x14ac:dyDescent="0.2">
      <c r="A65" s="628">
        <v>1</v>
      </c>
      <c r="B65" s="629" t="s">
        <v>343</v>
      </c>
      <c r="C65" s="630" t="s">
        <v>15</v>
      </c>
      <c r="D65" s="627">
        <f>D9*D10</f>
        <v>966021</v>
      </c>
      <c r="E65" s="626"/>
    </row>
    <row r="66" spans="1:9" x14ac:dyDescent="0.2">
      <c r="A66" s="628">
        <f t="shared" ref="A66:A71" si="2">+A65+1</f>
        <v>2</v>
      </c>
      <c r="B66" s="629" t="s">
        <v>344</v>
      </c>
      <c r="C66" s="631" t="s">
        <v>332</v>
      </c>
      <c r="D66" s="632">
        <f>D126</f>
        <v>180</v>
      </c>
      <c r="E66" s="626"/>
    </row>
    <row r="67" spans="1:9" x14ac:dyDescent="0.2">
      <c r="A67" s="628">
        <v>3</v>
      </c>
      <c r="B67" s="629" t="s">
        <v>428</v>
      </c>
      <c r="C67" s="631" t="s">
        <v>332</v>
      </c>
      <c r="D67" s="632">
        <f>D127</f>
        <v>180</v>
      </c>
      <c r="E67" s="626"/>
    </row>
    <row r="68" spans="1:9" x14ac:dyDescent="0.2">
      <c r="A68" s="628">
        <f t="shared" si="2"/>
        <v>4</v>
      </c>
      <c r="B68" s="629" t="s">
        <v>345</v>
      </c>
      <c r="C68" s="631" t="s">
        <v>332</v>
      </c>
      <c r="D68" s="633">
        <f>+D66-D67</f>
        <v>0</v>
      </c>
      <c r="E68" s="626"/>
    </row>
    <row r="69" spans="1:9" x14ac:dyDescent="0.2">
      <c r="A69" s="628">
        <f t="shared" si="2"/>
        <v>5</v>
      </c>
      <c r="B69" s="634" t="s">
        <v>346</v>
      </c>
      <c r="C69" s="635" t="s">
        <v>347</v>
      </c>
      <c r="D69" s="627">
        <f>+D68*D65/350</f>
        <v>0</v>
      </c>
      <c r="E69" s="626"/>
    </row>
    <row r="70" spans="1:9" x14ac:dyDescent="0.2">
      <c r="A70" s="628">
        <f t="shared" si="2"/>
        <v>6</v>
      </c>
      <c r="B70" s="636" t="s">
        <v>335</v>
      </c>
      <c r="C70" s="631" t="s">
        <v>334</v>
      </c>
      <c r="D70" s="627">
        <f>D69*D123</f>
        <v>0</v>
      </c>
      <c r="E70" s="626"/>
    </row>
    <row r="71" spans="1:9" ht="15.75" x14ac:dyDescent="0.2">
      <c r="A71" s="628">
        <f t="shared" si="2"/>
        <v>7</v>
      </c>
      <c r="B71" s="637" t="s">
        <v>348</v>
      </c>
      <c r="C71" s="638" t="s">
        <v>349</v>
      </c>
      <c r="D71" s="639">
        <f>D70*E28/10^7</f>
        <v>0</v>
      </c>
      <c r="E71" s="626"/>
    </row>
    <row r="72" spans="1:9" x14ac:dyDescent="0.2">
      <c r="A72" s="628"/>
      <c r="B72" s="637"/>
      <c r="C72" s="638"/>
      <c r="D72" s="637"/>
      <c r="E72" s="626"/>
    </row>
    <row r="74" spans="1:9" ht="18" x14ac:dyDescent="0.25">
      <c r="A74" s="448"/>
      <c r="B74" s="1037" t="s">
        <v>370</v>
      </c>
      <c r="C74" s="1037"/>
      <c r="D74" s="1037"/>
      <c r="E74" s="1037"/>
      <c r="F74" s="1037"/>
      <c r="G74" s="1037"/>
      <c r="H74" s="1037"/>
      <c r="I74" s="448"/>
    </row>
    <row r="75" spans="1:9" x14ac:dyDescent="0.2">
      <c r="A75" s="448"/>
      <c r="B75" s="448"/>
      <c r="C75" s="448"/>
      <c r="D75" s="448"/>
      <c r="E75" s="448"/>
      <c r="F75" s="448"/>
      <c r="G75" s="448"/>
      <c r="H75" s="448"/>
      <c r="I75" s="448"/>
    </row>
    <row r="76" spans="1:9" ht="15.75" thickBot="1" x14ac:dyDescent="0.25">
      <c r="A76" s="448"/>
      <c r="B76" s="449" t="s">
        <v>353</v>
      </c>
      <c r="C76" s="450"/>
      <c r="D76" s="450"/>
      <c r="E76" s="450"/>
      <c r="F76" s="450"/>
      <c r="G76" s="448"/>
      <c r="H76" s="448"/>
      <c r="I76" s="448"/>
    </row>
    <row r="77" spans="1:9" ht="16.5" thickBot="1" x14ac:dyDescent="0.3">
      <c r="A77" s="448"/>
      <c r="B77" s="451" t="s">
        <v>3</v>
      </c>
      <c r="C77" s="452" t="s">
        <v>35</v>
      </c>
      <c r="D77" s="452" t="s">
        <v>339</v>
      </c>
      <c r="E77" s="452" t="s">
        <v>338</v>
      </c>
      <c r="F77" s="475" t="s">
        <v>354</v>
      </c>
      <c r="G77" s="474" t="s">
        <v>355</v>
      </c>
      <c r="H77" s="476"/>
      <c r="I77" s="448"/>
    </row>
    <row r="78" spans="1:9" x14ac:dyDescent="0.2">
      <c r="A78" s="448"/>
      <c r="B78" s="477" t="s">
        <v>371</v>
      </c>
      <c r="C78" s="478" t="s">
        <v>372</v>
      </c>
      <c r="D78" s="479">
        <v>901</v>
      </c>
      <c r="E78" s="479">
        <v>869</v>
      </c>
      <c r="F78" s="480">
        <v>912</v>
      </c>
      <c r="G78" s="481">
        <f>AVERAGE(D78:F78)</f>
        <v>894</v>
      </c>
      <c r="H78" s="482"/>
      <c r="I78" s="448"/>
    </row>
    <row r="79" spans="1:9" x14ac:dyDescent="0.2">
      <c r="A79" s="448"/>
      <c r="B79" s="454" t="s">
        <v>356</v>
      </c>
      <c r="C79" s="455" t="s">
        <v>333</v>
      </c>
      <c r="D79" s="483">
        <v>2681</v>
      </c>
      <c r="E79" s="483">
        <v>2827</v>
      </c>
      <c r="F79" s="484">
        <f>F88*1758</f>
        <v>2760.06</v>
      </c>
      <c r="G79" s="481">
        <f>AVERAGE(D79:F79)</f>
        <v>2756.02</v>
      </c>
      <c r="H79" s="482"/>
      <c r="I79" s="448"/>
    </row>
    <row r="80" spans="1:9" x14ac:dyDescent="0.2">
      <c r="A80" s="448"/>
      <c r="B80" s="454" t="s">
        <v>357</v>
      </c>
      <c r="C80" s="455" t="s">
        <v>358</v>
      </c>
      <c r="D80" s="483">
        <f>433833*1000/930981</f>
        <v>465.9955466330677</v>
      </c>
      <c r="E80" s="483">
        <f>483248*1000/981175</f>
        <v>492.51968303309809</v>
      </c>
      <c r="F80" s="484">
        <v>453</v>
      </c>
      <c r="G80" s="481">
        <f>(D79*D80+E79*E80+F79*F80)/(D79+E79+F79)</f>
        <v>470.72643213254656</v>
      </c>
      <c r="H80" s="482"/>
      <c r="I80" s="448"/>
    </row>
    <row r="81" spans="1:12" x14ac:dyDescent="0.2">
      <c r="A81" s="448"/>
      <c r="B81" s="454" t="s">
        <v>373</v>
      </c>
      <c r="C81" s="455" t="s">
        <v>374</v>
      </c>
      <c r="D81" s="485">
        <v>0.89</v>
      </c>
      <c r="E81" s="485">
        <v>0.86</v>
      </c>
      <c r="F81" s="486">
        <v>0.86</v>
      </c>
      <c r="G81" s="487">
        <f>AVERAGE(D81:F81)</f>
        <v>0.87</v>
      </c>
      <c r="H81" s="488"/>
      <c r="I81" s="448"/>
    </row>
    <row r="82" spans="1:12" x14ac:dyDescent="0.2">
      <c r="A82" s="448"/>
      <c r="B82" s="454" t="s">
        <v>375</v>
      </c>
      <c r="C82" s="455" t="s">
        <v>376</v>
      </c>
      <c r="D82" s="485">
        <v>1.96</v>
      </c>
      <c r="E82" s="485">
        <v>4</v>
      </c>
      <c r="F82" s="486">
        <v>4</v>
      </c>
      <c r="G82" s="487">
        <f>AVERAGE(D82:F82)</f>
        <v>3.3200000000000003</v>
      </c>
      <c r="H82" s="489"/>
      <c r="I82" s="448"/>
    </row>
    <row r="83" spans="1:12" x14ac:dyDescent="0.2">
      <c r="A83" s="448"/>
      <c r="B83" s="454" t="s">
        <v>377</v>
      </c>
      <c r="C83" s="455" t="s">
        <v>366</v>
      </c>
      <c r="D83" s="490">
        <v>90000</v>
      </c>
      <c r="E83" s="490">
        <v>90000</v>
      </c>
      <c r="F83" s="491">
        <v>90000</v>
      </c>
      <c r="G83" s="492">
        <v>90000</v>
      </c>
      <c r="H83" s="493"/>
      <c r="I83" s="448"/>
    </row>
    <row r="84" spans="1:12" x14ac:dyDescent="0.2">
      <c r="A84" s="448"/>
      <c r="B84" s="454" t="s">
        <v>378</v>
      </c>
      <c r="C84" s="455" t="s">
        <v>366</v>
      </c>
      <c r="D84" s="494" t="s">
        <v>379</v>
      </c>
      <c r="E84" s="494" t="s">
        <v>379</v>
      </c>
      <c r="F84" s="495" t="s">
        <v>379</v>
      </c>
      <c r="G84" s="494" t="s">
        <v>379</v>
      </c>
      <c r="H84" s="496"/>
      <c r="I84" s="448"/>
    </row>
    <row r="85" spans="1:12" ht="30.75" x14ac:dyDescent="0.2">
      <c r="A85" s="448"/>
      <c r="B85" s="473" t="s">
        <v>380</v>
      </c>
      <c r="C85" s="455" t="s">
        <v>367</v>
      </c>
      <c r="D85" s="494" t="s">
        <v>379</v>
      </c>
      <c r="E85" s="494" t="s">
        <v>379</v>
      </c>
      <c r="F85" s="495" t="s">
        <v>379</v>
      </c>
      <c r="G85" s="494" t="s">
        <v>379</v>
      </c>
      <c r="H85" s="496"/>
      <c r="I85" s="448" t="s">
        <v>499</v>
      </c>
    </row>
    <row r="86" spans="1:12" ht="29.25" x14ac:dyDescent="0.25">
      <c r="A86" s="448"/>
      <c r="B86" s="444" t="s">
        <v>359</v>
      </c>
      <c r="C86" s="455" t="s">
        <v>360</v>
      </c>
      <c r="D86" s="497">
        <v>27172</v>
      </c>
      <c r="E86" s="497">
        <v>24776</v>
      </c>
      <c r="F86" s="498">
        <v>21829</v>
      </c>
      <c r="G86" s="499">
        <f>AVERAGE(D86:F86)</f>
        <v>24592.333333333332</v>
      </c>
      <c r="H86" s="482" t="s">
        <v>381</v>
      </c>
      <c r="I86" s="651" t="s">
        <v>497</v>
      </c>
      <c r="L86">
        <f>36956</f>
        <v>36956</v>
      </c>
    </row>
    <row r="87" spans="1:12" ht="15.75" x14ac:dyDescent="0.25">
      <c r="A87" s="448"/>
      <c r="B87" s="444" t="s">
        <v>382</v>
      </c>
      <c r="C87" s="455"/>
      <c r="D87" s="497">
        <v>19215</v>
      </c>
      <c r="E87" s="497">
        <v>17775.04</v>
      </c>
      <c r="F87" s="497">
        <v>15018.09</v>
      </c>
      <c r="G87" s="499">
        <f>AVERAGE(D87:F87)</f>
        <v>17336.043333333335</v>
      </c>
      <c r="H87" s="482" t="s">
        <v>383</v>
      </c>
      <c r="I87" s="651" t="s">
        <v>498</v>
      </c>
      <c r="L87">
        <v>19105</v>
      </c>
    </row>
    <row r="88" spans="1:12" ht="15.75" x14ac:dyDescent="0.25">
      <c r="A88" s="448"/>
      <c r="B88" s="456" t="s">
        <v>341</v>
      </c>
      <c r="C88" s="444" t="s">
        <v>361</v>
      </c>
      <c r="D88" s="500">
        <v>1.5249999999999999</v>
      </c>
      <c r="E88" s="500">
        <v>1.6080000000000001</v>
      </c>
      <c r="F88" s="501">
        <v>1.57</v>
      </c>
      <c r="G88" s="502">
        <f>AVERAGE(D88:F88)</f>
        <v>1.5676666666666668</v>
      </c>
      <c r="H88" s="453"/>
      <c r="I88" s="448"/>
    </row>
    <row r="89" spans="1:12" x14ac:dyDescent="0.2">
      <c r="A89" s="448"/>
      <c r="B89" s="448"/>
      <c r="C89" s="448"/>
      <c r="D89" s="448"/>
      <c r="E89" s="448"/>
      <c r="F89" s="448"/>
      <c r="G89" s="448"/>
      <c r="H89" s="448"/>
      <c r="I89" s="448"/>
    </row>
    <row r="90" spans="1:12" ht="15.75" x14ac:dyDescent="0.25">
      <c r="A90" s="448"/>
      <c r="B90" s="457" t="s">
        <v>384</v>
      </c>
      <c r="C90" s="458"/>
      <c r="D90" s="459"/>
      <c r="E90" s="459"/>
      <c r="F90" s="460"/>
      <c r="G90" s="448"/>
      <c r="H90" s="448"/>
      <c r="I90" s="448"/>
    </row>
    <row r="91" spans="1:12" x14ac:dyDescent="0.2">
      <c r="A91" s="448"/>
      <c r="B91" s="444"/>
      <c r="C91" s="444"/>
      <c r="D91" s="444" t="s">
        <v>350</v>
      </c>
      <c r="E91" s="461" t="s">
        <v>337</v>
      </c>
      <c r="F91" s="461" t="s">
        <v>351</v>
      </c>
      <c r="G91" s="448"/>
      <c r="H91" s="448"/>
      <c r="I91" s="448"/>
    </row>
    <row r="92" spans="1:12" ht="15.75" x14ac:dyDescent="0.25">
      <c r="A92" s="448"/>
      <c r="B92" s="444" t="s">
        <v>352</v>
      </c>
      <c r="C92" s="461" t="s">
        <v>333</v>
      </c>
      <c r="D92" s="503">
        <f>F79</f>
        <v>2760.06</v>
      </c>
      <c r="E92" s="504">
        <f>D92+D92*0.02*F94/100</f>
        <v>2919.039456</v>
      </c>
      <c r="F92" s="444">
        <f>E92-D92</f>
        <v>158.97945600000003</v>
      </c>
      <c r="G92" s="448" t="s">
        <v>385</v>
      </c>
      <c r="H92" s="448"/>
      <c r="I92" s="448"/>
    </row>
    <row r="93" spans="1:12" ht="15.75" x14ac:dyDescent="0.25">
      <c r="A93" s="448"/>
      <c r="B93" s="444" t="s">
        <v>386</v>
      </c>
      <c r="C93" s="461" t="s">
        <v>336</v>
      </c>
      <c r="D93" s="503">
        <f>F80</f>
        <v>453</v>
      </c>
      <c r="E93" s="504">
        <f>D93-D93*0.033*F94/100</f>
        <v>409.94688000000002</v>
      </c>
      <c r="F93" s="462">
        <f>E93-D93</f>
        <v>-43.053119999999979</v>
      </c>
      <c r="G93" s="448" t="s">
        <v>387</v>
      </c>
      <c r="H93" s="448"/>
      <c r="I93" s="448"/>
    </row>
    <row r="94" spans="1:12" x14ac:dyDescent="0.2">
      <c r="A94" s="448"/>
      <c r="B94" s="444" t="s">
        <v>388</v>
      </c>
      <c r="C94" s="461" t="s">
        <v>389</v>
      </c>
      <c r="D94" s="503">
        <f>F78</f>
        <v>912</v>
      </c>
      <c r="E94" s="505">
        <v>1200</v>
      </c>
      <c r="F94" s="462">
        <f>+E94-D94</f>
        <v>288</v>
      </c>
      <c r="G94" s="448" t="s">
        <v>390</v>
      </c>
      <c r="H94" s="448"/>
      <c r="I94" s="448"/>
    </row>
    <row r="95" spans="1:12" x14ac:dyDescent="0.2">
      <c r="A95" s="448"/>
      <c r="B95" s="448"/>
      <c r="C95" s="448"/>
      <c r="D95" s="448"/>
      <c r="E95" s="448"/>
      <c r="F95" s="448"/>
      <c r="G95" s="448"/>
      <c r="H95" s="448"/>
      <c r="I95" s="448"/>
    </row>
    <row r="96" spans="1:12" ht="15.75" x14ac:dyDescent="0.25">
      <c r="A96" s="448"/>
      <c r="B96" s="463" t="s">
        <v>391</v>
      </c>
      <c r="C96" s="448"/>
      <c r="D96" s="448"/>
      <c r="E96" s="448"/>
      <c r="F96" s="448"/>
      <c r="G96" s="448"/>
      <c r="H96" s="448"/>
      <c r="I96" s="448"/>
    </row>
    <row r="97" spans="1:9" x14ac:dyDescent="0.2">
      <c r="A97" s="506">
        <v>1</v>
      </c>
      <c r="B97" s="507" t="s">
        <v>392</v>
      </c>
      <c r="C97" s="461" t="s">
        <v>393</v>
      </c>
      <c r="D97" s="508">
        <f>F81</f>
        <v>0.86</v>
      </c>
      <c r="E97" s="448"/>
      <c r="F97" s="448"/>
      <c r="G97" s="448"/>
      <c r="H97" s="448"/>
      <c r="I97" s="448"/>
    </row>
    <row r="98" spans="1:9" x14ac:dyDescent="0.2">
      <c r="A98" s="506">
        <v>2</v>
      </c>
      <c r="B98" s="507" t="s">
        <v>394</v>
      </c>
      <c r="C98" s="461" t="s">
        <v>395</v>
      </c>
      <c r="D98" s="509">
        <v>1</v>
      </c>
      <c r="E98" s="448"/>
      <c r="F98" s="448"/>
      <c r="G98" s="448"/>
      <c r="H98" s="448"/>
      <c r="I98" s="448"/>
    </row>
    <row r="99" spans="1:9" x14ac:dyDescent="0.2">
      <c r="A99" s="506">
        <v>3</v>
      </c>
      <c r="B99" s="507" t="s">
        <v>396</v>
      </c>
      <c r="C99" s="461" t="s">
        <v>33</v>
      </c>
      <c r="D99" s="510">
        <f>0.011*(D98-D97)/0.1</f>
        <v>1.54E-2</v>
      </c>
      <c r="E99" s="448" t="s">
        <v>397</v>
      </c>
      <c r="F99" s="448"/>
      <c r="G99" s="448"/>
      <c r="H99" s="448"/>
      <c r="I99" s="448"/>
    </row>
    <row r="100" spans="1:9" x14ac:dyDescent="0.2">
      <c r="A100" s="506">
        <v>4</v>
      </c>
      <c r="B100" s="507" t="s">
        <v>398</v>
      </c>
      <c r="C100" s="461" t="s">
        <v>33</v>
      </c>
      <c r="D100" s="511">
        <f>0.005*(D98-D97)/0.1</f>
        <v>7.000000000000001E-3</v>
      </c>
      <c r="E100" s="448" t="s">
        <v>399</v>
      </c>
      <c r="F100" s="448"/>
      <c r="G100" s="448"/>
      <c r="H100" s="448"/>
      <c r="I100" s="448"/>
    </row>
    <row r="101" spans="1:9" x14ac:dyDescent="0.2">
      <c r="A101" s="448"/>
      <c r="B101" s="448"/>
      <c r="C101" s="448"/>
      <c r="D101" s="448"/>
      <c r="E101" s="448"/>
      <c r="F101" s="448"/>
      <c r="G101" s="448"/>
      <c r="H101" s="448"/>
      <c r="I101" s="448"/>
    </row>
    <row r="102" spans="1:9" x14ac:dyDescent="0.2">
      <c r="A102" s="450"/>
      <c r="B102" s="464" t="s">
        <v>362</v>
      </c>
      <c r="C102" s="450"/>
      <c r="D102" s="450"/>
      <c r="E102" s="450" t="s">
        <v>471</v>
      </c>
      <c r="F102" s="450"/>
      <c r="G102" s="448"/>
      <c r="H102" s="448"/>
      <c r="I102" s="448"/>
    </row>
    <row r="103" spans="1:9" x14ac:dyDescent="0.2">
      <c r="A103" s="436">
        <v>1</v>
      </c>
      <c r="B103" s="465" t="s">
        <v>363</v>
      </c>
      <c r="C103" s="444" t="s">
        <v>364</v>
      </c>
      <c r="D103" s="509">
        <v>0</v>
      </c>
      <c r="E103" s="466"/>
      <c r="F103" s="450"/>
      <c r="G103" s="448"/>
      <c r="H103" s="448" t="s">
        <v>0</v>
      </c>
      <c r="I103" s="448"/>
    </row>
    <row r="104" spans="1:9" x14ac:dyDescent="0.2">
      <c r="A104" s="436">
        <v>2</v>
      </c>
      <c r="B104" s="465" t="s">
        <v>400</v>
      </c>
      <c r="C104" s="444" t="s">
        <v>367</v>
      </c>
      <c r="D104" s="509">
        <v>0</v>
      </c>
      <c r="E104" s="450"/>
      <c r="F104" s="450"/>
      <c r="G104" s="448"/>
      <c r="H104" s="448"/>
      <c r="I104" s="448"/>
    </row>
    <row r="105" spans="1:9" x14ac:dyDescent="0.2">
      <c r="A105" s="436">
        <v>3</v>
      </c>
      <c r="B105" s="436" t="s">
        <v>365</v>
      </c>
      <c r="C105" s="444" t="s">
        <v>366</v>
      </c>
      <c r="D105" s="512">
        <v>0</v>
      </c>
      <c r="E105" s="450"/>
      <c r="F105" s="450"/>
      <c r="G105" s="448"/>
      <c r="H105" s="448"/>
      <c r="I105" s="448"/>
    </row>
    <row r="106" spans="1:9" x14ac:dyDescent="0.2">
      <c r="A106" s="436">
        <v>4</v>
      </c>
      <c r="B106" s="513" t="s">
        <v>401</v>
      </c>
      <c r="C106" s="444" t="s">
        <v>376</v>
      </c>
      <c r="D106" s="514">
        <v>10</v>
      </c>
      <c r="E106" s="450">
        <f>4</f>
        <v>4</v>
      </c>
      <c r="F106" s="450">
        <f>D106-E106</f>
        <v>6</v>
      </c>
      <c r="G106" s="448"/>
      <c r="H106" s="448"/>
      <c r="I106" s="448"/>
    </row>
    <row r="107" spans="1:9" x14ac:dyDescent="0.2">
      <c r="A107" s="436">
        <v>5</v>
      </c>
      <c r="B107" s="473" t="s">
        <v>402</v>
      </c>
      <c r="C107" s="444" t="s">
        <v>366</v>
      </c>
      <c r="D107" s="514">
        <v>110000</v>
      </c>
      <c r="E107" s="450">
        <v>90000</v>
      </c>
      <c r="F107" s="450">
        <f>D107-E107</f>
        <v>20000</v>
      </c>
      <c r="G107" s="448"/>
      <c r="H107" s="448"/>
      <c r="I107" s="448"/>
    </row>
    <row r="108" spans="1:9" x14ac:dyDescent="0.2">
      <c r="A108" s="436">
        <v>6</v>
      </c>
      <c r="B108" s="473" t="s">
        <v>403</v>
      </c>
      <c r="C108" s="444" t="s">
        <v>366</v>
      </c>
      <c r="D108" s="515">
        <v>0</v>
      </c>
      <c r="E108" s="450"/>
      <c r="F108" s="450"/>
      <c r="G108" s="448"/>
      <c r="H108" s="448"/>
      <c r="I108" s="448"/>
    </row>
    <row r="109" spans="1:9" ht="28.5" x14ac:dyDescent="0.2">
      <c r="A109" s="436">
        <v>7</v>
      </c>
      <c r="B109" s="473" t="s">
        <v>404</v>
      </c>
      <c r="C109" s="444" t="s">
        <v>366</v>
      </c>
      <c r="D109" s="516">
        <v>0</v>
      </c>
      <c r="E109" s="450"/>
      <c r="F109" s="450"/>
      <c r="G109" s="448"/>
      <c r="H109" s="448"/>
      <c r="I109" s="448"/>
    </row>
    <row r="110" spans="1:9" x14ac:dyDescent="0.2">
      <c r="A110" s="448"/>
      <c r="B110" s="448"/>
      <c r="C110" s="448"/>
      <c r="D110" s="448"/>
      <c r="E110" s="448"/>
      <c r="F110" s="448"/>
      <c r="G110" s="448"/>
      <c r="H110" s="448"/>
      <c r="I110" s="448"/>
    </row>
    <row r="111" spans="1:9" x14ac:dyDescent="0.2">
      <c r="A111" s="436" t="s">
        <v>25</v>
      </c>
      <c r="B111" s="472" t="s">
        <v>3</v>
      </c>
      <c r="C111" s="472" t="s">
        <v>405</v>
      </c>
      <c r="D111" s="472" t="s">
        <v>406</v>
      </c>
      <c r="E111" s="517"/>
      <c r="F111" s="448"/>
      <c r="G111" s="448"/>
      <c r="H111" s="448"/>
      <c r="I111" s="448"/>
    </row>
    <row r="112" spans="1:9" ht="71.25" x14ac:dyDescent="0.2">
      <c r="A112" s="518">
        <v>1</v>
      </c>
      <c r="B112" s="436" t="s">
        <v>407</v>
      </c>
      <c r="C112" s="519"/>
      <c r="D112" s="520">
        <f>G86</f>
        <v>24592.333333333332</v>
      </c>
      <c r="E112" s="482" t="s">
        <v>408</v>
      </c>
      <c r="F112" s="448"/>
      <c r="G112" s="448"/>
      <c r="H112" s="448"/>
      <c r="I112" s="448"/>
    </row>
    <row r="113" spans="1:9" ht="57" x14ac:dyDescent="0.2">
      <c r="A113" s="518">
        <v>2</v>
      </c>
      <c r="B113" s="436" t="s">
        <v>409</v>
      </c>
      <c r="C113" s="472" t="s">
        <v>410</v>
      </c>
      <c r="D113" s="652">
        <f>17336*0+L87</f>
        <v>19105</v>
      </c>
      <c r="E113" s="521" t="s">
        <v>500</v>
      </c>
      <c r="F113" s="448"/>
      <c r="G113" s="453"/>
      <c r="H113" s="448"/>
      <c r="I113" s="448"/>
    </row>
    <row r="114" spans="1:9" x14ac:dyDescent="0.2">
      <c r="A114" s="518">
        <v>3</v>
      </c>
      <c r="B114" s="436" t="s">
        <v>411</v>
      </c>
      <c r="C114" s="472" t="s">
        <v>410</v>
      </c>
      <c r="D114" s="522">
        <f>+D112-D113</f>
        <v>5487.3333333333321</v>
      </c>
      <c r="E114" s="523"/>
      <c r="F114" s="448"/>
      <c r="G114" s="453"/>
      <c r="H114" s="448"/>
      <c r="I114" s="448"/>
    </row>
    <row r="115" spans="1:9" ht="42.75" x14ac:dyDescent="0.3">
      <c r="A115" s="518">
        <v>4</v>
      </c>
      <c r="B115" s="436" t="s">
        <v>412</v>
      </c>
      <c r="C115" s="472" t="s">
        <v>410</v>
      </c>
      <c r="D115" s="524">
        <v>23586.55</v>
      </c>
      <c r="E115" s="521" t="s">
        <v>413</v>
      </c>
      <c r="F115" s="448"/>
      <c r="G115" s="453"/>
      <c r="H115" s="448"/>
      <c r="I115" s="640"/>
    </row>
    <row r="116" spans="1:9" ht="42.75" x14ac:dyDescent="0.3">
      <c r="A116" s="518">
        <v>5</v>
      </c>
      <c r="B116" s="436" t="s">
        <v>414</v>
      </c>
      <c r="C116" s="472" t="s">
        <v>415</v>
      </c>
      <c r="D116" s="524">
        <v>1080.19</v>
      </c>
      <c r="E116" s="521" t="s">
        <v>413</v>
      </c>
      <c r="F116" s="525"/>
      <c r="G116" s="448"/>
      <c r="H116" s="448"/>
      <c r="I116" s="640"/>
    </row>
    <row r="117" spans="1:9" ht="42.75" x14ac:dyDescent="0.3">
      <c r="A117" s="518">
        <v>6</v>
      </c>
      <c r="B117" s="436" t="s">
        <v>416</v>
      </c>
      <c r="C117" s="472" t="s">
        <v>415</v>
      </c>
      <c r="D117" s="524">
        <v>1074.07</v>
      </c>
      <c r="E117" s="521" t="s">
        <v>413</v>
      </c>
      <c r="F117" s="525"/>
      <c r="G117" s="448"/>
      <c r="H117" s="448"/>
      <c r="I117" s="640"/>
    </row>
    <row r="118" spans="1:9" ht="16.5" x14ac:dyDescent="0.25">
      <c r="A118" s="518">
        <v>7</v>
      </c>
      <c r="B118" s="436" t="s">
        <v>417</v>
      </c>
      <c r="C118" s="472" t="s">
        <v>418</v>
      </c>
      <c r="D118" s="526" t="s">
        <v>379</v>
      </c>
      <c r="E118" s="527"/>
      <c r="F118" s="525"/>
      <c r="G118" s="448"/>
      <c r="H118" s="448"/>
      <c r="I118" s="640"/>
    </row>
    <row r="119" spans="1:9" ht="42.75" x14ac:dyDescent="0.3">
      <c r="A119" s="518">
        <v>8</v>
      </c>
      <c r="B119" s="436" t="s">
        <v>419</v>
      </c>
      <c r="C119" s="472" t="s">
        <v>420</v>
      </c>
      <c r="D119" s="524">
        <v>5072.7</v>
      </c>
      <c r="E119" s="521" t="s">
        <v>413</v>
      </c>
      <c r="F119" s="525"/>
      <c r="G119" s="448"/>
      <c r="H119" s="448"/>
      <c r="I119" s="640"/>
    </row>
    <row r="120" spans="1:9" ht="42.75" x14ac:dyDescent="0.3">
      <c r="A120" s="518">
        <v>9</v>
      </c>
      <c r="B120" s="436" t="s">
        <v>421</v>
      </c>
      <c r="C120" s="472" t="s">
        <v>422</v>
      </c>
      <c r="D120" s="528">
        <v>935.5</v>
      </c>
      <c r="E120" s="521" t="s">
        <v>413</v>
      </c>
      <c r="F120" s="525"/>
      <c r="G120" s="448"/>
      <c r="H120" s="448"/>
      <c r="I120" s="640"/>
    </row>
    <row r="121" spans="1:9" ht="42.75" x14ac:dyDescent="0.3">
      <c r="A121" s="518">
        <v>10</v>
      </c>
      <c r="B121" s="436" t="s">
        <v>423</v>
      </c>
      <c r="C121" s="472" t="s">
        <v>422</v>
      </c>
      <c r="D121" s="524">
        <v>786.44</v>
      </c>
      <c r="E121" s="521" t="s">
        <v>413</v>
      </c>
      <c r="F121" s="525"/>
      <c r="G121" s="448"/>
      <c r="H121" s="448"/>
      <c r="I121" s="640"/>
    </row>
    <row r="122" spans="1:9" ht="42.75" x14ac:dyDescent="0.3">
      <c r="A122" s="518">
        <v>10</v>
      </c>
      <c r="B122" s="436" t="s">
        <v>424</v>
      </c>
      <c r="C122" s="472" t="s">
        <v>422</v>
      </c>
      <c r="D122" s="524">
        <v>2216.2600000000002</v>
      </c>
      <c r="E122" s="521" t="s">
        <v>413</v>
      </c>
      <c r="F122" s="525"/>
      <c r="G122" s="448"/>
      <c r="H122" s="448"/>
      <c r="I122" s="640"/>
    </row>
    <row r="123" spans="1:9" ht="57" x14ac:dyDescent="0.25">
      <c r="A123" s="518">
        <v>11</v>
      </c>
      <c r="B123" s="517" t="s">
        <v>425</v>
      </c>
      <c r="C123" s="440" t="s">
        <v>33</v>
      </c>
      <c r="D123" s="529">
        <v>0.93</v>
      </c>
      <c r="E123" s="521" t="s">
        <v>426</v>
      </c>
      <c r="F123" s="525"/>
      <c r="G123" s="448"/>
      <c r="H123" s="448"/>
      <c r="I123" s="640"/>
    </row>
    <row r="124" spans="1:9" ht="42.75" x14ac:dyDescent="0.3">
      <c r="A124" s="518">
        <v>12</v>
      </c>
      <c r="B124" s="517" t="s">
        <v>427</v>
      </c>
      <c r="C124" s="472" t="s">
        <v>410</v>
      </c>
      <c r="D124" s="524">
        <v>1176.3599999999999</v>
      </c>
      <c r="E124" s="521" t="s">
        <v>413</v>
      </c>
      <c r="F124" s="448"/>
      <c r="G124" s="448"/>
      <c r="H124" s="448"/>
      <c r="I124" s="448"/>
    </row>
    <row r="125" spans="1:9" ht="16.5" x14ac:dyDescent="0.3">
      <c r="A125" s="448"/>
      <c r="B125" s="448"/>
      <c r="C125" s="448"/>
      <c r="D125" s="530"/>
      <c r="E125" s="531"/>
      <c r="F125" s="448"/>
      <c r="G125" s="448"/>
      <c r="H125" s="448"/>
      <c r="I125" s="448"/>
    </row>
    <row r="126" spans="1:9" x14ac:dyDescent="0.2">
      <c r="A126" s="448"/>
      <c r="B126" s="532" t="s">
        <v>344</v>
      </c>
      <c r="C126" s="533" t="s">
        <v>332</v>
      </c>
      <c r="D126" s="534">
        <v>180</v>
      </c>
      <c r="E126" s="448"/>
      <c r="F126" s="448"/>
      <c r="G126" s="448"/>
      <c r="H126" s="448"/>
      <c r="I126" s="448"/>
    </row>
    <row r="127" spans="1:9" x14ac:dyDescent="0.2">
      <c r="A127" s="448"/>
      <c r="B127" s="532" t="s">
        <v>428</v>
      </c>
      <c r="C127" s="533" t="s">
        <v>332</v>
      </c>
      <c r="D127" s="534">
        <v>180</v>
      </c>
      <c r="E127" s="448"/>
      <c r="F127" s="448"/>
      <c r="G127" s="448"/>
      <c r="H127" s="448"/>
      <c r="I127" s="448"/>
    </row>
    <row r="128" spans="1:9" x14ac:dyDescent="0.2">
      <c r="A128" s="448"/>
      <c r="B128" s="532" t="s">
        <v>345</v>
      </c>
      <c r="C128" s="533" t="s">
        <v>332</v>
      </c>
      <c r="D128" s="534">
        <v>0</v>
      </c>
      <c r="E128" s="448"/>
      <c r="F128" s="448"/>
      <c r="G128" s="448"/>
      <c r="H128" s="448"/>
      <c r="I128" s="448"/>
    </row>
    <row r="129" spans="1:9" x14ac:dyDescent="0.2">
      <c r="A129" s="448"/>
      <c r="B129" s="436" t="s">
        <v>429</v>
      </c>
      <c r="C129" s="472" t="s">
        <v>430</v>
      </c>
      <c r="D129" s="505">
        <v>1758</v>
      </c>
      <c r="E129" s="448"/>
      <c r="F129" s="448"/>
      <c r="G129" s="448"/>
      <c r="H129" s="448"/>
      <c r="I129" s="448"/>
    </row>
    <row r="130" spans="1:9" ht="15.75" x14ac:dyDescent="0.25">
      <c r="A130" s="448"/>
      <c r="B130" s="436" t="s">
        <v>431</v>
      </c>
      <c r="C130" s="533" t="s">
        <v>332</v>
      </c>
      <c r="D130" s="535">
        <v>350</v>
      </c>
      <c r="E130" s="536"/>
      <c r="F130" s="448"/>
      <c r="G130" s="448"/>
      <c r="H130" s="448"/>
      <c r="I130" s="448"/>
    </row>
    <row r="131" spans="1:9" x14ac:dyDescent="0.2">
      <c r="A131" s="448"/>
      <c r="B131" s="448"/>
      <c r="C131" s="448"/>
      <c r="D131" s="448"/>
      <c r="E131" s="448"/>
      <c r="F131" s="448"/>
      <c r="G131" s="448"/>
      <c r="H131" s="448"/>
      <c r="I131" s="448"/>
    </row>
    <row r="132" spans="1:9" ht="15.75" x14ac:dyDescent="0.25">
      <c r="A132" s="448"/>
      <c r="B132" s="463" t="s">
        <v>432</v>
      </c>
      <c r="C132" s="448"/>
      <c r="D132" s="448"/>
      <c r="E132" s="448"/>
      <c r="F132" s="448"/>
      <c r="G132" s="448"/>
      <c r="H132" s="448"/>
      <c r="I132" s="448"/>
    </row>
    <row r="133" spans="1:9" x14ac:dyDescent="0.2">
      <c r="A133" s="448"/>
      <c r="B133" s="448"/>
      <c r="C133" s="448"/>
      <c r="D133" s="448"/>
      <c r="E133" s="448"/>
      <c r="F133" s="448"/>
      <c r="G133" s="448"/>
      <c r="H133" s="448"/>
      <c r="I133" s="448"/>
    </row>
    <row r="134" spans="1:9" x14ac:dyDescent="0.2">
      <c r="A134" s="448"/>
      <c r="B134" s="448"/>
      <c r="C134" s="448"/>
      <c r="D134" s="448"/>
      <c r="E134" s="448"/>
      <c r="F134" s="448"/>
      <c r="G134" s="448"/>
      <c r="H134" s="448"/>
      <c r="I134" s="448"/>
    </row>
    <row r="135" spans="1:9" x14ac:dyDescent="0.2">
      <c r="A135" s="448"/>
      <c r="B135" s="448"/>
      <c r="C135" s="448"/>
      <c r="D135" s="448"/>
      <c r="E135" s="448"/>
      <c r="F135" s="448"/>
      <c r="G135" s="448"/>
      <c r="H135" s="448"/>
      <c r="I135" s="448"/>
    </row>
    <row r="136" spans="1:9" x14ac:dyDescent="0.2">
      <c r="A136" s="448"/>
      <c r="B136" s="448"/>
      <c r="C136" s="448"/>
      <c r="D136" s="448"/>
      <c r="E136" s="448"/>
      <c r="F136" s="448"/>
      <c r="G136" s="448"/>
      <c r="H136" s="448"/>
      <c r="I136" s="448"/>
    </row>
    <row r="137" spans="1:9" x14ac:dyDescent="0.2">
      <c r="A137" s="448"/>
      <c r="B137" s="448"/>
      <c r="C137" s="448"/>
      <c r="D137" s="448"/>
      <c r="E137" s="448"/>
      <c r="F137" s="448"/>
      <c r="G137" s="448"/>
      <c r="H137" s="448"/>
      <c r="I137" s="448"/>
    </row>
    <row r="138" spans="1:9" x14ac:dyDescent="0.2">
      <c r="A138" s="448"/>
      <c r="B138" s="448"/>
      <c r="C138" s="448"/>
      <c r="D138" s="448"/>
      <c r="E138" s="448"/>
      <c r="F138" s="448"/>
      <c r="G138" s="448"/>
      <c r="H138" s="448"/>
      <c r="I138" s="448"/>
    </row>
    <row r="139" spans="1:9" x14ac:dyDescent="0.2">
      <c r="A139" s="448"/>
      <c r="B139" s="448"/>
      <c r="C139" s="448"/>
      <c r="D139" s="448"/>
      <c r="E139" s="448"/>
      <c r="F139" s="448"/>
      <c r="G139" s="448"/>
      <c r="H139" s="448"/>
      <c r="I139" s="448"/>
    </row>
    <row r="140" spans="1:9" x14ac:dyDescent="0.2">
      <c r="A140" s="448"/>
      <c r="B140" s="448"/>
      <c r="C140" s="448"/>
      <c r="D140" s="448"/>
      <c r="E140" s="448"/>
      <c r="F140" s="448"/>
      <c r="G140" s="448"/>
      <c r="H140" s="448"/>
      <c r="I140" s="448"/>
    </row>
    <row r="141" spans="1:9" x14ac:dyDescent="0.2">
      <c r="A141" s="448"/>
      <c r="B141" s="448"/>
      <c r="C141" s="448"/>
      <c r="D141" s="448"/>
      <c r="E141" s="448"/>
      <c r="F141" s="448"/>
      <c r="G141" s="448"/>
      <c r="H141" s="448"/>
      <c r="I141" s="448"/>
    </row>
    <row r="142" spans="1:9" x14ac:dyDescent="0.2">
      <c r="A142" s="448"/>
      <c r="B142" s="448"/>
      <c r="C142" s="448"/>
      <c r="D142" s="448"/>
      <c r="E142" s="448"/>
      <c r="F142" s="448"/>
      <c r="G142" s="448"/>
      <c r="H142" s="448"/>
      <c r="I142" s="448"/>
    </row>
    <row r="143" spans="1:9" x14ac:dyDescent="0.2">
      <c r="A143" s="448"/>
      <c r="B143" s="448"/>
      <c r="C143" s="448"/>
      <c r="D143" s="448"/>
      <c r="E143" s="448"/>
      <c r="F143" s="448"/>
      <c r="G143" s="448"/>
      <c r="H143" s="448"/>
      <c r="I143" s="448"/>
    </row>
    <row r="144" spans="1:9" x14ac:dyDescent="0.2">
      <c r="A144" s="448"/>
      <c r="B144" s="448"/>
      <c r="C144" s="448"/>
      <c r="D144" s="448"/>
      <c r="E144" s="448"/>
      <c r="F144" s="448"/>
      <c r="G144" s="448"/>
      <c r="H144" s="448"/>
      <c r="I144" s="448"/>
    </row>
    <row r="145" spans="1:9" x14ac:dyDescent="0.2">
      <c r="A145" s="448"/>
      <c r="B145" s="448"/>
      <c r="C145" s="448"/>
      <c r="D145" s="448"/>
      <c r="E145" s="448"/>
      <c r="F145" s="448"/>
      <c r="G145" s="448"/>
      <c r="H145" s="448"/>
      <c r="I145" s="448"/>
    </row>
    <row r="146" spans="1:9" x14ac:dyDescent="0.2">
      <c r="A146" s="448"/>
      <c r="B146" s="448"/>
      <c r="C146" s="448"/>
      <c r="D146" s="448"/>
      <c r="E146" s="448"/>
      <c r="F146" s="448"/>
      <c r="G146" s="448"/>
      <c r="H146" s="448"/>
      <c r="I146" s="448"/>
    </row>
    <row r="147" spans="1:9" x14ac:dyDescent="0.2">
      <c r="A147" s="448"/>
      <c r="B147" s="448"/>
      <c r="C147" s="448"/>
      <c r="D147" s="448"/>
      <c r="E147" s="448"/>
      <c r="F147" s="448"/>
      <c r="G147" s="448"/>
      <c r="H147" s="448"/>
      <c r="I147" s="448"/>
    </row>
    <row r="148" spans="1:9" x14ac:dyDescent="0.2">
      <c r="A148" s="448"/>
      <c r="B148" s="448"/>
      <c r="C148" s="448"/>
      <c r="D148" s="448"/>
      <c r="E148" s="448"/>
      <c r="F148" s="448"/>
      <c r="G148" s="448"/>
      <c r="H148" s="448"/>
      <c r="I148" s="448"/>
    </row>
  </sheetData>
  <mergeCells count="4">
    <mergeCell ref="A3:F3"/>
    <mergeCell ref="A4:F4"/>
    <mergeCell ref="A5:F5"/>
    <mergeCell ref="B74:H74"/>
  </mergeCells>
  <pageMargins left="0.70866141732283472" right="0.70866141732283472" top="0.74803149606299213" bottom="0.74803149606299213" header="0.31496062992125984" footer="0.31496062992125984"/>
  <pageSetup paperSize="9" scale="2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pageSetUpPr fitToPage="1"/>
  </sheetPr>
  <dimension ref="A1:BS86"/>
  <sheetViews>
    <sheetView showZeros="0" topLeftCell="U1" workbookViewId="0">
      <selection activeCell="Y11" sqref="Y11"/>
    </sheetView>
  </sheetViews>
  <sheetFormatPr defaultRowHeight="15" x14ac:dyDescent="0.2"/>
  <cols>
    <col min="2" max="2" width="24.44140625" customWidth="1"/>
    <col min="4" max="4" width="13.21875" bestFit="1" customWidth="1"/>
    <col min="5" max="5" width="11.88671875" customWidth="1"/>
    <col min="6" max="6" width="8.33203125" bestFit="1" customWidth="1"/>
    <col min="7" max="7" width="16.88671875" customWidth="1"/>
    <col min="8" max="8" width="10" customWidth="1"/>
    <col min="9" max="9" width="10.21875" customWidth="1"/>
    <col min="10" max="10" width="8.33203125" bestFit="1" customWidth="1"/>
    <col min="11" max="11" width="7.5546875" bestFit="1" customWidth="1"/>
    <col min="21" max="21" width="8.33203125" bestFit="1" customWidth="1"/>
    <col min="22" max="22" width="11.109375" customWidth="1"/>
    <col min="23" max="23" width="41.88671875" customWidth="1"/>
    <col min="24" max="24" width="11.5546875" customWidth="1"/>
    <col min="25" max="25" width="9.88671875" customWidth="1"/>
    <col min="26" max="26" width="12.77734375" customWidth="1"/>
    <col min="27" max="27" width="9" bestFit="1" customWidth="1"/>
    <col min="28" max="28" width="10.33203125" customWidth="1"/>
    <col min="29" max="29" width="11.33203125" customWidth="1"/>
    <col min="30" max="30" width="11.21875" customWidth="1"/>
    <col min="31" max="31" width="10.5546875" customWidth="1"/>
    <col min="32" max="32" width="10.77734375" customWidth="1"/>
    <col min="33" max="33" width="10.21875" customWidth="1"/>
    <col min="34" max="34" width="10" customWidth="1"/>
    <col min="35" max="35" width="10.109375" customWidth="1"/>
    <col min="36" max="36" width="8.77734375" customWidth="1"/>
    <col min="37" max="37" width="9.44140625" customWidth="1"/>
    <col min="38" max="38" width="10.6640625" customWidth="1"/>
    <col min="39" max="39" width="11.44140625" customWidth="1"/>
    <col min="40" max="40" width="9.5546875" customWidth="1"/>
    <col min="41" max="41" width="10.88671875" customWidth="1"/>
    <col min="42" max="42" width="8.77734375" customWidth="1"/>
    <col min="43" max="43" width="9" customWidth="1"/>
    <col min="44" max="44" width="10.21875" customWidth="1"/>
    <col min="45" max="45" width="11.44140625" customWidth="1"/>
    <col min="46" max="46" width="10.33203125" customWidth="1"/>
    <col min="47" max="47" width="13.109375" customWidth="1"/>
    <col min="48" max="48" width="12.33203125" customWidth="1"/>
    <col min="49" max="49" width="11.44140625" customWidth="1"/>
    <col min="50" max="50" width="9.109375" customWidth="1"/>
    <col min="51" max="51" width="14.33203125" customWidth="1"/>
    <col min="52" max="52" width="11.5546875" customWidth="1"/>
  </cols>
  <sheetData>
    <row r="1" spans="1:71" ht="20.100000000000001" customHeight="1" x14ac:dyDescent="0.25">
      <c r="V1" s="9"/>
      <c r="W1" s="9" t="s">
        <v>1</v>
      </c>
      <c r="X1" s="9"/>
      <c r="Y1" s="9"/>
      <c r="Z1" s="9"/>
      <c r="AA1" s="9"/>
      <c r="AB1" s="9"/>
      <c r="AC1" s="9"/>
      <c r="AD1" s="9"/>
      <c r="AE1" s="9"/>
      <c r="AF1" s="9"/>
      <c r="AG1" s="9"/>
      <c r="AH1" s="9"/>
      <c r="AI1" s="9"/>
      <c r="AJ1" s="9"/>
      <c r="AK1" s="9"/>
      <c r="AL1" s="9"/>
      <c r="AM1" s="9"/>
      <c r="AN1" s="9"/>
      <c r="AO1" s="9"/>
      <c r="AP1" s="9"/>
      <c r="AQ1" s="9"/>
      <c r="AR1" s="15" t="s">
        <v>137</v>
      </c>
      <c r="AT1" s="9"/>
      <c r="AU1" s="9"/>
    </row>
    <row r="2" spans="1:71" ht="20.100000000000001" customHeight="1" x14ac:dyDescent="0.25">
      <c r="B2" s="7" t="s">
        <v>140</v>
      </c>
      <c r="V2" s="9"/>
      <c r="W2" s="6" t="e">
        <f>#REF!</f>
        <v>#REF!</v>
      </c>
      <c r="X2" s="9"/>
      <c r="Y2" s="9"/>
      <c r="Z2" s="9"/>
      <c r="AA2" s="9"/>
      <c r="AB2" s="64"/>
      <c r="AC2" s="95"/>
      <c r="AD2" s="9"/>
      <c r="AE2" s="9"/>
      <c r="AF2" s="9"/>
      <c r="AG2" s="9"/>
      <c r="AH2" s="9"/>
      <c r="AI2" s="9"/>
      <c r="AJ2" s="9"/>
      <c r="AK2" s="9"/>
      <c r="AL2" s="9"/>
      <c r="AM2" s="9"/>
      <c r="AN2" s="9"/>
      <c r="AO2" s="9"/>
      <c r="AP2" s="9"/>
      <c r="AQ2" s="9"/>
      <c r="AR2" s="9"/>
      <c r="AS2" s="9"/>
      <c r="AT2" s="9"/>
      <c r="AU2" s="9"/>
      <c r="AX2" s="17"/>
      <c r="AY2" s="18"/>
      <c r="AZ2" s="3"/>
      <c r="BA2" s="3"/>
      <c r="BB2" s="3"/>
      <c r="BC2" s="3"/>
      <c r="BD2" s="3"/>
      <c r="BE2" s="3"/>
      <c r="BF2" s="3"/>
      <c r="BG2" s="3"/>
    </row>
    <row r="3" spans="1:71" ht="20.100000000000001" customHeight="1" x14ac:dyDescent="0.25">
      <c r="B3" s="8" t="s">
        <v>6</v>
      </c>
      <c r="C3" s="8" t="s">
        <v>7</v>
      </c>
      <c r="D3" t="s">
        <v>39</v>
      </c>
      <c r="E3" t="s">
        <v>40</v>
      </c>
      <c r="F3" s="8" t="s">
        <v>5</v>
      </c>
      <c r="G3" t="s">
        <v>8</v>
      </c>
      <c r="H3" s="1035" t="s">
        <v>41</v>
      </c>
      <c r="I3" s="1035"/>
      <c r="V3" s="9"/>
      <c r="W3" s="16" t="e">
        <f>+#REF!</f>
        <v>#REF!</v>
      </c>
      <c r="X3" s="21"/>
      <c r="Y3" s="21"/>
      <c r="Z3" s="22" t="s">
        <v>46</v>
      </c>
      <c r="AA3" s="23"/>
      <c r="AB3" s="21"/>
      <c r="AC3" s="21"/>
      <c r="AD3" s="21"/>
      <c r="AE3" s="21"/>
      <c r="AF3" s="21"/>
      <c r="AG3" s="21"/>
      <c r="AH3" s="21"/>
      <c r="AI3" s="21"/>
      <c r="AJ3" s="21"/>
      <c r="AK3" s="21"/>
      <c r="AL3" s="21"/>
      <c r="AM3" s="9"/>
      <c r="AN3" s="9"/>
      <c r="AO3" s="9"/>
      <c r="AP3" s="9"/>
      <c r="AQ3" s="9"/>
      <c r="AR3" s="9"/>
      <c r="AS3" s="9"/>
      <c r="AT3" s="9"/>
      <c r="AU3" s="9"/>
      <c r="AX3" s="3"/>
      <c r="AY3" s="3"/>
      <c r="AZ3" s="3"/>
      <c r="BA3" s="3"/>
      <c r="BB3" s="3"/>
      <c r="BC3" s="3"/>
      <c r="BD3" s="3"/>
      <c r="BE3" s="3"/>
      <c r="BF3" s="3"/>
      <c r="BG3" s="3"/>
    </row>
    <row r="4" spans="1:71" ht="20.100000000000001" customHeight="1" x14ac:dyDescent="0.25">
      <c r="B4" s="19"/>
      <c r="C4" s="20" t="s">
        <v>9</v>
      </c>
      <c r="D4" s="19" t="s">
        <v>42</v>
      </c>
      <c r="E4" s="19" t="s">
        <v>43</v>
      </c>
      <c r="F4" s="103" t="s">
        <v>199</v>
      </c>
      <c r="G4" s="19" t="s">
        <v>11</v>
      </c>
      <c r="H4" s="20" t="s">
        <v>36</v>
      </c>
      <c r="I4" s="20" t="s">
        <v>10</v>
      </c>
      <c r="J4" s="19" t="s">
        <v>44</v>
      </c>
      <c r="K4" s="19" t="s">
        <v>45</v>
      </c>
      <c r="V4" s="9"/>
      <c r="W4" s="25" t="s">
        <v>47</v>
      </c>
      <c r="X4" s="21"/>
      <c r="Y4" s="21"/>
      <c r="Z4" s="21"/>
      <c r="AA4" s="26"/>
      <c r="AB4" s="21"/>
      <c r="AC4" s="21"/>
      <c r="AD4" s="21"/>
      <c r="AE4" s="21"/>
      <c r="AF4" s="21"/>
      <c r="AG4" s="21"/>
      <c r="AH4" s="21"/>
      <c r="AI4" s="9"/>
      <c r="AJ4" s="21"/>
      <c r="AK4" s="21"/>
      <c r="AL4" s="21"/>
      <c r="AO4" s="9"/>
      <c r="AP4" s="9"/>
      <c r="AQ4" s="27" t="s">
        <v>132</v>
      </c>
      <c r="AS4" s="9"/>
      <c r="AT4" s="9"/>
      <c r="AU4" s="9"/>
      <c r="AX4" s="3"/>
      <c r="AY4" s="28"/>
      <c r="AZ4" s="28"/>
      <c r="BA4" s="28"/>
      <c r="BB4" s="28"/>
      <c r="BC4" s="28"/>
      <c r="BD4" s="28"/>
      <c r="BE4" s="28"/>
      <c r="BF4" s="28"/>
      <c r="BG4" s="28"/>
    </row>
    <row r="5" spans="1:71" ht="20.100000000000001" customHeight="1" x14ac:dyDescent="0.25">
      <c r="B5" s="24"/>
      <c r="C5" s="24"/>
      <c r="D5" s="24"/>
      <c r="E5" s="24"/>
      <c r="F5" s="24"/>
      <c r="G5" s="24"/>
      <c r="H5" s="24"/>
      <c r="I5" s="24"/>
      <c r="V5" s="9"/>
      <c r="W5" s="29" t="s">
        <v>48</v>
      </c>
      <c r="X5" s="30" t="s">
        <v>49</v>
      </c>
      <c r="Y5" s="30" t="s">
        <v>50</v>
      </c>
      <c r="Z5" s="30" t="s">
        <v>51</v>
      </c>
      <c r="AA5" s="30" t="s">
        <v>52</v>
      </c>
      <c r="AB5" s="30" t="s">
        <v>53</v>
      </c>
      <c r="AC5" s="30" t="s">
        <v>54</v>
      </c>
      <c r="AD5" s="30" t="s">
        <v>55</v>
      </c>
      <c r="AE5" s="30" t="s">
        <v>56</v>
      </c>
      <c r="AF5" s="30" t="s">
        <v>57</v>
      </c>
      <c r="AG5" s="30" t="s">
        <v>58</v>
      </c>
      <c r="AH5" s="30" t="s">
        <v>59</v>
      </c>
      <c r="AI5" s="30" t="s">
        <v>60</v>
      </c>
      <c r="AJ5" s="30" t="s">
        <v>61</v>
      </c>
      <c r="AK5" s="30" t="s">
        <v>62</v>
      </c>
      <c r="AL5" s="30" t="s">
        <v>63</v>
      </c>
      <c r="AM5" s="30" t="s">
        <v>64</v>
      </c>
      <c r="AN5" s="30" t="s">
        <v>65</v>
      </c>
      <c r="AO5" s="30" t="s">
        <v>66</v>
      </c>
      <c r="AP5" s="30" t="s">
        <v>67</v>
      </c>
      <c r="AQ5" s="30" t="s">
        <v>68</v>
      </c>
      <c r="AR5" s="30" t="s">
        <v>69</v>
      </c>
      <c r="AS5" s="30" t="s">
        <v>70</v>
      </c>
      <c r="AT5" s="30" t="s">
        <v>155</v>
      </c>
      <c r="AU5" s="31"/>
      <c r="AX5" s="3"/>
      <c r="AY5" s="80" t="s">
        <v>71</v>
      </c>
      <c r="AZ5" s="81"/>
      <c r="BA5" s="18"/>
      <c r="BB5" s="82"/>
      <c r="BC5" s="82"/>
      <c r="BD5" s="82"/>
      <c r="BE5" s="82"/>
      <c r="BF5" s="82"/>
      <c r="BG5" s="82"/>
      <c r="BH5" s="82"/>
      <c r="BI5" s="82"/>
      <c r="BJ5" s="80"/>
      <c r="BK5" s="80"/>
      <c r="BL5" s="80"/>
      <c r="BM5" s="80"/>
      <c r="BN5" s="80"/>
      <c r="BO5" s="80"/>
      <c r="BP5" s="80"/>
      <c r="BQ5" s="80"/>
      <c r="BR5" s="80"/>
      <c r="BS5" s="80"/>
    </row>
    <row r="6" spans="1:71" ht="20.100000000000001" customHeight="1" x14ac:dyDescent="0.25">
      <c r="A6" s="32"/>
      <c r="C6" t="e">
        <f>#REF!</f>
        <v>#REF!</v>
      </c>
      <c r="D6" t="e">
        <f>C6*0</f>
        <v>#REF!</v>
      </c>
      <c r="E6" t="e">
        <f>C6*1</f>
        <v>#REF!</v>
      </c>
      <c r="V6" s="9"/>
      <c r="W6" s="33" t="s">
        <v>72</v>
      </c>
      <c r="X6" s="34">
        <v>0</v>
      </c>
      <c r="Y6" s="34">
        <v>0.7</v>
      </c>
      <c r="Z6" s="34">
        <v>0.8</v>
      </c>
      <c r="AA6" s="34">
        <v>0.9</v>
      </c>
      <c r="AB6" s="34">
        <v>0.9</v>
      </c>
      <c r="AC6" s="34">
        <v>0.9</v>
      </c>
      <c r="AD6" s="34">
        <v>0.9</v>
      </c>
      <c r="AE6" s="34">
        <v>0.9</v>
      </c>
      <c r="AF6" s="34">
        <v>0.9</v>
      </c>
      <c r="AG6" s="34">
        <v>0.9</v>
      </c>
      <c r="AH6" s="34">
        <v>0.9</v>
      </c>
      <c r="AI6" s="34">
        <v>0.9</v>
      </c>
      <c r="AJ6" s="34">
        <v>0.9</v>
      </c>
      <c r="AK6" s="34">
        <v>0.9</v>
      </c>
      <c r="AL6" s="34">
        <v>0.9</v>
      </c>
      <c r="AM6" s="34">
        <v>0.9</v>
      </c>
      <c r="AN6" s="34">
        <v>0.9</v>
      </c>
      <c r="AO6" s="34">
        <v>0.9</v>
      </c>
      <c r="AP6" s="34">
        <v>0.9</v>
      </c>
      <c r="AQ6" s="34">
        <v>0.9</v>
      </c>
      <c r="AR6" s="34">
        <v>0.9</v>
      </c>
      <c r="AS6" s="34">
        <v>0.9</v>
      </c>
      <c r="AT6" s="34">
        <f>$AC$6*0</f>
        <v>0</v>
      </c>
      <c r="AU6" s="35"/>
      <c r="AX6" s="3"/>
      <c r="AY6" s="80" t="s">
        <v>73</v>
      </c>
      <c r="AZ6" s="36">
        <v>0.15</v>
      </c>
      <c r="BA6" s="82"/>
      <c r="BB6" s="82"/>
      <c r="BC6" s="82"/>
      <c r="BD6" s="82"/>
      <c r="BE6" s="82"/>
      <c r="BF6" s="82"/>
      <c r="BG6" s="82"/>
      <c r="BH6" s="82"/>
      <c r="BI6" s="82"/>
      <c r="BJ6" s="80"/>
      <c r="BK6" s="80"/>
      <c r="BL6" s="80"/>
      <c r="BM6" s="80"/>
      <c r="BN6" s="80"/>
      <c r="BO6" s="80"/>
      <c r="BP6" s="80"/>
      <c r="BQ6" s="80"/>
      <c r="BR6" s="80"/>
      <c r="BS6" s="80"/>
    </row>
    <row r="7" spans="1:71" ht="20.100000000000001" customHeight="1" x14ac:dyDescent="0.25">
      <c r="A7" s="32"/>
      <c r="B7" s="8" t="s">
        <v>13</v>
      </c>
      <c r="C7" s="100" t="e">
        <f>#REF!</f>
        <v>#REF!</v>
      </c>
      <c r="D7" t="e">
        <f>#REF!</f>
        <v>#REF!</v>
      </c>
      <c r="E7" t="e">
        <f>#REF!</f>
        <v>#REF!</v>
      </c>
      <c r="F7" t="e">
        <f>#REF!</f>
        <v>#REF!</v>
      </c>
      <c r="G7" t="e">
        <f>D7+E7+F7</f>
        <v>#REF!</v>
      </c>
      <c r="H7" t="e">
        <f>+G7*0</f>
        <v>#REF!</v>
      </c>
      <c r="I7" t="e">
        <f>+G7*1</f>
        <v>#REF!</v>
      </c>
      <c r="K7" t="e">
        <f>+J7+I7</f>
        <v>#REF!</v>
      </c>
      <c r="V7" s="9"/>
      <c r="W7" s="37" t="s">
        <v>74</v>
      </c>
      <c r="X7" s="38" t="e">
        <f>$D$14*X6*0</f>
        <v>#REF!</v>
      </c>
      <c r="Y7" s="38" t="e">
        <f>$D$14*Y6*8/12</f>
        <v>#REF!</v>
      </c>
      <c r="Z7" s="38" t="e">
        <f>$D$14*Z6</f>
        <v>#REF!</v>
      </c>
      <c r="AA7" s="38" t="e">
        <f t="shared" ref="AA7:AQ7" si="0">$D$14*AA6</f>
        <v>#REF!</v>
      </c>
      <c r="AB7" s="38" t="e">
        <f t="shared" si="0"/>
        <v>#REF!</v>
      </c>
      <c r="AC7" s="38" t="e">
        <f t="shared" si="0"/>
        <v>#REF!</v>
      </c>
      <c r="AD7" s="38" t="e">
        <f t="shared" si="0"/>
        <v>#REF!</v>
      </c>
      <c r="AE7" s="38" t="e">
        <f t="shared" si="0"/>
        <v>#REF!</v>
      </c>
      <c r="AF7" s="38" t="e">
        <f t="shared" si="0"/>
        <v>#REF!</v>
      </c>
      <c r="AG7" s="38" t="e">
        <f t="shared" si="0"/>
        <v>#REF!</v>
      </c>
      <c r="AH7" s="38" t="e">
        <f t="shared" si="0"/>
        <v>#REF!</v>
      </c>
      <c r="AI7" s="38" t="e">
        <f t="shared" si="0"/>
        <v>#REF!</v>
      </c>
      <c r="AJ7" s="38" t="e">
        <f t="shared" si="0"/>
        <v>#REF!</v>
      </c>
      <c r="AK7" s="38" t="e">
        <f t="shared" si="0"/>
        <v>#REF!</v>
      </c>
      <c r="AL7" s="38" t="e">
        <f t="shared" si="0"/>
        <v>#REF!</v>
      </c>
      <c r="AM7" s="38" t="e">
        <f t="shared" si="0"/>
        <v>#REF!</v>
      </c>
      <c r="AN7" s="38" t="e">
        <f t="shared" si="0"/>
        <v>#REF!</v>
      </c>
      <c r="AO7" s="38" t="e">
        <f t="shared" si="0"/>
        <v>#REF!</v>
      </c>
      <c r="AP7" s="38" t="e">
        <f t="shared" si="0"/>
        <v>#REF!</v>
      </c>
      <c r="AQ7" s="38" t="e">
        <f t="shared" si="0"/>
        <v>#REF!</v>
      </c>
      <c r="AR7" s="38" t="e">
        <f>$D$14*AR6</f>
        <v>#REF!</v>
      </c>
      <c r="AS7" s="38" t="e">
        <f>$D$14*AS6*4/12</f>
        <v>#REF!</v>
      </c>
      <c r="AT7" s="38" t="e">
        <f>$D$14*AT6*5/12</f>
        <v>#REF!</v>
      </c>
      <c r="AU7" s="21"/>
      <c r="AX7" s="3"/>
      <c r="AY7" s="83" t="s">
        <v>75</v>
      </c>
      <c r="AZ7" s="83">
        <v>1</v>
      </c>
      <c r="BA7" s="83">
        <v>2</v>
      </c>
      <c r="BB7" s="83">
        <v>3</v>
      </c>
      <c r="BC7" s="83">
        <v>4</v>
      </c>
      <c r="BD7" s="83">
        <v>5</v>
      </c>
      <c r="BE7" s="83">
        <v>6</v>
      </c>
      <c r="BF7" s="83">
        <v>7</v>
      </c>
      <c r="BG7" s="83">
        <v>8</v>
      </c>
      <c r="BH7" s="83">
        <v>9</v>
      </c>
      <c r="BI7" s="83">
        <v>10</v>
      </c>
      <c r="BJ7" s="83">
        <v>11</v>
      </c>
      <c r="BK7" s="83">
        <v>12</v>
      </c>
      <c r="BL7" s="83">
        <v>13</v>
      </c>
      <c r="BM7" s="83">
        <v>14</v>
      </c>
      <c r="BN7" s="83">
        <v>15</v>
      </c>
      <c r="BO7" s="83">
        <v>16</v>
      </c>
      <c r="BP7" s="83">
        <v>17</v>
      </c>
      <c r="BQ7" s="83">
        <v>18</v>
      </c>
      <c r="BR7" s="83">
        <v>19</v>
      </c>
      <c r="BS7" s="83">
        <v>20</v>
      </c>
    </row>
    <row r="8" spans="1:71" ht="20.100000000000001" customHeight="1" x14ac:dyDescent="0.25">
      <c r="B8" s="8" t="s">
        <v>131</v>
      </c>
      <c r="C8" s="100" t="e">
        <f>#REF!</f>
        <v>#REF!</v>
      </c>
      <c r="D8" t="e">
        <f>#REF!</f>
        <v>#REF!</v>
      </c>
      <c r="E8" t="e">
        <f>#REF!</f>
        <v>#REF!</v>
      </c>
      <c r="F8" t="e">
        <f>#REF!</f>
        <v>#REF!</v>
      </c>
      <c r="G8" t="e">
        <f>D8+E8+F8</f>
        <v>#REF!</v>
      </c>
      <c r="H8" t="e">
        <f>+G8*0</f>
        <v>#REF!</v>
      </c>
      <c r="I8" t="e">
        <f>+G8*1</f>
        <v>#REF!</v>
      </c>
      <c r="J8">
        <v>0</v>
      </c>
      <c r="K8" t="e">
        <f>+J8+I8</f>
        <v>#REF!</v>
      </c>
      <c r="V8" s="9"/>
      <c r="W8" s="37" t="s">
        <v>150</v>
      </c>
      <c r="X8" s="38" t="e">
        <f>+X30+X31</f>
        <v>#REF!</v>
      </c>
      <c r="Y8" s="38" t="e">
        <f>+Y30+Y31</f>
        <v>#REF!</v>
      </c>
      <c r="Z8" s="38" t="e">
        <f t="shared" ref="Z8:AS8" si="1">+Z30+Z31</f>
        <v>#REF!</v>
      </c>
      <c r="AA8" s="38" t="e">
        <f t="shared" si="1"/>
        <v>#REF!</v>
      </c>
      <c r="AB8" s="38" t="e">
        <f t="shared" si="1"/>
        <v>#REF!</v>
      </c>
      <c r="AC8" s="38" t="e">
        <f t="shared" si="1"/>
        <v>#REF!</v>
      </c>
      <c r="AD8" s="38" t="e">
        <f t="shared" si="1"/>
        <v>#REF!</v>
      </c>
      <c r="AE8" s="38" t="e">
        <f t="shared" si="1"/>
        <v>#REF!</v>
      </c>
      <c r="AF8" s="38" t="e">
        <f t="shared" si="1"/>
        <v>#REF!</v>
      </c>
      <c r="AG8" s="38" t="e">
        <f t="shared" si="1"/>
        <v>#REF!</v>
      </c>
      <c r="AH8" s="38" t="e">
        <f t="shared" si="1"/>
        <v>#REF!</v>
      </c>
      <c r="AI8" s="38" t="e">
        <f t="shared" si="1"/>
        <v>#REF!</v>
      </c>
      <c r="AJ8" s="38" t="e">
        <f t="shared" si="1"/>
        <v>#REF!</v>
      </c>
      <c r="AK8" s="38" t="e">
        <f t="shared" si="1"/>
        <v>#REF!</v>
      </c>
      <c r="AL8" s="38" t="e">
        <f t="shared" si="1"/>
        <v>#REF!</v>
      </c>
      <c r="AM8" s="38" t="e">
        <f t="shared" si="1"/>
        <v>#REF!</v>
      </c>
      <c r="AN8" s="38" t="e">
        <f t="shared" si="1"/>
        <v>#REF!</v>
      </c>
      <c r="AO8" s="38" t="e">
        <f t="shared" si="1"/>
        <v>#REF!</v>
      </c>
      <c r="AP8" s="38" t="e">
        <f t="shared" si="1"/>
        <v>#REF!</v>
      </c>
      <c r="AQ8" s="38" t="e">
        <f t="shared" si="1"/>
        <v>#REF!</v>
      </c>
      <c r="AR8" s="38" t="e">
        <f t="shared" si="1"/>
        <v>#REF!</v>
      </c>
      <c r="AS8" s="38" t="e">
        <f t="shared" si="1"/>
        <v>#REF!</v>
      </c>
      <c r="AT8" s="38" t="e">
        <f t="shared" ref="AT8" si="2">+AT30+AT31</f>
        <v>#REF!</v>
      </c>
      <c r="AU8" s="21"/>
      <c r="AV8" s="21" t="s">
        <v>77</v>
      </c>
      <c r="AX8" s="3"/>
      <c r="AY8" s="80" t="s">
        <v>127</v>
      </c>
      <c r="AZ8" s="28" t="e">
        <f>D17</f>
        <v>#REF!</v>
      </c>
      <c r="BA8" s="28" t="e">
        <f t="shared" ref="BA8:BS8" si="3">+AZ10</f>
        <v>#REF!</v>
      </c>
      <c r="BB8" s="28" t="e">
        <f t="shared" si="3"/>
        <v>#REF!</v>
      </c>
      <c r="BC8" s="28" t="e">
        <f t="shared" si="3"/>
        <v>#REF!</v>
      </c>
      <c r="BD8" s="28" t="e">
        <f t="shared" si="3"/>
        <v>#REF!</v>
      </c>
      <c r="BE8" s="28" t="e">
        <f t="shared" si="3"/>
        <v>#REF!</v>
      </c>
      <c r="BF8" s="28" t="e">
        <f t="shared" si="3"/>
        <v>#REF!</v>
      </c>
      <c r="BG8" s="28" t="e">
        <f t="shared" si="3"/>
        <v>#REF!</v>
      </c>
      <c r="BH8" s="28" t="e">
        <f t="shared" si="3"/>
        <v>#REF!</v>
      </c>
      <c r="BI8" s="28" t="e">
        <f t="shared" si="3"/>
        <v>#REF!</v>
      </c>
      <c r="BJ8" s="28" t="e">
        <f t="shared" si="3"/>
        <v>#REF!</v>
      </c>
      <c r="BK8" s="28" t="e">
        <f t="shared" si="3"/>
        <v>#REF!</v>
      </c>
      <c r="BL8" s="28" t="e">
        <f t="shared" si="3"/>
        <v>#REF!</v>
      </c>
      <c r="BM8" s="28" t="e">
        <f t="shared" si="3"/>
        <v>#REF!</v>
      </c>
      <c r="BN8" s="28" t="e">
        <f t="shared" si="3"/>
        <v>#REF!</v>
      </c>
      <c r="BO8" s="28" t="e">
        <f t="shared" si="3"/>
        <v>#REF!</v>
      </c>
      <c r="BP8" s="28" t="e">
        <f t="shared" si="3"/>
        <v>#REF!</v>
      </c>
      <c r="BQ8" s="28" t="e">
        <f t="shared" si="3"/>
        <v>#REF!</v>
      </c>
      <c r="BR8" s="28" t="e">
        <f t="shared" si="3"/>
        <v>#REF!</v>
      </c>
      <c r="BS8" s="28" t="e">
        <f t="shared" si="3"/>
        <v>#REF!</v>
      </c>
    </row>
    <row r="9" spans="1:71" ht="20.100000000000001" customHeight="1" x14ac:dyDescent="0.25">
      <c r="B9" s="8" t="s">
        <v>154</v>
      </c>
      <c r="C9" s="100" t="e">
        <f>#REF!</f>
        <v>#REF!</v>
      </c>
      <c r="D9" t="e">
        <f>#REF!</f>
        <v>#REF!</v>
      </c>
      <c r="E9" t="e">
        <f>#REF!</f>
        <v>#REF!</v>
      </c>
      <c r="F9" t="e">
        <f>#REF!</f>
        <v>#REF!</v>
      </c>
      <c r="G9" t="e">
        <f>D9+E9+F9</f>
        <v>#REF!</v>
      </c>
      <c r="H9" t="e">
        <f>+G9*0</f>
        <v>#REF!</v>
      </c>
      <c r="I9" t="e">
        <f>+G9*1</f>
        <v>#REF!</v>
      </c>
      <c r="J9">
        <v>0</v>
      </c>
      <c r="K9" t="e">
        <f>+J9+I9</f>
        <v>#REF!</v>
      </c>
      <c r="V9" s="9"/>
      <c r="W9" s="37" t="s">
        <v>121</v>
      </c>
      <c r="X9" s="37"/>
      <c r="Y9" s="37" t="e">
        <f>AZ9</f>
        <v>#REF!</v>
      </c>
      <c r="Z9" s="37" t="e">
        <f t="shared" ref="Z9:AT9" si="4">BA9</f>
        <v>#REF!</v>
      </c>
      <c r="AA9" s="37" t="e">
        <f t="shared" si="4"/>
        <v>#REF!</v>
      </c>
      <c r="AB9" s="37" t="e">
        <f t="shared" si="4"/>
        <v>#REF!</v>
      </c>
      <c r="AC9" s="37" t="e">
        <f t="shared" si="4"/>
        <v>#REF!</v>
      </c>
      <c r="AD9" s="37" t="e">
        <f t="shared" si="4"/>
        <v>#REF!</v>
      </c>
      <c r="AE9" s="37" t="e">
        <f t="shared" si="4"/>
        <v>#REF!</v>
      </c>
      <c r="AF9" s="37" t="e">
        <f t="shared" si="4"/>
        <v>#REF!</v>
      </c>
      <c r="AG9" s="37" t="e">
        <f t="shared" si="4"/>
        <v>#REF!</v>
      </c>
      <c r="AH9" s="37" t="e">
        <f t="shared" si="4"/>
        <v>#REF!</v>
      </c>
      <c r="AI9" s="37" t="e">
        <f t="shared" si="4"/>
        <v>#REF!</v>
      </c>
      <c r="AJ9" s="37" t="e">
        <f t="shared" si="4"/>
        <v>#REF!</v>
      </c>
      <c r="AK9" s="37" t="e">
        <f t="shared" si="4"/>
        <v>#REF!</v>
      </c>
      <c r="AL9" s="37" t="e">
        <f t="shared" si="4"/>
        <v>#REF!</v>
      </c>
      <c r="AM9" s="37" t="e">
        <f t="shared" si="4"/>
        <v>#REF!</v>
      </c>
      <c r="AN9" s="37" t="e">
        <f t="shared" si="4"/>
        <v>#REF!</v>
      </c>
      <c r="AO9" s="37" t="e">
        <f t="shared" si="4"/>
        <v>#REF!</v>
      </c>
      <c r="AP9" s="37" t="e">
        <f t="shared" si="4"/>
        <v>#REF!</v>
      </c>
      <c r="AQ9" s="37" t="e">
        <f t="shared" si="4"/>
        <v>#REF!</v>
      </c>
      <c r="AR9" s="37">
        <f t="shared" si="4"/>
        <v>0</v>
      </c>
      <c r="AS9" s="37">
        <f t="shared" si="4"/>
        <v>0</v>
      </c>
      <c r="AT9" s="37">
        <f t="shared" si="4"/>
        <v>0</v>
      </c>
      <c r="AU9" s="21" t="e">
        <f>SUM(Y9:AS9)</f>
        <v>#REF!</v>
      </c>
      <c r="AV9" s="21" t="e">
        <f>+D17*0.95</f>
        <v>#REF!</v>
      </c>
      <c r="AX9" s="3"/>
      <c r="AY9" s="80" t="s">
        <v>128</v>
      </c>
      <c r="AZ9" s="28" t="e">
        <f>+AZ8*$AZ$6*2/12</f>
        <v>#REF!</v>
      </c>
      <c r="BA9" s="28" t="e">
        <f t="shared" ref="BA9:BQ9" si="5">+BA8*$AZ$6</f>
        <v>#REF!</v>
      </c>
      <c r="BB9" s="28" t="e">
        <f t="shared" si="5"/>
        <v>#REF!</v>
      </c>
      <c r="BC9" s="28" t="e">
        <f t="shared" si="5"/>
        <v>#REF!</v>
      </c>
      <c r="BD9" s="28" t="e">
        <f t="shared" si="5"/>
        <v>#REF!</v>
      </c>
      <c r="BE9" s="28" t="e">
        <f t="shared" si="5"/>
        <v>#REF!</v>
      </c>
      <c r="BF9" s="28" t="e">
        <f t="shared" si="5"/>
        <v>#REF!</v>
      </c>
      <c r="BG9" s="28" t="e">
        <f t="shared" si="5"/>
        <v>#REF!</v>
      </c>
      <c r="BH9" s="28" t="e">
        <f t="shared" si="5"/>
        <v>#REF!</v>
      </c>
      <c r="BI9" s="28" t="e">
        <f t="shared" si="5"/>
        <v>#REF!</v>
      </c>
      <c r="BJ9" s="28" t="e">
        <f t="shared" si="5"/>
        <v>#REF!</v>
      </c>
      <c r="BK9" s="28" t="e">
        <f t="shared" si="5"/>
        <v>#REF!</v>
      </c>
      <c r="BL9" s="28" t="e">
        <f t="shared" si="5"/>
        <v>#REF!</v>
      </c>
      <c r="BM9" s="28" t="e">
        <f t="shared" si="5"/>
        <v>#REF!</v>
      </c>
      <c r="BN9" s="28" t="e">
        <f t="shared" si="5"/>
        <v>#REF!</v>
      </c>
      <c r="BO9" s="28" t="e">
        <f t="shared" si="5"/>
        <v>#REF!</v>
      </c>
      <c r="BP9" s="28" t="e">
        <f t="shared" si="5"/>
        <v>#REF!</v>
      </c>
      <c r="BQ9" s="28" t="e">
        <f t="shared" si="5"/>
        <v>#REF!</v>
      </c>
      <c r="BR9" s="28" t="e">
        <f>AZ12-SUM(AZ9:BQ9)</f>
        <v>#REF!</v>
      </c>
      <c r="BS9" s="28"/>
    </row>
    <row r="10" spans="1:71" ht="20.100000000000001" customHeight="1" x14ac:dyDescent="0.25">
      <c r="B10" s="8" t="s">
        <v>76</v>
      </c>
      <c r="C10" s="100" t="e">
        <f>#REF!</f>
        <v>#REF!</v>
      </c>
      <c r="D10" t="e">
        <f>#REF!</f>
        <v>#REF!</v>
      </c>
      <c r="E10" t="e">
        <f>#REF!</f>
        <v>#REF!</v>
      </c>
      <c r="F10" t="e">
        <f>#REF!</f>
        <v>#REF!</v>
      </c>
      <c r="G10" t="e">
        <f>D10+E10+F10</f>
        <v>#REF!</v>
      </c>
      <c r="H10" t="e">
        <f>+G10*0</f>
        <v>#REF!</v>
      </c>
      <c r="I10" t="e">
        <f>G10*1</f>
        <v>#REF!</v>
      </c>
      <c r="K10" t="e">
        <f>+J10+I10</f>
        <v>#REF!</v>
      </c>
      <c r="N10" s="24"/>
      <c r="O10" s="24"/>
      <c r="P10" s="24"/>
      <c r="Q10" s="24"/>
      <c r="R10" s="24"/>
      <c r="S10" s="24"/>
      <c r="T10" s="24"/>
      <c r="V10" s="9"/>
      <c r="W10" s="37" t="s">
        <v>78</v>
      </c>
      <c r="X10" s="37" t="e">
        <f t="shared" ref="X10:AS10" si="6">+X7-X8-X9</f>
        <v>#REF!</v>
      </c>
      <c r="Y10" s="37" t="e">
        <f t="shared" si="6"/>
        <v>#REF!</v>
      </c>
      <c r="Z10" s="37" t="e">
        <f t="shared" si="6"/>
        <v>#REF!</v>
      </c>
      <c r="AA10" s="37" t="e">
        <f t="shared" si="6"/>
        <v>#REF!</v>
      </c>
      <c r="AB10" s="37" t="e">
        <f t="shared" si="6"/>
        <v>#REF!</v>
      </c>
      <c r="AC10" s="37" t="e">
        <f t="shared" si="6"/>
        <v>#REF!</v>
      </c>
      <c r="AD10" s="37" t="e">
        <f t="shared" si="6"/>
        <v>#REF!</v>
      </c>
      <c r="AE10" s="37" t="e">
        <f t="shared" si="6"/>
        <v>#REF!</v>
      </c>
      <c r="AF10" s="37" t="e">
        <f t="shared" si="6"/>
        <v>#REF!</v>
      </c>
      <c r="AG10" s="37" t="e">
        <f t="shared" si="6"/>
        <v>#REF!</v>
      </c>
      <c r="AH10" s="37" t="e">
        <f t="shared" si="6"/>
        <v>#REF!</v>
      </c>
      <c r="AI10" s="37" t="e">
        <f t="shared" si="6"/>
        <v>#REF!</v>
      </c>
      <c r="AJ10" s="37" t="e">
        <f t="shared" si="6"/>
        <v>#REF!</v>
      </c>
      <c r="AK10" s="37" t="e">
        <f t="shared" si="6"/>
        <v>#REF!</v>
      </c>
      <c r="AL10" s="37" t="e">
        <f t="shared" si="6"/>
        <v>#REF!</v>
      </c>
      <c r="AM10" s="37" t="e">
        <f t="shared" si="6"/>
        <v>#REF!</v>
      </c>
      <c r="AN10" s="37" t="e">
        <f t="shared" si="6"/>
        <v>#REF!</v>
      </c>
      <c r="AO10" s="37" t="e">
        <f t="shared" si="6"/>
        <v>#REF!</v>
      </c>
      <c r="AP10" s="37" t="e">
        <f t="shared" si="6"/>
        <v>#REF!</v>
      </c>
      <c r="AQ10" s="37" t="e">
        <f t="shared" si="6"/>
        <v>#REF!</v>
      </c>
      <c r="AR10" s="37" t="e">
        <f t="shared" si="6"/>
        <v>#REF!</v>
      </c>
      <c r="AS10" s="37" t="e">
        <f t="shared" si="6"/>
        <v>#REF!</v>
      </c>
      <c r="AT10" s="37" t="e">
        <f t="shared" ref="AT10" si="7">+AT7-AT8-AT9</f>
        <v>#REF!</v>
      </c>
      <c r="AU10" s="21"/>
      <c r="AV10" s="21"/>
      <c r="AX10" s="3"/>
      <c r="AY10" s="80" t="s">
        <v>129</v>
      </c>
      <c r="AZ10" s="28" t="e">
        <f>+AZ8-AZ9</f>
        <v>#REF!</v>
      </c>
      <c r="BA10" s="28" t="e">
        <f t="shared" ref="BA10:BS10" si="8">+BA8-BA9</f>
        <v>#REF!</v>
      </c>
      <c r="BB10" s="28" t="e">
        <f t="shared" si="8"/>
        <v>#REF!</v>
      </c>
      <c r="BC10" s="28" t="e">
        <f t="shared" si="8"/>
        <v>#REF!</v>
      </c>
      <c r="BD10" s="28" t="e">
        <f t="shared" si="8"/>
        <v>#REF!</v>
      </c>
      <c r="BE10" s="28" t="e">
        <f t="shared" si="8"/>
        <v>#REF!</v>
      </c>
      <c r="BF10" s="28" t="e">
        <f t="shared" si="8"/>
        <v>#REF!</v>
      </c>
      <c r="BG10" s="28" t="e">
        <f t="shared" si="8"/>
        <v>#REF!</v>
      </c>
      <c r="BH10" s="28" t="e">
        <f t="shared" si="8"/>
        <v>#REF!</v>
      </c>
      <c r="BI10" s="28" t="e">
        <f t="shared" si="8"/>
        <v>#REF!</v>
      </c>
      <c r="BJ10" s="28" t="e">
        <f t="shared" si="8"/>
        <v>#REF!</v>
      </c>
      <c r="BK10" s="28" t="e">
        <f t="shared" si="8"/>
        <v>#REF!</v>
      </c>
      <c r="BL10" s="28" t="e">
        <f t="shared" si="8"/>
        <v>#REF!</v>
      </c>
      <c r="BM10" s="28" t="e">
        <f t="shared" si="8"/>
        <v>#REF!</v>
      </c>
      <c r="BN10" s="28" t="e">
        <f t="shared" si="8"/>
        <v>#REF!</v>
      </c>
      <c r="BO10" s="28" t="e">
        <f t="shared" si="8"/>
        <v>#REF!</v>
      </c>
      <c r="BP10" s="28" t="e">
        <f t="shared" si="8"/>
        <v>#REF!</v>
      </c>
      <c r="BQ10" s="28" t="e">
        <f t="shared" si="8"/>
        <v>#REF!</v>
      </c>
      <c r="BR10" s="28" t="e">
        <f t="shared" si="8"/>
        <v>#REF!</v>
      </c>
      <c r="BS10" s="28" t="e">
        <f t="shared" si="8"/>
        <v>#REF!</v>
      </c>
    </row>
    <row r="11" spans="1:71" ht="20.100000000000001" customHeight="1" x14ac:dyDescent="0.25">
      <c r="B11" s="39" t="s">
        <v>4</v>
      </c>
      <c r="C11" s="101" t="e">
        <f t="shared" ref="C11:K11" si="9">SUM(C7:C10)</f>
        <v>#REF!</v>
      </c>
      <c r="D11" s="39" t="e">
        <f t="shared" si="9"/>
        <v>#REF!</v>
      </c>
      <c r="E11" s="39" t="e">
        <f t="shared" si="9"/>
        <v>#REF!</v>
      </c>
      <c r="F11" s="39" t="e">
        <f t="shared" si="9"/>
        <v>#REF!</v>
      </c>
      <c r="G11" s="39" t="e">
        <f t="shared" si="9"/>
        <v>#REF!</v>
      </c>
      <c r="H11" s="39" t="e">
        <f t="shared" si="9"/>
        <v>#REF!</v>
      </c>
      <c r="I11" s="39" t="e">
        <f t="shared" si="9"/>
        <v>#REF!</v>
      </c>
      <c r="J11" s="39">
        <f t="shared" si="9"/>
        <v>0</v>
      </c>
      <c r="K11" s="39" t="e">
        <f t="shared" si="9"/>
        <v>#REF!</v>
      </c>
      <c r="M11" t="e">
        <f>+K11+H11</f>
        <v>#REF!</v>
      </c>
      <c r="V11" s="41">
        <f>30*1.12*1.04%</f>
        <v>0.34943999999999997</v>
      </c>
      <c r="W11" s="37" t="s">
        <v>149</v>
      </c>
      <c r="X11" s="37" t="e">
        <f t="shared" ref="X11:AS11" si="10">IF(X10&gt;0,X10*$V$11,0)*$V$12</f>
        <v>#REF!</v>
      </c>
      <c r="Y11" s="37" t="e">
        <f t="shared" si="10"/>
        <v>#REF!</v>
      </c>
      <c r="Z11" s="37" t="e">
        <f t="shared" si="10"/>
        <v>#REF!</v>
      </c>
      <c r="AA11" s="37" t="e">
        <f>IF(AA10&gt;0,AA10*$V$11,0)*$V$12</f>
        <v>#REF!</v>
      </c>
      <c r="AB11" s="37" t="e">
        <f t="shared" si="10"/>
        <v>#REF!</v>
      </c>
      <c r="AC11" s="37" t="e">
        <f t="shared" si="10"/>
        <v>#REF!</v>
      </c>
      <c r="AD11" s="37" t="e">
        <f t="shared" si="10"/>
        <v>#REF!</v>
      </c>
      <c r="AE11" s="37" t="e">
        <f t="shared" si="10"/>
        <v>#REF!</v>
      </c>
      <c r="AF11" s="37" t="e">
        <f t="shared" si="10"/>
        <v>#REF!</v>
      </c>
      <c r="AG11" s="37" t="e">
        <f t="shared" si="10"/>
        <v>#REF!</v>
      </c>
      <c r="AH11" s="37" t="e">
        <f t="shared" si="10"/>
        <v>#REF!</v>
      </c>
      <c r="AI11" s="37" t="e">
        <f t="shared" si="10"/>
        <v>#REF!</v>
      </c>
      <c r="AJ11" s="37" t="e">
        <f t="shared" si="10"/>
        <v>#REF!</v>
      </c>
      <c r="AK11" s="37" t="e">
        <f t="shared" si="10"/>
        <v>#REF!</v>
      </c>
      <c r="AL11" s="37" t="e">
        <f t="shared" si="10"/>
        <v>#REF!</v>
      </c>
      <c r="AM11" s="37" t="e">
        <f t="shared" si="10"/>
        <v>#REF!</v>
      </c>
      <c r="AN11" s="37" t="e">
        <f t="shared" si="10"/>
        <v>#REF!</v>
      </c>
      <c r="AO11" s="37" t="e">
        <f t="shared" si="10"/>
        <v>#REF!</v>
      </c>
      <c r="AP11" s="37" t="e">
        <f t="shared" si="10"/>
        <v>#REF!</v>
      </c>
      <c r="AQ11" s="37" t="e">
        <f t="shared" si="10"/>
        <v>#REF!</v>
      </c>
      <c r="AR11" s="37" t="e">
        <f t="shared" si="10"/>
        <v>#REF!</v>
      </c>
      <c r="AS11" s="37" t="e">
        <f t="shared" si="10"/>
        <v>#REF!</v>
      </c>
      <c r="AT11" s="37" t="e">
        <f t="shared" ref="AT11" si="11">IF(AT10&gt;0,AT10*$V$11,0)*$V$12</f>
        <v>#REF!</v>
      </c>
      <c r="AU11" s="21"/>
      <c r="AX11" s="3"/>
      <c r="AY11" s="80"/>
      <c r="AZ11" s="28"/>
      <c r="BA11" s="28"/>
      <c r="BB11" s="28"/>
      <c r="BC11" s="28"/>
      <c r="BD11" s="28"/>
      <c r="BE11" s="28"/>
      <c r="BF11" s="28"/>
      <c r="BG11" s="28"/>
      <c r="BH11" s="28"/>
      <c r="BI11" s="28"/>
      <c r="BJ11" s="84"/>
      <c r="BK11" s="84"/>
      <c r="BL11" s="84"/>
      <c r="BM11" s="84"/>
      <c r="BN11" s="84"/>
      <c r="BO11" s="80"/>
      <c r="BP11" s="80"/>
      <c r="BQ11" s="80"/>
      <c r="BR11" s="80"/>
      <c r="BS11" s="80"/>
    </row>
    <row r="12" spans="1:71" ht="20.100000000000001" customHeight="1" x14ac:dyDescent="0.25">
      <c r="B12" s="108" t="s">
        <v>234</v>
      </c>
      <c r="C12" t="e">
        <f>#REF!</f>
        <v>#REF!</v>
      </c>
      <c r="V12" s="9">
        <v>1</v>
      </c>
      <c r="W12" s="3"/>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21"/>
      <c r="AX12" s="3"/>
      <c r="AY12" s="80" t="s">
        <v>130</v>
      </c>
      <c r="AZ12" s="28" t="e">
        <f>D17*0.95</f>
        <v>#REF!</v>
      </c>
      <c r="BA12" s="28"/>
      <c r="BB12" s="28"/>
      <c r="BC12" s="82"/>
      <c r="BD12" s="82"/>
      <c r="BE12" s="82"/>
      <c r="BF12" s="28" t="e">
        <f>SUM(AZ9:BS9)</f>
        <v>#REF!</v>
      </c>
      <c r="BG12" s="82"/>
      <c r="BH12" s="82"/>
      <c r="BI12" s="82"/>
      <c r="BJ12" s="80"/>
      <c r="BK12" s="80"/>
      <c r="BL12" s="80"/>
      <c r="BM12" s="80"/>
      <c r="BN12" s="80"/>
      <c r="BO12" s="80"/>
      <c r="BP12" s="80"/>
      <c r="BQ12" s="80"/>
      <c r="BR12" s="80"/>
      <c r="BS12" s="80"/>
    </row>
    <row r="13" spans="1:71" ht="20.100000000000001" customHeight="1" x14ac:dyDescent="0.25">
      <c r="B13" s="24"/>
      <c r="C13" s="42"/>
      <c r="D13" s="42"/>
      <c r="E13" s="42"/>
      <c r="F13" s="42"/>
      <c r="G13" s="42"/>
      <c r="H13" s="42"/>
      <c r="I13" s="24"/>
      <c r="J13" s="10"/>
      <c r="K13" s="10"/>
      <c r="M13" t="e">
        <f>M11-C12</f>
        <v>#REF!</v>
      </c>
      <c r="V13" s="9"/>
      <c r="W13" s="37" t="s">
        <v>79</v>
      </c>
      <c r="X13" s="37" t="e">
        <f>+X10-X11</f>
        <v>#REF!</v>
      </c>
      <c r="Y13" s="37" t="e">
        <f>+Y10-Y11</f>
        <v>#REF!</v>
      </c>
      <c r="Z13" s="37" t="e">
        <f t="shared" ref="Z13:AS13" si="12">+Z10-Z11</f>
        <v>#REF!</v>
      </c>
      <c r="AA13" s="37" t="e">
        <f t="shared" si="12"/>
        <v>#REF!</v>
      </c>
      <c r="AB13" s="37" t="e">
        <f t="shared" si="12"/>
        <v>#REF!</v>
      </c>
      <c r="AC13" s="37" t="e">
        <f t="shared" si="12"/>
        <v>#REF!</v>
      </c>
      <c r="AD13" s="37" t="e">
        <f t="shared" si="12"/>
        <v>#REF!</v>
      </c>
      <c r="AE13" s="37" t="e">
        <f t="shared" si="12"/>
        <v>#REF!</v>
      </c>
      <c r="AF13" s="37" t="e">
        <f t="shared" si="12"/>
        <v>#REF!</v>
      </c>
      <c r="AG13" s="37" t="e">
        <f t="shared" si="12"/>
        <v>#REF!</v>
      </c>
      <c r="AH13" s="37" t="e">
        <f t="shared" si="12"/>
        <v>#REF!</v>
      </c>
      <c r="AI13" s="37" t="e">
        <f t="shared" si="12"/>
        <v>#REF!</v>
      </c>
      <c r="AJ13" s="37" t="e">
        <f t="shared" si="12"/>
        <v>#REF!</v>
      </c>
      <c r="AK13" s="37" t="e">
        <f t="shared" si="12"/>
        <v>#REF!</v>
      </c>
      <c r="AL13" s="37" t="e">
        <f t="shared" si="12"/>
        <v>#REF!</v>
      </c>
      <c r="AM13" s="37" t="e">
        <f t="shared" si="12"/>
        <v>#REF!</v>
      </c>
      <c r="AN13" s="37" t="e">
        <f t="shared" si="12"/>
        <v>#REF!</v>
      </c>
      <c r="AO13" s="37" t="e">
        <f t="shared" si="12"/>
        <v>#REF!</v>
      </c>
      <c r="AP13" s="37" t="e">
        <f t="shared" si="12"/>
        <v>#REF!</v>
      </c>
      <c r="AQ13" s="37" t="e">
        <f t="shared" si="12"/>
        <v>#REF!</v>
      </c>
      <c r="AR13" s="37" t="e">
        <f t="shared" si="12"/>
        <v>#REF!</v>
      </c>
      <c r="AS13" s="37" t="e">
        <f t="shared" si="12"/>
        <v>#REF!</v>
      </c>
      <c r="AT13" s="37" t="e">
        <f t="shared" ref="AT13" si="13">+AT10-AT11</f>
        <v>#REF!</v>
      </c>
      <c r="AU13" s="21"/>
      <c r="AX13" s="3"/>
      <c r="AY13" s="28"/>
      <c r="AZ13" s="28"/>
      <c r="BA13" s="28"/>
      <c r="BB13" s="28"/>
      <c r="BC13" s="28"/>
      <c r="BD13" s="28"/>
      <c r="BE13" s="28"/>
      <c r="BF13" s="28"/>
      <c r="BG13" s="28"/>
      <c r="BH13" s="80"/>
      <c r="BI13" s="80"/>
      <c r="BJ13" s="80"/>
      <c r="BK13" s="80"/>
      <c r="BL13" s="80"/>
      <c r="BM13" s="80"/>
      <c r="BN13" s="80"/>
      <c r="BO13" s="80"/>
      <c r="BP13" s="80"/>
      <c r="BQ13" s="80"/>
      <c r="BR13" s="80"/>
      <c r="BS13" s="80"/>
    </row>
    <row r="14" spans="1:71" ht="20.100000000000001" customHeight="1" x14ac:dyDescent="0.25">
      <c r="B14" t="s">
        <v>123</v>
      </c>
      <c r="C14" t="s">
        <v>124</v>
      </c>
      <c r="D14" t="e">
        <f>GM!F40</f>
        <v>#REF!</v>
      </c>
      <c r="V14" s="9"/>
      <c r="W14" s="43" t="s">
        <v>80</v>
      </c>
      <c r="X14" s="43"/>
      <c r="Y14" s="43" t="e">
        <f>+Y13+X14</f>
        <v>#REF!</v>
      </c>
      <c r="Z14" s="43" t="e">
        <f>+Z13+Y14</f>
        <v>#REF!</v>
      </c>
      <c r="AA14" s="43" t="e">
        <f t="shared" ref="AA14:AR14" si="14">+AA13+Z14</f>
        <v>#REF!</v>
      </c>
      <c r="AB14" s="43" t="e">
        <f t="shared" si="14"/>
        <v>#REF!</v>
      </c>
      <c r="AC14" s="43" t="e">
        <f t="shared" si="14"/>
        <v>#REF!</v>
      </c>
      <c r="AD14" s="43" t="e">
        <f t="shared" si="14"/>
        <v>#REF!</v>
      </c>
      <c r="AE14" s="43" t="e">
        <f t="shared" si="14"/>
        <v>#REF!</v>
      </c>
      <c r="AF14" s="43" t="e">
        <f t="shared" si="14"/>
        <v>#REF!</v>
      </c>
      <c r="AG14" s="43" t="e">
        <f t="shared" si="14"/>
        <v>#REF!</v>
      </c>
      <c r="AH14" s="43" t="e">
        <f t="shared" si="14"/>
        <v>#REF!</v>
      </c>
      <c r="AI14" s="43" t="e">
        <f t="shared" si="14"/>
        <v>#REF!</v>
      </c>
      <c r="AJ14" s="43" t="e">
        <f t="shared" si="14"/>
        <v>#REF!</v>
      </c>
      <c r="AK14" s="43" t="e">
        <f t="shared" si="14"/>
        <v>#REF!</v>
      </c>
      <c r="AL14" s="43" t="e">
        <f t="shared" si="14"/>
        <v>#REF!</v>
      </c>
      <c r="AM14" s="43" t="e">
        <f t="shared" si="14"/>
        <v>#REF!</v>
      </c>
      <c r="AN14" s="43" t="e">
        <f t="shared" si="14"/>
        <v>#REF!</v>
      </c>
      <c r="AO14" s="43" t="e">
        <f t="shared" si="14"/>
        <v>#REF!</v>
      </c>
      <c r="AP14" s="43" t="e">
        <f t="shared" si="14"/>
        <v>#REF!</v>
      </c>
      <c r="AQ14" s="43" t="e">
        <f t="shared" si="14"/>
        <v>#REF!</v>
      </c>
      <c r="AR14" s="43" t="e">
        <f t="shared" si="14"/>
        <v>#REF!</v>
      </c>
      <c r="AS14" s="43" t="e">
        <f>+AS13+AR14</f>
        <v>#REF!</v>
      </c>
      <c r="AT14" s="43" t="e">
        <f>+AT13+AS14</f>
        <v>#REF!</v>
      </c>
      <c r="AU14" s="21"/>
      <c r="AX14" s="3"/>
      <c r="AY14" s="28"/>
      <c r="AZ14" s="28"/>
      <c r="BA14" s="28"/>
      <c r="BB14" s="28"/>
      <c r="BC14" s="28"/>
      <c r="BD14" s="28"/>
      <c r="BE14" s="28"/>
      <c r="BF14" s="28"/>
      <c r="BG14" s="28"/>
    </row>
    <row r="15" spans="1:71" ht="20.100000000000001" customHeight="1" x14ac:dyDescent="0.25">
      <c r="B15" t="s">
        <v>112</v>
      </c>
      <c r="C15" t="s">
        <v>124</v>
      </c>
      <c r="D15" t="e">
        <f>G11</f>
        <v>#REF!</v>
      </c>
      <c r="F15" s="8"/>
      <c r="H15" s="1035"/>
      <c r="I15" s="1035"/>
      <c r="V15" s="9"/>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21"/>
      <c r="AX15" s="3"/>
      <c r="AY15" s="28"/>
      <c r="AZ15" s="28"/>
      <c r="BA15" s="28"/>
      <c r="BB15" s="28"/>
      <c r="BC15" s="28"/>
      <c r="BD15" s="28"/>
      <c r="BE15" s="28"/>
      <c r="BF15" s="28"/>
      <c r="BG15" s="28"/>
    </row>
    <row r="16" spans="1:71" ht="20.100000000000001" customHeight="1" x14ac:dyDescent="0.25">
      <c r="B16" s="108" t="s">
        <v>234</v>
      </c>
      <c r="C16" s="6" t="s">
        <v>124</v>
      </c>
      <c r="D16" s="77" t="e">
        <f>C12</f>
        <v>#REF!</v>
      </c>
      <c r="F16" s="65"/>
      <c r="H16" s="8"/>
      <c r="I16" s="8"/>
      <c r="V16" s="9"/>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21"/>
      <c r="AX16" s="3"/>
      <c r="AY16" s="28"/>
      <c r="AZ16" s="28"/>
      <c r="BA16" s="28"/>
      <c r="BB16" s="28"/>
      <c r="BC16" s="28"/>
      <c r="BD16" s="28"/>
      <c r="BE16" s="28"/>
      <c r="BF16" s="28"/>
      <c r="BG16" s="28"/>
    </row>
    <row r="17" spans="1:59" ht="20.100000000000001" customHeight="1" x14ac:dyDescent="0.25">
      <c r="B17" t="s">
        <v>236</v>
      </c>
      <c r="D17" t="e">
        <f>+D15-D16</f>
        <v>#REF!</v>
      </c>
      <c r="E17" s="24"/>
      <c r="F17" s="24"/>
      <c r="G17" s="24"/>
      <c r="H17" s="24"/>
      <c r="I17" s="24"/>
      <c r="V17" s="9"/>
      <c r="W17" s="3"/>
      <c r="X17" s="3"/>
      <c r="Y17" s="37"/>
      <c r="Z17" s="40" t="s">
        <v>82</v>
      </c>
      <c r="AA17" s="44"/>
      <c r="AB17" s="3"/>
      <c r="AC17" s="3"/>
      <c r="AD17" s="3"/>
      <c r="AE17" s="3"/>
      <c r="AF17" s="3"/>
      <c r="AG17" s="3"/>
      <c r="AH17" s="3"/>
      <c r="AI17" s="3"/>
      <c r="AJ17" s="3"/>
      <c r="AK17" s="3"/>
      <c r="AL17" s="3"/>
      <c r="AM17" s="3"/>
      <c r="AN17" s="3"/>
      <c r="AO17" s="3"/>
      <c r="AP17" s="3"/>
      <c r="AQ17" s="3"/>
      <c r="AR17" s="3"/>
      <c r="AS17" s="4"/>
      <c r="AT17" s="4"/>
      <c r="AU17" s="9"/>
      <c r="AX17" s="3"/>
      <c r="AY17" s="28"/>
      <c r="AZ17" s="28"/>
      <c r="BA17" s="28"/>
      <c r="BB17" s="28"/>
      <c r="BC17" s="28"/>
      <c r="BD17" s="28"/>
      <c r="BE17" s="3"/>
      <c r="BF17" s="3"/>
      <c r="BG17" s="3"/>
    </row>
    <row r="18" spans="1:59" ht="20.100000000000001" customHeight="1" x14ac:dyDescent="0.25">
      <c r="V18" s="9"/>
      <c r="W18" s="45" t="s">
        <v>83</v>
      </c>
      <c r="X18" s="37"/>
      <c r="Y18" s="37"/>
      <c r="Z18" s="37"/>
      <c r="AA18" s="46"/>
      <c r="AB18" s="37"/>
      <c r="AC18" s="37"/>
      <c r="AD18" s="37"/>
      <c r="AE18" s="37"/>
      <c r="AF18" s="37"/>
      <c r="AG18" s="37"/>
      <c r="AH18" s="37"/>
      <c r="AI18" s="37"/>
      <c r="AJ18" s="37"/>
      <c r="AK18" s="37"/>
      <c r="AL18" s="37"/>
      <c r="AM18" s="3"/>
      <c r="AN18" s="3"/>
      <c r="AO18" s="3"/>
      <c r="AP18" s="3"/>
      <c r="AQ18" s="3"/>
      <c r="AR18" s="3"/>
      <c r="AS18" s="3"/>
      <c r="AT18" s="3"/>
      <c r="AU18" s="9"/>
      <c r="AX18" s="3"/>
      <c r="AY18" s="28"/>
      <c r="AZ18" s="28"/>
      <c r="BA18" s="28"/>
      <c r="BB18" s="28"/>
      <c r="BC18" s="28"/>
      <c r="BD18" s="28"/>
      <c r="BE18" s="28"/>
      <c r="BF18" s="28"/>
      <c r="BG18" s="28"/>
    </row>
    <row r="19" spans="1:59" ht="20.100000000000001" customHeight="1" x14ac:dyDescent="0.25">
      <c r="B19" s="8"/>
      <c r="V19" s="9"/>
      <c r="W19" s="47" t="s">
        <v>84</v>
      </c>
      <c r="X19" s="48" t="str">
        <f t="shared" ref="X19:AS19" si="15">+X5</f>
        <v>Yr 1</v>
      </c>
      <c r="Y19" s="48" t="str">
        <f t="shared" si="15"/>
        <v>Yr 2</v>
      </c>
      <c r="Z19" s="48" t="str">
        <f t="shared" si="15"/>
        <v>Yr 3</v>
      </c>
      <c r="AA19" s="48" t="str">
        <f t="shared" si="15"/>
        <v>Yr 4</v>
      </c>
      <c r="AB19" s="48" t="str">
        <f t="shared" si="15"/>
        <v>Yr 5</v>
      </c>
      <c r="AC19" s="48" t="str">
        <f t="shared" si="15"/>
        <v>Yr 6</v>
      </c>
      <c r="AD19" s="48" t="str">
        <f t="shared" si="15"/>
        <v>Yr 7</v>
      </c>
      <c r="AE19" s="48" t="str">
        <f t="shared" si="15"/>
        <v>Yr 8</v>
      </c>
      <c r="AF19" s="48" t="str">
        <f t="shared" si="15"/>
        <v>Yr 9</v>
      </c>
      <c r="AG19" s="48" t="str">
        <f t="shared" si="15"/>
        <v>Yr 10</v>
      </c>
      <c r="AH19" s="48" t="str">
        <f t="shared" si="15"/>
        <v>Yr 11</v>
      </c>
      <c r="AI19" s="48" t="str">
        <f t="shared" si="15"/>
        <v>Yr 12</v>
      </c>
      <c r="AJ19" s="48" t="str">
        <f t="shared" si="15"/>
        <v>Yr 13</v>
      </c>
      <c r="AK19" s="48" t="str">
        <f t="shared" si="15"/>
        <v>Yr 14</v>
      </c>
      <c r="AL19" s="48" t="str">
        <f t="shared" si="15"/>
        <v>Yr 15</v>
      </c>
      <c r="AM19" s="48" t="str">
        <f t="shared" si="15"/>
        <v>Yr 16</v>
      </c>
      <c r="AN19" s="48" t="str">
        <f t="shared" si="15"/>
        <v>Yr 17</v>
      </c>
      <c r="AO19" s="48" t="str">
        <f t="shared" si="15"/>
        <v>Yr 18</v>
      </c>
      <c r="AP19" s="48" t="str">
        <f t="shared" si="15"/>
        <v>Yr 19</v>
      </c>
      <c r="AQ19" s="48" t="str">
        <f t="shared" si="15"/>
        <v>Yr 20</v>
      </c>
      <c r="AR19" s="48" t="str">
        <f t="shared" si="15"/>
        <v>Yr 21</v>
      </c>
      <c r="AS19" s="49" t="str">
        <f t="shared" si="15"/>
        <v>Yr 22</v>
      </c>
      <c r="AT19" s="49" t="str">
        <f t="shared" ref="AT19" si="16">+AT5</f>
        <v>Yr 23</v>
      </c>
      <c r="AU19" s="50"/>
    </row>
    <row r="20" spans="1:59" ht="20.100000000000001" customHeight="1" x14ac:dyDescent="0.25">
      <c r="B20" s="8"/>
      <c r="V20" s="9"/>
      <c r="W20" s="37" t="s">
        <v>85</v>
      </c>
      <c r="X20" s="37" t="e">
        <f t="shared" ref="X20:AS20" si="17">+X7</f>
        <v>#REF!</v>
      </c>
      <c r="Y20" s="37" t="e">
        <f t="shared" si="17"/>
        <v>#REF!</v>
      </c>
      <c r="Z20" s="37" t="e">
        <f t="shared" si="17"/>
        <v>#REF!</v>
      </c>
      <c r="AA20" s="37" t="e">
        <f t="shared" si="17"/>
        <v>#REF!</v>
      </c>
      <c r="AB20" s="37" t="e">
        <f t="shared" si="17"/>
        <v>#REF!</v>
      </c>
      <c r="AC20" s="37" t="e">
        <f t="shared" si="17"/>
        <v>#REF!</v>
      </c>
      <c r="AD20" s="37" t="e">
        <f t="shared" si="17"/>
        <v>#REF!</v>
      </c>
      <c r="AE20" s="37" t="e">
        <f t="shared" si="17"/>
        <v>#REF!</v>
      </c>
      <c r="AF20" s="37" t="e">
        <f t="shared" si="17"/>
        <v>#REF!</v>
      </c>
      <c r="AG20" s="37" t="e">
        <f t="shared" si="17"/>
        <v>#REF!</v>
      </c>
      <c r="AH20" s="37" t="e">
        <f t="shared" si="17"/>
        <v>#REF!</v>
      </c>
      <c r="AI20" s="37" t="e">
        <f t="shared" si="17"/>
        <v>#REF!</v>
      </c>
      <c r="AJ20" s="37" t="e">
        <f t="shared" si="17"/>
        <v>#REF!</v>
      </c>
      <c r="AK20" s="37" t="e">
        <f t="shared" si="17"/>
        <v>#REF!</v>
      </c>
      <c r="AL20" s="37" t="e">
        <f t="shared" si="17"/>
        <v>#REF!</v>
      </c>
      <c r="AM20" s="37" t="e">
        <f t="shared" si="17"/>
        <v>#REF!</v>
      </c>
      <c r="AN20" s="37" t="e">
        <f t="shared" si="17"/>
        <v>#REF!</v>
      </c>
      <c r="AO20" s="37" t="e">
        <f t="shared" si="17"/>
        <v>#REF!</v>
      </c>
      <c r="AP20" s="37" t="e">
        <f t="shared" si="17"/>
        <v>#REF!</v>
      </c>
      <c r="AQ20" s="37" t="e">
        <f t="shared" si="17"/>
        <v>#REF!</v>
      </c>
      <c r="AR20" s="37" t="e">
        <f t="shared" si="17"/>
        <v>#REF!</v>
      </c>
      <c r="AS20" s="37" t="e">
        <f t="shared" si="17"/>
        <v>#REF!</v>
      </c>
      <c r="AT20" s="37" t="e">
        <f t="shared" ref="AT20" si="18">+AT7</f>
        <v>#REF!</v>
      </c>
      <c r="AU20" s="21"/>
    </row>
    <row r="21" spans="1:59" ht="20.100000000000001" customHeight="1" x14ac:dyDescent="0.25">
      <c r="B21" s="8"/>
      <c r="V21" s="9" t="e">
        <f>SUM(X21:AA21)</f>
        <v>#REF!</v>
      </c>
      <c r="W21" s="37" t="s">
        <v>86</v>
      </c>
      <c r="X21" s="37" t="e">
        <f>H7</f>
        <v>#REF!</v>
      </c>
      <c r="Y21" s="37" t="e">
        <f>H8</f>
        <v>#REF!</v>
      </c>
      <c r="Z21" s="37" t="e">
        <f>H9+H10</f>
        <v>#REF!</v>
      </c>
      <c r="AA21" s="37"/>
      <c r="AB21" s="37">
        <v>0</v>
      </c>
      <c r="AC21" s="37">
        <v>0</v>
      </c>
      <c r="AD21" s="37">
        <v>0</v>
      </c>
      <c r="AE21" s="37">
        <v>0</v>
      </c>
      <c r="AF21" s="37">
        <v>0</v>
      </c>
      <c r="AG21" s="37">
        <v>0</v>
      </c>
      <c r="AH21" s="37">
        <v>0</v>
      </c>
      <c r="AI21" s="37">
        <v>0</v>
      </c>
      <c r="AJ21" s="37">
        <v>0</v>
      </c>
      <c r="AK21" s="37">
        <v>0</v>
      </c>
      <c r="AL21" s="37">
        <v>0</v>
      </c>
      <c r="AM21" s="37">
        <v>0</v>
      </c>
      <c r="AN21" s="37">
        <v>0</v>
      </c>
      <c r="AO21" s="37">
        <v>0</v>
      </c>
      <c r="AP21" s="37">
        <v>0</v>
      </c>
      <c r="AQ21" s="37">
        <v>0</v>
      </c>
      <c r="AR21" s="37">
        <v>0</v>
      </c>
      <c r="AS21" s="37">
        <v>0</v>
      </c>
      <c r="AT21" s="37">
        <v>0</v>
      </c>
      <c r="AU21" s="21"/>
    </row>
    <row r="22" spans="1:59" ht="20.100000000000001" customHeight="1" x14ac:dyDescent="0.25">
      <c r="V22" s="9" t="e">
        <f>SUM(X22:AA22)</f>
        <v>#REF!</v>
      </c>
      <c r="W22" s="37" t="s">
        <v>133</v>
      </c>
      <c r="X22" s="37" t="e">
        <f>I7</f>
        <v>#REF!</v>
      </c>
      <c r="Y22" s="37" t="e">
        <f>I8+I10</f>
        <v>#REF!</v>
      </c>
      <c r="Z22" s="37" t="e">
        <f>(I9+I10)*0</f>
        <v>#REF!</v>
      </c>
      <c r="AA22" s="37"/>
      <c r="AB22" s="37">
        <v>0</v>
      </c>
      <c r="AC22" s="37">
        <v>0</v>
      </c>
      <c r="AD22" s="37">
        <v>0</v>
      </c>
      <c r="AE22" s="37">
        <v>0</v>
      </c>
      <c r="AF22" s="37">
        <v>0</v>
      </c>
      <c r="AG22" s="37">
        <v>0</v>
      </c>
      <c r="AH22" s="37">
        <v>0</v>
      </c>
      <c r="AI22" s="37">
        <v>0</v>
      </c>
      <c r="AJ22" s="37">
        <v>0</v>
      </c>
      <c r="AK22" s="37">
        <v>0</v>
      </c>
      <c r="AL22" s="37">
        <v>0</v>
      </c>
      <c r="AM22" s="37">
        <v>0</v>
      </c>
      <c r="AN22" s="37">
        <v>0</v>
      </c>
      <c r="AO22" s="37">
        <v>0</v>
      </c>
      <c r="AP22" s="37">
        <v>0</v>
      </c>
      <c r="AQ22" s="37">
        <v>0</v>
      </c>
      <c r="AR22" s="37">
        <v>0</v>
      </c>
      <c r="AS22" s="37">
        <v>0</v>
      </c>
      <c r="AT22" s="37">
        <v>0</v>
      </c>
      <c r="AU22" s="21"/>
    </row>
    <row r="23" spans="1:59" ht="20.100000000000001" customHeight="1" x14ac:dyDescent="0.25">
      <c r="E23" s="24"/>
      <c r="F23" s="24"/>
      <c r="G23" s="24"/>
      <c r="H23" s="24"/>
      <c r="I23" s="24"/>
      <c r="V23" s="51" t="e">
        <f>+V22+V21</f>
        <v>#REF!</v>
      </c>
      <c r="W23" s="33" t="s">
        <v>4</v>
      </c>
      <c r="X23" s="33" t="e">
        <f>SUM(X20:X22)</f>
        <v>#REF!</v>
      </c>
      <c r="Y23" s="33" t="e">
        <f t="shared" ref="Y23:AS23" si="19">SUM(Y20:Y22)</f>
        <v>#REF!</v>
      </c>
      <c r="Z23" s="33" t="e">
        <f t="shared" si="19"/>
        <v>#REF!</v>
      </c>
      <c r="AA23" s="33" t="e">
        <f t="shared" si="19"/>
        <v>#REF!</v>
      </c>
      <c r="AB23" s="33" t="e">
        <f t="shared" si="19"/>
        <v>#REF!</v>
      </c>
      <c r="AC23" s="33" t="e">
        <f t="shared" si="19"/>
        <v>#REF!</v>
      </c>
      <c r="AD23" s="33" t="e">
        <f t="shared" si="19"/>
        <v>#REF!</v>
      </c>
      <c r="AE23" s="33" t="e">
        <f t="shared" si="19"/>
        <v>#REF!</v>
      </c>
      <c r="AF23" s="33" t="e">
        <f t="shared" si="19"/>
        <v>#REF!</v>
      </c>
      <c r="AG23" s="33" t="e">
        <f t="shared" si="19"/>
        <v>#REF!</v>
      </c>
      <c r="AH23" s="33" t="e">
        <f t="shared" si="19"/>
        <v>#REF!</v>
      </c>
      <c r="AI23" s="33" t="e">
        <f t="shared" si="19"/>
        <v>#REF!</v>
      </c>
      <c r="AJ23" s="33" t="e">
        <f t="shared" si="19"/>
        <v>#REF!</v>
      </c>
      <c r="AK23" s="33" t="e">
        <f t="shared" si="19"/>
        <v>#REF!</v>
      </c>
      <c r="AL23" s="33" t="e">
        <f t="shared" si="19"/>
        <v>#REF!</v>
      </c>
      <c r="AM23" s="33" t="e">
        <f t="shared" si="19"/>
        <v>#REF!</v>
      </c>
      <c r="AN23" s="33" t="e">
        <f t="shared" si="19"/>
        <v>#REF!</v>
      </c>
      <c r="AO23" s="33" t="e">
        <f t="shared" si="19"/>
        <v>#REF!</v>
      </c>
      <c r="AP23" s="33" t="e">
        <f t="shared" si="19"/>
        <v>#REF!</v>
      </c>
      <c r="AQ23" s="33" t="e">
        <f t="shared" si="19"/>
        <v>#REF!</v>
      </c>
      <c r="AR23" s="33" t="e">
        <f t="shared" si="19"/>
        <v>#REF!</v>
      </c>
      <c r="AS23" s="33" t="e">
        <f t="shared" si="19"/>
        <v>#REF!</v>
      </c>
      <c r="AT23" s="33" t="e">
        <f t="shared" ref="AT23" si="20">SUM(AT20:AT22)</f>
        <v>#REF!</v>
      </c>
      <c r="AU23" s="21"/>
    </row>
    <row r="24" spans="1:59" ht="20.100000000000001" customHeight="1" x14ac:dyDescent="0.25">
      <c r="V24" s="9"/>
      <c r="W24" s="3"/>
      <c r="X24" s="3"/>
      <c r="Y24" s="3"/>
      <c r="Z24" s="3"/>
      <c r="AA24" s="3"/>
      <c r="AB24" s="3"/>
      <c r="AC24" s="3"/>
      <c r="AD24" s="3"/>
      <c r="AE24" s="3"/>
      <c r="AF24" s="3"/>
      <c r="AG24" s="3"/>
      <c r="AH24" s="3"/>
      <c r="AI24" s="3"/>
      <c r="AJ24" s="3"/>
      <c r="AK24" s="3"/>
      <c r="AL24" s="3"/>
      <c r="AM24" s="3"/>
      <c r="AN24" s="3"/>
      <c r="AO24" s="3"/>
      <c r="AP24" s="3"/>
      <c r="AQ24" s="3"/>
      <c r="AR24" s="3"/>
      <c r="AS24" s="3"/>
      <c r="AT24" s="3"/>
      <c r="AU24" s="9"/>
    </row>
    <row r="25" spans="1:59" ht="20.100000000000001" customHeight="1" x14ac:dyDescent="0.25">
      <c r="D25" s="8" t="s">
        <v>138</v>
      </c>
      <c r="E25" s="8" t="s">
        <v>102</v>
      </c>
      <c r="F25" s="8" t="s">
        <v>104</v>
      </c>
      <c r="G25" s="8" t="s">
        <v>211</v>
      </c>
      <c r="H25" s="8" t="s">
        <v>212</v>
      </c>
      <c r="I25" s="8" t="s">
        <v>211</v>
      </c>
      <c r="V25" s="9"/>
      <c r="W25" s="37" t="s">
        <v>87</v>
      </c>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21"/>
    </row>
    <row r="26" spans="1:59" ht="20.100000000000001" customHeight="1" x14ac:dyDescent="0.25">
      <c r="D26">
        <v>1</v>
      </c>
      <c r="E26" t="e">
        <f>C7</f>
        <v>#REF!</v>
      </c>
      <c r="G26" s="112" t="e">
        <f>F26-E26</f>
        <v>#REF!</v>
      </c>
      <c r="H26" t="e">
        <f>$X$11</f>
        <v>#REF!</v>
      </c>
      <c r="I26" t="e">
        <f>G26-H26</f>
        <v>#REF!</v>
      </c>
      <c r="V26" s="9"/>
      <c r="W26" s="37" t="s">
        <v>88</v>
      </c>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21"/>
    </row>
    <row r="27" spans="1:59" ht="20.100000000000001" customHeight="1" x14ac:dyDescent="0.25">
      <c r="A27" s="32"/>
      <c r="D27">
        <f t="shared" ref="D27:D48" si="21">D26+1</f>
        <v>2</v>
      </c>
      <c r="E27" t="e">
        <f>C8+C10</f>
        <v>#REF!</v>
      </c>
      <c r="F27" t="e">
        <f>D14*0.6*8/12+D16/2</f>
        <v>#REF!</v>
      </c>
      <c r="G27" s="112" t="e">
        <f t="shared" ref="G27:G48" si="22">F27-E27</f>
        <v>#REF!</v>
      </c>
      <c r="H27" t="e">
        <f>$Y$11</f>
        <v>#REF!</v>
      </c>
      <c r="I27" t="e">
        <f t="shared" ref="I27:I48" si="23">G27-H27</f>
        <v>#REF!</v>
      </c>
      <c r="V27" s="9"/>
      <c r="W27" s="37" t="s">
        <v>89</v>
      </c>
      <c r="X27" s="37" t="e">
        <f t="shared" ref="X27:AA28" si="24">+X21</f>
        <v>#REF!</v>
      </c>
      <c r="Y27" s="37" t="e">
        <f t="shared" si="24"/>
        <v>#REF!</v>
      </c>
      <c r="Z27" s="37" t="e">
        <f t="shared" si="24"/>
        <v>#REF!</v>
      </c>
      <c r="AA27" s="37">
        <f t="shared" si="24"/>
        <v>0</v>
      </c>
      <c r="AB27" s="37">
        <v>0</v>
      </c>
      <c r="AC27" s="37">
        <v>0</v>
      </c>
      <c r="AD27" s="37">
        <v>0</v>
      </c>
      <c r="AE27" s="37">
        <v>0</v>
      </c>
      <c r="AF27" s="37">
        <v>0</v>
      </c>
      <c r="AG27" s="37">
        <v>0</v>
      </c>
      <c r="AH27" s="37">
        <v>0</v>
      </c>
      <c r="AI27" s="37">
        <v>0</v>
      </c>
      <c r="AJ27" s="37">
        <v>0</v>
      </c>
      <c r="AK27" s="37">
        <v>0</v>
      </c>
      <c r="AL27" s="37">
        <v>0</v>
      </c>
      <c r="AM27" s="37">
        <v>0</v>
      </c>
      <c r="AN27" s="37">
        <v>0</v>
      </c>
      <c r="AO27" s="37">
        <v>0</v>
      </c>
      <c r="AP27" s="37">
        <v>0</v>
      </c>
      <c r="AQ27" s="37">
        <v>0</v>
      </c>
      <c r="AR27" s="37">
        <v>0</v>
      </c>
      <c r="AS27" s="37">
        <v>0</v>
      </c>
      <c r="AT27" s="37">
        <v>0</v>
      </c>
      <c r="AU27" s="21"/>
    </row>
    <row r="28" spans="1:59" ht="20.100000000000001" customHeight="1" x14ac:dyDescent="0.25">
      <c r="A28" s="32"/>
      <c r="B28" s="1"/>
      <c r="D28">
        <f t="shared" si="21"/>
        <v>3</v>
      </c>
      <c r="F28" t="e">
        <f>Z7+D16/2</f>
        <v>#REF!</v>
      </c>
      <c r="G28" s="112" t="e">
        <f t="shared" si="22"/>
        <v>#REF!</v>
      </c>
      <c r="H28" t="e">
        <f>$Z$11</f>
        <v>#REF!</v>
      </c>
      <c r="I28" t="e">
        <f t="shared" si="23"/>
        <v>#REF!</v>
      </c>
      <c r="V28" s="9"/>
      <c r="W28" s="37" t="s">
        <v>90</v>
      </c>
      <c r="X28" s="37" t="e">
        <f t="shared" si="24"/>
        <v>#REF!</v>
      </c>
      <c r="Y28" s="37" t="e">
        <f t="shared" si="24"/>
        <v>#REF!</v>
      </c>
      <c r="Z28" s="37" t="e">
        <f t="shared" si="24"/>
        <v>#REF!</v>
      </c>
      <c r="AA28" s="37">
        <f t="shared" si="24"/>
        <v>0</v>
      </c>
      <c r="AB28" s="37">
        <v>0</v>
      </c>
      <c r="AC28" s="37">
        <v>0</v>
      </c>
      <c r="AD28" s="37">
        <v>0</v>
      </c>
      <c r="AE28" s="37">
        <v>0</v>
      </c>
      <c r="AF28" s="37">
        <v>0</v>
      </c>
      <c r="AG28" s="37">
        <v>0</v>
      </c>
      <c r="AH28" s="37">
        <v>0</v>
      </c>
      <c r="AI28" s="37">
        <v>0</v>
      </c>
      <c r="AJ28" s="37"/>
      <c r="AK28" s="37">
        <v>0</v>
      </c>
      <c r="AL28" s="37">
        <v>0</v>
      </c>
      <c r="AM28" s="37">
        <v>0</v>
      </c>
      <c r="AN28" s="37">
        <v>0</v>
      </c>
      <c r="AO28" s="37">
        <v>0</v>
      </c>
      <c r="AP28" s="37">
        <v>0</v>
      </c>
      <c r="AQ28" s="37">
        <v>0</v>
      </c>
      <c r="AR28" s="37">
        <v>0</v>
      </c>
      <c r="AS28" s="37">
        <v>0</v>
      </c>
      <c r="AT28" s="37">
        <v>0</v>
      </c>
      <c r="AU28" s="21"/>
    </row>
    <row r="29" spans="1:59" ht="20.100000000000001" customHeight="1" x14ac:dyDescent="0.25">
      <c r="A29" s="32"/>
      <c r="B29" s="8"/>
      <c r="D29">
        <f t="shared" si="21"/>
        <v>4</v>
      </c>
      <c r="F29" t="e">
        <f>$AA$7</f>
        <v>#REF!</v>
      </c>
      <c r="G29" s="112" t="e">
        <f t="shared" si="22"/>
        <v>#REF!</v>
      </c>
      <c r="H29" t="e">
        <f>$AA$11</f>
        <v>#REF!</v>
      </c>
      <c r="I29" t="e">
        <f t="shared" si="23"/>
        <v>#REF!</v>
      </c>
      <c r="V29" s="9"/>
      <c r="W29" s="37" t="s">
        <v>91</v>
      </c>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21"/>
    </row>
    <row r="30" spans="1:59" ht="20.100000000000001" customHeight="1" x14ac:dyDescent="0.25">
      <c r="A30" s="32"/>
      <c r="D30">
        <f t="shared" si="21"/>
        <v>5</v>
      </c>
      <c r="F30" t="e">
        <f t="shared" ref="F30:F46" si="25">$AA$7</f>
        <v>#REF!</v>
      </c>
      <c r="G30" s="112" t="e">
        <f t="shared" si="22"/>
        <v>#REF!</v>
      </c>
      <c r="H30" t="e">
        <f>$AB$11</f>
        <v>#REF!</v>
      </c>
      <c r="I30" t="e">
        <f t="shared" si="23"/>
        <v>#REF!</v>
      </c>
      <c r="T30" t="s">
        <v>92</v>
      </c>
      <c r="U30" s="52">
        <v>0.1</v>
      </c>
      <c r="W30" s="53" t="s">
        <v>134</v>
      </c>
      <c r="X30" s="37" t="e">
        <f>+($X$28+$Y$28+$Z$28-SUM(W$32:$X32))*$U$30*0</f>
        <v>#REF!</v>
      </c>
      <c r="Y30" s="37" t="e">
        <f>+($X$28+$Y$28+$Z$28-SUM($X$32:X32))*$U$30*2/12</f>
        <v>#REF!</v>
      </c>
      <c r="Z30" s="37" t="e">
        <f>+($X$28+$Y$28+$Z$28-SUM($X$32:Y32))*$U$30</f>
        <v>#REF!</v>
      </c>
      <c r="AA30" s="37" t="e">
        <f>+($X$28+$Y$28+$Z$28-SUM($X$32:Z32))*$U$30</f>
        <v>#REF!</v>
      </c>
      <c r="AB30" s="37" t="e">
        <f>+($X$28+$Y$28+$Z$28-SUM($X$32:AA32))*$U$30</f>
        <v>#REF!</v>
      </c>
      <c r="AC30" s="37" t="e">
        <f>+($X$28+$Y$28+$Z$28-SUM($X$32:AB32))*$U$30</f>
        <v>#REF!</v>
      </c>
      <c r="AD30" s="37" t="e">
        <f>+($X$28+$Y$28+$Z$28-SUM($X$32:AC32))*$U$30</f>
        <v>#REF!</v>
      </c>
      <c r="AE30" s="37" t="e">
        <f>+($X$28+$Y$28+$Z$28-SUM($X$32:AD32))*$U$30</f>
        <v>#REF!</v>
      </c>
      <c r="AF30" s="37" t="e">
        <f>+($X$28+$Y$28+$Z$28-SUM($X$32:AE32))*$U$30</f>
        <v>#REF!</v>
      </c>
      <c r="AG30" s="37" t="e">
        <f>+($X$28+$Y$28+$Z$28-SUM($X$32:AF32))*$U$30</f>
        <v>#REF!</v>
      </c>
      <c r="AH30" s="37" t="e">
        <f>+($X$28+$Y$28+$Z$28-SUM($X$32:AG32))*$U$30</f>
        <v>#REF!</v>
      </c>
      <c r="AI30" s="37" t="e">
        <f>+($X$28+$Y$28+$Z$28-SUM($X$32:AH32))*$U$30</f>
        <v>#REF!</v>
      </c>
      <c r="AJ30" s="37" t="e">
        <f>+($X$28+$Y$28+$Z$28-SUM($X$32:AI32))*$U$30</f>
        <v>#REF!</v>
      </c>
      <c r="AK30" s="37" t="e">
        <f>+($X$28+$Y$28+$Z$28-SUM($X$32:AJ32))*$U$30</f>
        <v>#REF!</v>
      </c>
      <c r="AL30" s="37" t="e">
        <f>+($X$28+$Y$28+$Z$28-SUM($X$32:AK32))*$U$30</f>
        <v>#REF!</v>
      </c>
      <c r="AM30" s="37" t="e">
        <f>+($X$28+$Y$28+$Z$28-SUM($X$32:AL32))*$U$30</f>
        <v>#REF!</v>
      </c>
      <c r="AN30" s="37" t="e">
        <f>+($X$28+$Y$28+$Z$28-SUM($X$32:AM32))*$U$30</f>
        <v>#REF!</v>
      </c>
      <c r="AO30" s="37" t="e">
        <f>+($X$28+$Y$28+$Z$28-SUM($X$32:AN32))*$U$30</f>
        <v>#REF!</v>
      </c>
      <c r="AP30" s="37" t="e">
        <f>+($X$28+$Y$28+$Z$28-SUM($X$32:AO32))*$U$30</f>
        <v>#REF!</v>
      </c>
      <c r="AQ30" s="37" t="e">
        <f>+($X$28+$Y$28+$Z$28-SUM($X$32:AP32))*$U$30</f>
        <v>#REF!</v>
      </c>
      <c r="AR30" s="37" t="e">
        <f>+($X$28+$Y$28+$Z$28-SUM($X$32:AQ32))*$U$30</f>
        <v>#REF!</v>
      </c>
      <c r="AS30" s="37" t="e">
        <f>+($X$28+$Y$28+$Z$28-SUM($X$32:AR32))*$U$30</f>
        <v>#REF!</v>
      </c>
      <c r="AT30" s="37" t="e">
        <f>+($X$28+$Y$28+$Z$28-SUM($X$32:AS32))*$U$30</f>
        <v>#REF!</v>
      </c>
      <c r="AU30" s="21"/>
    </row>
    <row r="31" spans="1:59" ht="20.100000000000001" customHeight="1" x14ac:dyDescent="0.25">
      <c r="A31" s="32"/>
      <c r="B31" s="24"/>
      <c r="D31">
        <f t="shared" si="21"/>
        <v>6</v>
      </c>
      <c r="E31" s="24"/>
      <c r="F31" t="e">
        <f t="shared" si="25"/>
        <v>#REF!</v>
      </c>
      <c r="G31" s="112" t="e">
        <f t="shared" si="22"/>
        <v>#REF!</v>
      </c>
      <c r="H31" t="e">
        <f>$AC$11</f>
        <v>#REF!</v>
      </c>
      <c r="I31" t="e">
        <f t="shared" si="23"/>
        <v>#REF!</v>
      </c>
      <c r="T31" t="s">
        <v>93</v>
      </c>
      <c r="U31" s="52">
        <v>0.1</v>
      </c>
      <c r="V31" s="52"/>
      <c r="W31" s="53" t="s">
        <v>81</v>
      </c>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21"/>
    </row>
    <row r="32" spans="1:59" ht="20.100000000000001" customHeight="1" x14ac:dyDescent="0.25">
      <c r="A32" s="32"/>
      <c r="D32">
        <f t="shared" si="21"/>
        <v>7</v>
      </c>
      <c r="F32" t="e">
        <f t="shared" si="25"/>
        <v>#REF!</v>
      </c>
      <c r="G32" s="112" t="e">
        <f t="shared" si="22"/>
        <v>#REF!</v>
      </c>
      <c r="H32" t="e">
        <f>$AD$11</f>
        <v>#REF!</v>
      </c>
      <c r="I32" t="e">
        <f t="shared" si="23"/>
        <v>#REF!</v>
      </c>
      <c r="V32" s="9" t="e">
        <f>SUM(X32:AS32)</f>
        <v>#REF!</v>
      </c>
      <c r="W32" s="37" t="s">
        <v>94</v>
      </c>
      <c r="X32" s="37">
        <f>+AY14</f>
        <v>0</v>
      </c>
      <c r="Y32" s="37"/>
      <c r="Z32" s="37"/>
      <c r="AA32" s="37" t="e">
        <f>+$V$22/10</f>
        <v>#REF!</v>
      </c>
      <c r="AB32" s="37" t="e">
        <f t="shared" ref="AB32:AJ32" si="26">+$V$22/10</f>
        <v>#REF!</v>
      </c>
      <c r="AC32" s="37" t="e">
        <f t="shared" si="26"/>
        <v>#REF!</v>
      </c>
      <c r="AD32" s="37" t="e">
        <f t="shared" si="26"/>
        <v>#REF!</v>
      </c>
      <c r="AE32" s="37" t="e">
        <f t="shared" si="26"/>
        <v>#REF!</v>
      </c>
      <c r="AF32" s="37" t="e">
        <f t="shared" si="26"/>
        <v>#REF!</v>
      </c>
      <c r="AG32" s="37" t="e">
        <f t="shared" si="26"/>
        <v>#REF!</v>
      </c>
      <c r="AH32" s="37" t="e">
        <f t="shared" si="26"/>
        <v>#REF!</v>
      </c>
      <c r="AI32" s="37" t="e">
        <f t="shared" si="26"/>
        <v>#REF!</v>
      </c>
      <c r="AJ32" s="37" t="e">
        <f t="shared" si="26"/>
        <v>#REF!</v>
      </c>
      <c r="AK32" s="37"/>
      <c r="AL32" s="37"/>
      <c r="AM32" s="37"/>
      <c r="AN32" s="37"/>
      <c r="AO32" s="37"/>
      <c r="AP32" s="37"/>
      <c r="AQ32" s="37"/>
      <c r="AR32" s="37"/>
      <c r="AS32" s="37"/>
      <c r="AT32" s="37"/>
      <c r="AU32" s="21"/>
    </row>
    <row r="33" spans="1:50" ht="20.100000000000001" customHeight="1" x14ac:dyDescent="0.25">
      <c r="A33" s="32"/>
      <c r="B33" s="8"/>
      <c r="D33">
        <f t="shared" si="21"/>
        <v>8</v>
      </c>
      <c r="F33" t="e">
        <f t="shared" si="25"/>
        <v>#REF!</v>
      </c>
      <c r="G33" s="112" t="e">
        <f t="shared" si="22"/>
        <v>#REF!</v>
      </c>
      <c r="H33" t="e">
        <f>$AE$11</f>
        <v>#REF!</v>
      </c>
      <c r="I33" t="e">
        <f t="shared" si="23"/>
        <v>#REF!</v>
      </c>
      <c r="V33" s="9"/>
      <c r="W33" s="43" t="s">
        <v>95</v>
      </c>
      <c r="X33" s="43" t="e">
        <f>+X11</f>
        <v>#REF!</v>
      </c>
      <c r="Y33" s="43" t="e">
        <f t="shared" ref="Y33:AS33" si="27">+Y11</f>
        <v>#REF!</v>
      </c>
      <c r="Z33" s="43" t="e">
        <f>+Z11</f>
        <v>#REF!</v>
      </c>
      <c r="AA33" s="43" t="e">
        <f t="shared" si="27"/>
        <v>#REF!</v>
      </c>
      <c r="AB33" s="43" t="e">
        <f t="shared" si="27"/>
        <v>#REF!</v>
      </c>
      <c r="AC33" s="43" t="e">
        <f t="shared" si="27"/>
        <v>#REF!</v>
      </c>
      <c r="AD33" s="43" t="e">
        <f t="shared" si="27"/>
        <v>#REF!</v>
      </c>
      <c r="AE33" s="43" t="e">
        <f t="shared" si="27"/>
        <v>#REF!</v>
      </c>
      <c r="AF33" s="43" t="e">
        <f t="shared" si="27"/>
        <v>#REF!</v>
      </c>
      <c r="AG33" s="43" t="e">
        <f t="shared" si="27"/>
        <v>#REF!</v>
      </c>
      <c r="AH33" s="43" t="e">
        <f t="shared" si="27"/>
        <v>#REF!</v>
      </c>
      <c r="AI33" s="43" t="e">
        <f t="shared" si="27"/>
        <v>#REF!</v>
      </c>
      <c r="AJ33" s="43" t="e">
        <f t="shared" si="27"/>
        <v>#REF!</v>
      </c>
      <c r="AK33" s="43" t="e">
        <f t="shared" si="27"/>
        <v>#REF!</v>
      </c>
      <c r="AL33" s="43" t="e">
        <f t="shared" si="27"/>
        <v>#REF!</v>
      </c>
      <c r="AM33" s="43" t="e">
        <f t="shared" si="27"/>
        <v>#REF!</v>
      </c>
      <c r="AN33" s="43" t="e">
        <f t="shared" si="27"/>
        <v>#REF!</v>
      </c>
      <c r="AO33" s="43" t="e">
        <f t="shared" si="27"/>
        <v>#REF!</v>
      </c>
      <c r="AP33" s="43" t="e">
        <f t="shared" si="27"/>
        <v>#REF!</v>
      </c>
      <c r="AQ33" s="43" t="e">
        <f t="shared" si="27"/>
        <v>#REF!</v>
      </c>
      <c r="AR33" s="43" t="e">
        <f t="shared" si="27"/>
        <v>#REF!</v>
      </c>
      <c r="AS33" s="43" t="e">
        <f t="shared" si="27"/>
        <v>#REF!</v>
      </c>
      <c r="AT33" s="43" t="e">
        <f t="shared" ref="AT33" si="28">+AT11</f>
        <v>#REF!</v>
      </c>
      <c r="AU33" s="21"/>
    </row>
    <row r="34" spans="1:50" ht="20.100000000000001" customHeight="1" x14ac:dyDescent="0.25">
      <c r="A34" s="32">
        <f>SUM(A27:A32)</f>
        <v>0</v>
      </c>
      <c r="B34" s="8"/>
      <c r="D34">
        <f t="shared" si="21"/>
        <v>9</v>
      </c>
      <c r="F34" t="e">
        <f t="shared" si="25"/>
        <v>#REF!</v>
      </c>
      <c r="G34" s="112" t="e">
        <f t="shared" si="22"/>
        <v>#REF!</v>
      </c>
      <c r="H34" t="e">
        <f>$AF$11</f>
        <v>#REF!</v>
      </c>
      <c r="I34" t="e">
        <f t="shared" si="23"/>
        <v>#REF!</v>
      </c>
      <c r="V34" s="9"/>
      <c r="W34" s="37" t="s">
        <v>4</v>
      </c>
      <c r="X34" s="37" t="e">
        <f>SUM(X26:X33)</f>
        <v>#REF!</v>
      </c>
      <c r="Y34" s="37" t="e">
        <f>SUM(Y26:Y33)</f>
        <v>#REF!</v>
      </c>
      <c r="Z34" s="37" t="e">
        <f t="shared" ref="Z34:AS34" si="29">SUM(Z26:Z33)</f>
        <v>#REF!</v>
      </c>
      <c r="AA34" s="37" t="e">
        <f t="shared" si="29"/>
        <v>#REF!</v>
      </c>
      <c r="AB34" s="37" t="e">
        <f t="shared" si="29"/>
        <v>#REF!</v>
      </c>
      <c r="AC34" s="37" t="e">
        <f t="shared" si="29"/>
        <v>#REF!</v>
      </c>
      <c r="AD34" s="37" t="e">
        <f t="shared" si="29"/>
        <v>#REF!</v>
      </c>
      <c r="AE34" s="37" t="e">
        <f t="shared" si="29"/>
        <v>#REF!</v>
      </c>
      <c r="AF34" s="37" t="e">
        <f t="shared" si="29"/>
        <v>#REF!</v>
      </c>
      <c r="AG34" s="37" t="e">
        <f t="shared" si="29"/>
        <v>#REF!</v>
      </c>
      <c r="AH34" s="37" t="e">
        <f t="shared" si="29"/>
        <v>#REF!</v>
      </c>
      <c r="AI34" s="37" t="e">
        <f t="shared" si="29"/>
        <v>#REF!</v>
      </c>
      <c r="AJ34" s="37" t="e">
        <f t="shared" si="29"/>
        <v>#REF!</v>
      </c>
      <c r="AK34" s="37" t="e">
        <f t="shared" si="29"/>
        <v>#REF!</v>
      </c>
      <c r="AL34" s="37" t="e">
        <f t="shared" si="29"/>
        <v>#REF!</v>
      </c>
      <c r="AM34" s="37" t="e">
        <f t="shared" si="29"/>
        <v>#REF!</v>
      </c>
      <c r="AN34" s="37" t="e">
        <f t="shared" si="29"/>
        <v>#REF!</v>
      </c>
      <c r="AO34" s="37" t="e">
        <f t="shared" si="29"/>
        <v>#REF!</v>
      </c>
      <c r="AP34" s="37" t="e">
        <f t="shared" si="29"/>
        <v>#REF!</v>
      </c>
      <c r="AQ34" s="37" t="e">
        <f t="shared" si="29"/>
        <v>#REF!</v>
      </c>
      <c r="AR34" s="37" t="e">
        <f t="shared" si="29"/>
        <v>#REF!</v>
      </c>
      <c r="AS34" s="37" t="e">
        <f t="shared" si="29"/>
        <v>#REF!</v>
      </c>
      <c r="AT34" s="37" t="e">
        <f t="shared" ref="AT34" si="30">SUM(AT26:AT33)</f>
        <v>#REF!</v>
      </c>
      <c r="AU34" s="21"/>
    </row>
    <row r="35" spans="1:50" ht="20.100000000000001" customHeight="1" x14ac:dyDescent="0.25">
      <c r="A35" s="32"/>
      <c r="B35" s="8"/>
      <c r="D35">
        <f t="shared" si="21"/>
        <v>10</v>
      </c>
      <c r="F35" t="e">
        <f t="shared" si="25"/>
        <v>#REF!</v>
      </c>
      <c r="G35" s="112" t="e">
        <f t="shared" si="22"/>
        <v>#REF!</v>
      </c>
      <c r="H35" t="e">
        <f>$AG$11</f>
        <v>#REF!</v>
      </c>
      <c r="I35" t="e">
        <f t="shared" si="23"/>
        <v>#REF!</v>
      </c>
      <c r="V35" s="9"/>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21"/>
    </row>
    <row r="36" spans="1:50" ht="20.100000000000001" customHeight="1" thickBot="1" x14ac:dyDescent="0.3">
      <c r="B36" s="8"/>
      <c r="D36">
        <f t="shared" si="21"/>
        <v>11</v>
      </c>
      <c r="F36" t="e">
        <f t="shared" si="25"/>
        <v>#REF!</v>
      </c>
      <c r="G36" s="112" t="e">
        <f t="shared" si="22"/>
        <v>#REF!</v>
      </c>
      <c r="H36" t="e">
        <f>$AH$11</f>
        <v>#REF!</v>
      </c>
      <c r="I36" t="e">
        <f t="shared" si="23"/>
        <v>#REF!</v>
      </c>
      <c r="V36" s="9"/>
      <c r="W36" s="54" t="s">
        <v>96</v>
      </c>
      <c r="X36" s="55" t="e">
        <f t="shared" ref="X36:AS36" si="31">+X23-X34</f>
        <v>#REF!</v>
      </c>
      <c r="Y36" s="55" t="e">
        <f t="shared" si="31"/>
        <v>#REF!</v>
      </c>
      <c r="Z36" s="55" t="e">
        <f t="shared" si="31"/>
        <v>#REF!</v>
      </c>
      <c r="AA36" s="55" t="e">
        <f t="shared" si="31"/>
        <v>#REF!</v>
      </c>
      <c r="AB36" s="55" t="e">
        <f t="shared" si="31"/>
        <v>#REF!</v>
      </c>
      <c r="AC36" s="55" t="e">
        <f t="shared" si="31"/>
        <v>#REF!</v>
      </c>
      <c r="AD36" s="55" t="e">
        <f t="shared" si="31"/>
        <v>#REF!</v>
      </c>
      <c r="AE36" s="55" t="e">
        <f t="shared" si="31"/>
        <v>#REF!</v>
      </c>
      <c r="AF36" s="55" t="e">
        <f t="shared" si="31"/>
        <v>#REF!</v>
      </c>
      <c r="AG36" s="55" t="e">
        <f t="shared" si="31"/>
        <v>#REF!</v>
      </c>
      <c r="AH36" s="55" t="e">
        <f t="shared" si="31"/>
        <v>#REF!</v>
      </c>
      <c r="AI36" s="55" t="e">
        <f t="shared" si="31"/>
        <v>#REF!</v>
      </c>
      <c r="AJ36" s="55" t="e">
        <f t="shared" si="31"/>
        <v>#REF!</v>
      </c>
      <c r="AK36" s="55" t="e">
        <f t="shared" si="31"/>
        <v>#REF!</v>
      </c>
      <c r="AL36" s="55" t="e">
        <f t="shared" si="31"/>
        <v>#REF!</v>
      </c>
      <c r="AM36" s="55" t="e">
        <f t="shared" si="31"/>
        <v>#REF!</v>
      </c>
      <c r="AN36" s="55" t="e">
        <f t="shared" si="31"/>
        <v>#REF!</v>
      </c>
      <c r="AO36" s="55" t="e">
        <f t="shared" si="31"/>
        <v>#REF!</v>
      </c>
      <c r="AP36" s="55" t="e">
        <f t="shared" si="31"/>
        <v>#REF!</v>
      </c>
      <c r="AQ36" s="55" t="e">
        <f t="shared" si="31"/>
        <v>#REF!</v>
      </c>
      <c r="AR36" s="55" t="e">
        <f t="shared" si="31"/>
        <v>#REF!</v>
      </c>
      <c r="AS36" s="55" t="e">
        <f t="shared" si="31"/>
        <v>#REF!</v>
      </c>
      <c r="AT36" s="55" t="e">
        <f t="shared" ref="AT36" si="32">+AT23-AT34</f>
        <v>#REF!</v>
      </c>
      <c r="AU36" s="21"/>
    </row>
    <row r="37" spans="1:50" ht="20.100000000000001" customHeight="1" thickBot="1" x14ac:dyDescent="0.3">
      <c r="B37" s="8"/>
      <c r="D37">
        <f t="shared" si="21"/>
        <v>12</v>
      </c>
      <c r="F37" t="e">
        <f t="shared" si="25"/>
        <v>#REF!</v>
      </c>
      <c r="G37" s="112" t="e">
        <f t="shared" si="22"/>
        <v>#REF!</v>
      </c>
      <c r="H37" t="e">
        <f>$AI$11</f>
        <v>#REF!</v>
      </c>
      <c r="I37" t="e">
        <f t="shared" si="23"/>
        <v>#REF!</v>
      </c>
      <c r="V37" s="9"/>
      <c r="W37" s="56" t="s">
        <v>97</v>
      </c>
      <c r="X37" s="57" t="e">
        <f>SUM($X$36:X36)</f>
        <v>#REF!</v>
      </c>
      <c r="Y37" s="57" t="e">
        <f>SUM($X$36:Y36)</f>
        <v>#REF!</v>
      </c>
      <c r="Z37" s="57" t="e">
        <f>SUM($X$36:Z36)</f>
        <v>#REF!</v>
      </c>
      <c r="AA37" s="57" t="e">
        <f>SUM($X$36:AA36)</f>
        <v>#REF!</v>
      </c>
      <c r="AB37" s="57" t="e">
        <f>SUM($X$36:AB36)</f>
        <v>#REF!</v>
      </c>
      <c r="AC37" s="57" t="e">
        <f>SUM($X$36:AC36)</f>
        <v>#REF!</v>
      </c>
      <c r="AD37" s="57" t="e">
        <f>SUM($X$36:AD36)</f>
        <v>#REF!</v>
      </c>
      <c r="AE37" s="57" t="e">
        <f>SUM($X$36:AE36)</f>
        <v>#REF!</v>
      </c>
      <c r="AF37" s="57" t="e">
        <f>SUM($X$36:AF36)</f>
        <v>#REF!</v>
      </c>
      <c r="AG37" s="57" t="e">
        <f>SUM($X$36:AG36)</f>
        <v>#REF!</v>
      </c>
      <c r="AH37" s="57" t="e">
        <f>SUM($X$36:AH36)</f>
        <v>#REF!</v>
      </c>
      <c r="AI37" s="57" t="e">
        <f>SUM($X$36:AI36)</f>
        <v>#REF!</v>
      </c>
      <c r="AJ37" s="57" t="e">
        <f>SUM($X$36:AJ36)</f>
        <v>#REF!</v>
      </c>
      <c r="AK37" s="57" t="e">
        <f>SUM($X$36:AK36)</f>
        <v>#REF!</v>
      </c>
      <c r="AL37" s="57" t="e">
        <f>SUM($X$36:AL36)</f>
        <v>#REF!</v>
      </c>
      <c r="AM37" s="57" t="e">
        <f>SUM($X$36:AM36)</f>
        <v>#REF!</v>
      </c>
      <c r="AN37" s="57" t="e">
        <f>SUM($X$36:AN36)</f>
        <v>#REF!</v>
      </c>
      <c r="AO37" s="57" t="e">
        <f>SUM($X$36:AO36)</f>
        <v>#REF!</v>
      </c>
      <c r="AP37" s="57" t="e">
        <f>SUM($X$36:AP36)</f>
        <v>#REF!</v>
      </c>
      <c r="AQ37" s="57" t="e">
        <f>SUM($X$36:AQ36)</f>
        <v>#REF!</v>
      </c>
      <c r="AR37" s="57" t="e">
        <f>SUM($X$36:AR36)</f>
        <v>#REF!</v>
      </c>
      <c r="AS37" s="57" t="e">
        <f>SUM($X$36:AS36)</f>
        <v>#REF!</v>
      </c>
      <c r="AT37" s="57" t="e">
        <f>SUM($X$36:AT36)</f>
        <v>#REF!</v>
      </c>
      <c r="AU37" s="21"/>
    </row>
    <row r="38" spans="1:50" ht="20.100000000000001" customHeight="1" x14ac:dyDescent="0.25">
      <c r="B38" s="24"/>
      <c r="D38">
        <f t="shared" si="21"/>
        <v>13</v>
      </c>
      <c r="E38" s="24"/>
      <c r="F38" t="e">
        <f t="shared" si="25"/>
        <v>#REF!</v>
      </c>
      <c r="G38" s="112" t="e">
        <f t="shared" si="22"/>
        <v>#REF!</v>
      </c>
      <c r="H38" t="e">
        <f>$AJ$11</f>
        <v>#REF!</v>
      </c>
      <c r="I38" t="e">
        <f t="shared" si="23"/>
        <v>#REF!</v>
      </c>
      <c r="V38" s="9"/>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21"/>
    </row>
    <row r="39" spans="1:50" ht="20.100000000000001" customHeight="1" x14ac:dyDescent="0.25">
      <c r="D39">
        <f t="shared" si="21"/>
        <v>14</v>
      </c>
      <c r="F39" t="e">
        <f t="shared" si="25"/>
        <v>#REF!</v>
      </c>
      <c r="G39" s="112" t="e">
        <f t="shared" si="22"/>
        <v>#REF!</v>
      </c>
      <c r="H39" t="e">
        <f>$AK$11</f>
        <v>#REF!</v>
      </c>
      <c r="I39" t="e">
        <f t="shared" si="23"/>
        <v>#REF!</v>
      </c>
      <c r="V39" s="9"/>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21"/>
    </row>
    <row r="40" spans="1:50" ht="20.100000000000001" customHeight="1" x14ac:dyDescent="0.25">
      <c r="B40" s="24"/>
      <c r="D40">
        <f t="shared" si="21"/>
        <v>15</v>
      </c>
      <c r="E40" s="24"/>
      <c r="F40" t="e">
        <f t="shared" si="25"/>
        <v>#REF!</v>
      </c>
      <c r="G40" s="112" t="e">
        <f t="shared" si="22"/>
        <v>#REF!</v>
      </c>
      <c r="H40" t="e">
        <f>$AL$11</f>
        <v>#REF!</v>
      </c>
      <c r="I40" t="e">
        <f t="shared" si="23"/>
        <v>#REF!</v>
      </c>
      <c r="O40" t="s">
        <v>98</v>
      </c>
      <c r="V40" s="9"/>
      <c r="W40" s="3"/>
      <c r="X40" s="3"/>
      <c r="Y40" s="37"/>
      <c r="Z40" s="40" t="s">
        <v>46</v>
      </c>
      <c r="AA40" s="44"/>
      <c r="AB40" s="3"/>
      <c r="AC40" s="3"/>
      <c r="AD40" s="3"/>
      <c r="AE40" s="3"/>
      <c r="AF40" s="3"/>
      <c r="AG40" s="3"/>
      <c r="AH40" s="3"/>
      <c r="AI40" s="3"/>
      <c r="AJ40" s="3"/>
      <c r="AK40" s="3"/>
      <c r="AL40" s="3"/>
      <c r="AM40" s="3"/>
      <c r="AN40" s="3"/>
      <c r="AO40" s="3"/>
      <c r="AP40" s="3"/>
      <c r="AQ40" s="3"/>
      <c r="AR40" s="3"/>
      <c r="AS40" s="4"/>
      <c r="AT40" s="4"/>
      <c r="AU40" s="9"/>
    </row>
    <row r="41" spans="1:50" ht="20.100000000000001" customHeight="1" x14ac:dyDescent="0.25">
      <c r="D41">
        <f t="shared" si="21"/>
        <v>16</v>
      </c>
      <c r="F41" t="e">
        <f t="shared" si="25"/>
        <v>#REF!</v>
      </c>
      <c r="G41" s="112" t="e">
        <f t="shared" si="22"/>
        <v>#REF!</v>
      </c>
      <c r="H41" t="e">
        <f>$AM$11</f>
        <v>#REF!</v>
      </c>
      <c r="I41" t="e">
        <f t="shared" si="23"/>
        <v>#REF!</v>
      </c>
      <c r="O41" t="s">
        <v>100</v>
      </c>
      <c r="P41">
        <v>1</v>
      </c>
      <c r="V41" s="9"/>
      <c r="W41" s="6" t="s">
        <v>99</v>
      </c>
      <c r="X41" s="3"/>
      <c r="Y41" s="37"/>
      <c r="Z41" s="37"/>
      <c r="AA41" s="46"/>
      <c r="AB41" s="3"/>
      <c r="AC41" s="3"/>
      <c r="AD41" s="3"/>
      <c r="AE41" s="3"/>
      <c r="AF41" s="3"/>
      <c r="AG41" s="3"/>
      <c r="AH41" s="3"/>
      <c r="AI41" s="3"/>
      <c r="AJ41" s="3"/>
      <c r="AK41" s="3"/>
      <c r="AL41" s="3"/>
      <c r="AM41" s="3"/>
      <c r="AN41" s="3"/>
      <c r="AO41" s="3"/>
      <c r="AP41" s="3"/>
      <c r="AQ41" s="3"/>
      <c r="AR41" s="3"/>
      <c r="AS41" s="3"/>
      <c r="AT41" s="3"/>
      <c r="AU41" s="9"/>
    </row>
    <row r="42" spans="1:50" ht="20.100000000000001" customHeight="1" x14ac:dyDescent="0.25">
      <c r="D42">
        <f t="shared" si="21"/>
        <v>17</v>
      </c>
      <c r="F42" t="e">
        <f t="shared" si="25"/>
        <v>#REF!</v>
      </c>
      <c r="G42" s="112" t="e">
        <f t="shared" si="22"/>
        <v>#REF!</v>
      </c>
      <c r="H42" t="e">
        <f>$AN$11</f>
        <v>#REF!</v>
      </c>
      <c r="I42" t="e">
        <f t="shared" si="23"/>
        <v>#REF!</v>
      </c>
      <c r="O42" t="s">
        <v>101</v>
      </c>
      <c r="P42">
        <v>1</v>
      </c>
      <c r="V42" s="58"/>
      <c r="W42" s="13" t="s">
        <v>3</v>
      </c>
      <c r="X42" s="30" t="s">
        <v>49</v>
      </c>
      <c r="Y42" s="30" t="s">
        <v>50</v>
      </c>
      <c r="Z42" s="30" t="s">
        <v>51</v>
      </c>
      <c r="AA42" s="30" t="s">
        <v>52</v>
      </c>
      <c r="AB42" s="30" t="s">
        <v>53</v>
      </c>
      <c r="AC42" s="30" t="s">
        <v>54</v>
      </c>
      <c r="AD42" s="30" t="s">
        <v>55</v>
      </c>
      <c r="AE42" s="30" t="s">
        <v>56</v>
      </c>
      <c r="AF42" s="30" t="s">
        <v>57</v>
      </c>
      <c r="AG42" s="30" t="s">
        <v>58</v>
      </c>
      <c r="AH42" s="30" t="s">
        <v>59</v>
      </c>
      <c r="AI42" s="30" t="s">
        <v>60</v>
      </c>
      <c r="AJ42" s="30" t="s">
        <v>61</v>
      </c>
      <c r="AK42" s="30" t="s">
        <v>62</v>
      </c>
      <c r="AL42" s="30" t="s">
        <v>63</v>
      </c>
      <c r="AM42" s="30" t="s">
        <v>64</v>
      </c>
      <c r="AN42" s="30" t="s">
        <v>65</v>
      </c>
      <c r="AO42" s="30" t="s">
        <v>66</v>
      </c>
      <c r="AP42" s="30" t="s">
        <v>67</v>
      </c>
      <c r="AQ42" s="30" t="s">
        <v>68</v>
      </c>
      <c r="AR42" s="30" t="s">
        <v>69</v>
      </c>
      <c r="AS42" s="30" t="s">
        <v>70</v>
      </c>
      <c r="AT42" s="30" t="s">
        <v>70</v>
      </c>
      <c r="AU42" s="59"/>
      <c r="AV42" s="8"/>
      <c r="AW42" s="8"/>
      <c r="AX42" s="8"/>
    </row>
    <row r="43" spans="1:50" ht="20.100000000000001" customHeight="1" x14ac:dyDescent="0.25">
      <c r="D43">
        <f t="shared" si="21"/>
        <v>18</v>
      </c>
      <c r="F43" t="e">
        <f t="shared" si="25"/>
        <v>#REF!</v>
      </c>
      <c r="G43" s="112" t="e">
        <f t="shared" si="22"/>
        <v>#REF!</v>
      </c>
      <c r="H43" t="e">
        <f>$AO$11</f>
        <v>#REF!</v>
      </c>
      <c r="I43" t="e">
        <f t="shared" si="23"/>
        <v>#REF!</v>
      </c>
      <c r="O43" t="s">
        <v>141</v>
      </c>
      <c r="V43" s="60" t="s">
        <v>26</v>
      </c>
      <c r="W43" s="6" t="s">
        <v>102</v>
      </c>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31"/>
      <c r="AV43" s="8"/>
      <c r="AW43" s="8"/>
      <c r="AX43" s="8"/>
    </row>
    <row r="44" spans="1:50" ht="20.100000000000001" customHeight="1" x14ac:dyDescent="0.25">
      <c r="D44">
        <f t="shared" si="21"/>
        <v>19</v>
      </c>
      <c r="F44" t="e">
        <f t="shared" si="25"/>
        <v>#REF!</v>
      </c>
      <c r="G44" s="112" t="e">
        <f t="shared" si="22"/>
        <v>#REF!</v>
      </c>
      <c r="H44" t="e">
        <f>$AP$11</f>
        <v>#REF!</v>
      </c>
      <c r="I44" t="e">
        <f t="shared" si="23"/>
        <v>#REF!</v>
      </c>
      <c r="O44" t="s">
        <v>142</v>
      </c>
      <c r="P44">
        <f>1+1.4685*0</f>
        <v>1</v>
      </c>
      <c r="U44" t="e">
        <f>SUM(X44:Z44)</f>
        <v>#REF!</v>
      </c>
      <c r="V44" s="62">
        <v>1</v>
      </c>
      <c r="W44" s="3" t="s">
        <v>103</v>
      </c>
      <c r="X44" s="3" t="e">
        <f>C7</f>
        <v>#REF!</v>
      </c>
      <c r="Y44" s="3" t="e">
        <f>C8+C10</f>
        <v>#REF!</v>
      </c>
      <c r="Z44" s="3" t="e">
        <f>(C9+C10)*0</f>
        <v>#REF!</v>
      </c>
      <c r="AA44" s="3">
        <f t="shared" ref="AA44:AR44" si="33">+AA27+AA28</f>
        <v>0</v>
      </c>
      <c r="AB44" s="3">
        <f t="shared" si="33"/>
        <v>0</v>
      </c>
      <c r="AC44" s="3">
        <f t="shared" si="33"/>
        <v>0</v>
      </c>
      <c r="AD44" s="3">
        <f t="shared" si="33"/>
        <v>0</v>
      </c>
      <c r="AE44" s="3">
        <f t="shared" si="33"/>
        <v>0</v>
      </c>
      <c r="AF44" s="3">
        <f t="shared" si="33"/>
        <v>0</v>
      </c>
      <c r="AG44" s="3">
        <f t="shared" si="33"/>
        <v>0</v>
      </c>
      <c r="AH44" s="3">
        <f t="shared" si="33"/>
        <v>0</v>
      </c>
      <c r="AI44" s="3">
        <f t="shared" si="33"/>
        <v>0</v>
      </c>
      <c r="AJ44" s="3">
        <f t="shared" si="33"/>
        <v>0</v>
      </c>
      <c r="AK44" s="3">
        <f t="shared" si="33"/>
        <v>0</v>
      </c>
      <c r="AL44" s="3">
        <f t="shared" si="33"/>
        <v>0</v>
      </c>
      <c r="AM44" s="3">
        <f t="shared" si="33"/>
        <v>0</v>
      </c>
      <c r="AN44" s="3">
        <f t="shared" si="33"/>
        <v>0</v>
      </c>
      <c r="AO44" s="3">
        <f t="shared" si="33"/>
        <v>0</v>
      </c>
      <c r="AP44" s="3">
        <f t="shared" si="33"/>
        <v>0</v>
      </c>
      <c r="AQ44" s="3">
        <f t="shared" si="33"/>
        <v>0</v>
      </c>
      <c r="AR44" s="3">
        <f t="shared" si="33"/>
        <v>0</v>
      </c>
      <c r="AS44" t="e">
        <f>-SUM(X44:Y44)*0</f>
        <v>#REF!</v>
      </c>
      <c r="AT44" t="e">
        <f>-SUM(Y44:Z44)*0</f>
        <v>#REF!</v>
      </c>
      <c r="AU44" s="9"/>
    </row>
    <row r="45" spans="1:50" ht="20.100000000000001" customHeight="1" x14ac:dyDescent="0.25">
      <c r="D45">
        <f t="shared" si="21"/>
        <v>20</v>
      </c>
      <c r="F45" t="e">
        <f t="shared" si="25"/>
        <v>#REF!</v>
      </c>
      <c r="G45" s="112" t="e">
        <f t="shared" si="22"/>
        <v>#REF!</v>
      </c>
      <c r="H45" t="e">
        <f>$AQ$11</f>
        <v>#REF!</v>
      </c>
      <c r="I45" t="e">
        <f t="shared" si="23"/>
        <v>#REF!</v>
      </c>
      <c r="V45" s="62">
        <v>2</v>
      </c>
      <c r="W45" s="3" t="s">
        <v>95</v>
      </c>
      <c r="X45" s="3" t="e">
        <f t="shared" ref="X45:AS45" si="34">+X11</f>
        <v>#REF!</v>
      </c>
      <c r="Y45" s="3" t="e">
        <f t="shared" si="34"/>
        <v>#REF!</v>
      </c>
      <c r="Z45" s="3" t="e">
        <f t="shared" si="34"/>
        <v>#REF!</v>
      </c>
      <c r="AA45" s="3" t="e">
        <f t="shared" si="34"/>
        <v>#REF!</v>
      </c>
      <c r="AB45" s="3" t="e">
        <f t="shared" si="34"/>
        <v>#REF!</v>
      </c>
      <c r="AC45" s="3" t="e">
        <f t="shared" si="34"/>
        <v>#REF!</v>
      </c>
      <c r="AD45" s="3" t="e">
        <f t="shared" si="34"/>
        <v>#REF!</v>
      </c>
      <c r="AE45" s="3" t="e">
        <f t="shared" si="34"/>
        <v>#REF!</v>
      </c>
      <c r="AF45" s="3" t="e">
        <f t="shared" si="34"/>
        <v>#REF!</v>
      </c>
      <c r="AG45" s="3" t="e">
        <f t="shared" si="34"/>
        <v>#REF!</v>
      </c>
      <c r="AH45" s="3" t="e">
        <f t="shared" si="34"/>
        <v>#REF!</v>
      </c>
      <c r="AI45" s="3" t="e">
        <f t="shared" si="34"/>
        <v>#REF!</v>
      </c>
      <c r="AJ45" s="3" t="e">
        <f t="shared" si="34"/>
        <v>#REF!</v>
      </c>
      <c r="AK45" s="3" t="e">
        <f t="shared" si="34"/>
        <v>#REF!</v>
      </c>
      <c r="AL45" s="3" t="e">
        <f t="shared" si="34"/>
        <v>#REF!</v>
      </c>
      <c r="AM45" s="3" t="e">
        <f t="shared" si="34"/>
        <v>#REF!</v>
      </c>
      <c r="AN45" s="3" t="e">
        <f t="shared" si="34"/>
        <v>#REF!</v>
      </c>
      <c r="AO45" s="3" t="e">
        <f t="shared" si="34"/>
        <v>#REF!</v>
      </c>
      <c r="AP45" s="3" t="e">
        <f t="shared" si="34"/>
        <v>#REF!</v>
      </c>
      <c r="AQ45" s="3" t="e">
        <f t="shared" si="34"/>
        <v>#REF!</v>
      </c>
      <c r="AR45" s="3" t="e">
        <f t="shared" si="34"/>
        <v>#REF!</v>
      </c>
      <c r="AS45" s="3" t="e">
        <f t="shared" si="34"/>
        <v>#REF!</v>
      </c>
      <c r="AT45" s="3" t="e">
        <f t="shared" ref="AT45" si="35">+AT11</f>
        <v>#REF!</v>
      </c>
      <c r="AU45" s="9"/>
    </row>
    <row r="46" spans="1:50" ht="20.100000000000001" customHeight="1" x14ac:dyDescent="0.25">
      <c r="D46">
        <f t="shared" si="21"/>
        <v>21</v>
      </c>
      <c r="F46" t="e">
        <f t="shared" si="25"/>
        <v>#REF!</v>
      </c>
      <c r="G46" s="112" t="e">
        <f t="shared" si="22"/>
        <v>#REF!</v>
      </c>
      <c r="H46" t="e">
        <f>$AR$11</f>
        <v>#REF!</v>
      </c>
      <c r="I46" t="e">
        <f t="shared" si="23"/>
        <v>#REF!</v>
      </c>
      <c r="O46" t="s">
        <v>146</v>
      </c>
      <c r="P46" s="96">
        <f>1.075</f>
        <v>1.075</v>
      </c>
      <c r="V46" s="60" t="s">
        <v>27</v>
      </c>
      <c r="W46" s="6" t="s">
        <v>104</v>
      </c>
      <c r="X46" s="3"/>
      <c r="Y46" s="3"/>
      <c r="Z46" s="3"/>
      <c r="AA46" s="3"/>
      <c r="AB46" s="3"/>
      <c r="AC46" s="3"/>
      <c r="AD46" s="3"/>
      <c r="AE46" s="3"/>
      <c r="AF46" s="3"/>
      <c r="AG46" s="3"/>
      <c r="AH46" s="3"/>
      <c r="AI46" s="3"/>
      <c r="AJ46" s="3"/>
      <c r="AK46" s="3"/>
      <c r="AL46" s="3"/>
      <c r="AM46" s="3"/>
      <c r="AN46" s="3"/>
      <c r="AO46" s="3"/>
      <c r="AP46" s="3"/>
      <c r="AQ46" s="3"/>
      <c r="AR46" s="3"/>
      <c r="AS46" s="3"/>
      <c r="AT46" s="3"/>
      <c r="AU46" s="9"/>
    </row>
    <row r="47" spans="1:50" ht="20.100000000000001" customHeight="1" x14ac:dyDescent="0.25">
      <c r="D47">
        <f t="shared" si="21"/>
        <v>22</v>
      </c>
      <c r="F47" t="e">
        <f>$D$14*4/12</f>
        <v>#REF!</v>
      </c>
      <c r="G47" s="112" t="e">
        <f t="shared" si="22"/>
        <v>#REF!</v>
      </c>
      <c r="H47" t="e">
        <f>$AS$11</f>
        <v>#REF!</v>
      </c>
      <c r="I47" t="e">
        <f t="shared" si="23"/>
        <v>#REF!</v>
      </c>
      <c r="V47" s="62">
        <v>1</v>
      </c>
      <c r="W47" s="3" t="s">
        <v>105</v>
      </c>
      <c r="X47" s="3" t="e">
        <f t="shared" ref="X47:AS47" si="36">+X20</f>
        <v>#REF!</v>
      </c>
      <c r="Y47" s="28" t="e">
        <f t="shared" si="36"/>
        <v>#REF!</v>
      </c>
      <c r="Z47" s="28" t="e">
        <f t="shared" si="36"/>
        <v>#REF!</v>
      </c>
      <c r="AA47" s="28" t="e">
        <f t="shared" si="36"/>
        <v>#REF!</v>
      </c>
      <c r="AB47" s="28" t="e">
        <f t="shared" si="36"/>
        <v>#REF!</v>
      </c>
      <c r="AC47" s="28" t="e">
        <f t="shared" si="36"/>
        <v>#REF!</v>
      </c>
      <c r="AD47" s="28" t="e">
        <f t="shared" si="36"/>
        <v>#REF!</v>
      </c>
      <c r="AE47" s="28" t="e">
        <f t="shared" si="36"/>
        <v>#REF!</v>
      </c>
      <c r="AF47" s="28" t="e">
        <f t="shared" si="36"/>
        <v>#REF!</v>
      </c>
      <c r="AG47" s="28" t="e">
        <f t="shared" si="36"/>
        <v>#REF!</v>
      </c>
      <c r="AH47" s="28" t="e">
        <f t="shared" si="36"/>
        <v>#REF!</v>
      </c>
      <c r="AI47" s="28" t="e">
        <f t="shared" si="36"/>
        <v>#REF!</v>
      </c>
      <c r="AJ47" s="28" t="e">
        <f t="shared" si="36"/>
        <v>#REF!</v>
      </c>
      <c r="AK47" s="28" t="e">
        <f t="shared" si="36"/>
        <v>#REF!</v>
      </c>
      <c r="AL47" s="28" t="e">
        <f t="shared" si="36"/>
        <v>#REF!</v>
      </c>
      <c r="AM47" s="28" t="e">
        <f t="shared" si="36"/>
        <v>#REF!</v>
      </c>
      <c r="AN47" s="28" t="e">
        <f t="shared" si="36"/>
        <v>#REF!</v>
      </c>
      <c r="AO47" s="28" t="e">
        <f t="shared" si="36"/>
        <v>#REF!</v>
      </c>
      <c r="AP47" s="28" t="e">
        <f t="shared" si="36"/>
        <v>#REF!</v>
      </c>
      <c r="AQ47" s="28" t="e">
        <f t="shared" si="36"/>
        <v>#REF!</v>
      </c>
      <c r="AR47" s="28" t="e">
        <f t="shared" si="36"/>
        <v>#REF!</v>
      </c>
      <c r="AS47" s="28" t="e">
        <f t="shared" si="36"/>
        <v>#REF!</v>
      </c>
      <c r="AT47" s="28" t="e">
        <f t="shared" ref="AT47" si="37">+AT20</f>
        <v>#REF!</v>
      </c>
      <c r="AU47" s="9"/>
    </row>
    <row r="48" spans="1:50" ht="20.100000000000001" customHeight="1" x14ac:dyDescent="0.25">
      <c r="D48" s="19">
        <f t="shared" si="21"/>
        <v>23</v>
      </c>
      <c r="E48" s="19"/>
      <c r="F48" s="19" t="e">
        <f>$D$14*6/12*0</f>
        <v>#REF!</v>
      </c>
      <c r="G48" s="113" t="e">
        <f t="shared" si="22"/>
        <v>#REF!</v>
      </c>
      <c r="H48" s="19" t="e">
        <f>$AT$11</f>
        <v>#REF!</v>
      </c>
      <c r="I48" s="19" t="e">
        <f t="shared" si="23"/>
        <v>#REF!</v>
      </c>
      <c r="J48" s="19"/>
      <c r="V48" s="62">
        <v>2</v>
      </c>
      <c r="W48" s="3" t="s">
        <v>237</v>
      </c>
      <c r="X48" s="3"/>
      <c r="Y48" s="28" t="e">
        <f>D16/2</f>
        <v>#REF!</v>
      </c>
      <c r="Z48" s="28" t="e">
        <f>+D16/2</f>
        <v>#REF!</v>
      </c>
      <c r="AA48" s="3"/>
      <c r="AB48" s="3"/>
      <c r="AC48" s="3"/>
      <c r="AD48" s="3"/>
      <c r="AE48" s="3"/>
      <c r="AF48" s="3"/>
      <c r="AG48" s="3"/>
      <c r="AH48" s="3"/>
      <c r="AI48" s="3"/>
      <c r="AJ48" s="3"/>
      <c r="AK48" s="3"/>
      <c r="AL48" s="3"/>
      <c r="AM48" s="3"/>
      <c r="AN48" s="3"/>
      <c r="AO48" s="3"/>
      <c r="AP48" s="3"/>
      <c r="AQ48" s="3"/>
      <c r="AR48" s="3"/>
      <c r="AS48" s="3"/>
      <c r="AT48" s="3"/>
      <c r="AU48" s="9"/>
    </row>
    <row r="49" spans="3:49" ht="20.100000000000001" customHeight="1" x14ac:dyDescent="0.25">
      <c r="G49" t="e">
        <f>NPV(0.1,G26:G47)</f>
        <v>#REF!</v>
      </c>
      <c r="I49" t="e">
        <f>NPV(0.1,I26:I48)</f>
        <v>#REF!</v>
      </c>
      <c r="V49" s="62">
        <v>3</v>
      </c>
      <c r="W49" s="3" t="s">
        <v>148</v>
      </c>
      <c r="X49" s="3"/>
      <c r="Y49" s="3"/>
      <c r="Z49" s="3"/>
      <c r="AA49" s="3"/>
      <c r="AB49" s="3"/>
      <c r="AC49" s="3"/>
      <c r="AD49" s="3"/>
      <c r="AE49" s="3"/>
      <c r="AF49" s="3"/>
      <c r="AG49" s="3"/>
      <c r="AH49" s="3"/>
      <c r="AI49" s="3"/>
      <c r="AJ49" s="3"/>
      <c r="AK49" s="3"/>
      <c r="AL49" s="3"/>
      <c r="AM49" s="3"/>
      <c r="AN49" s="3"/>
      <c r="AO49" s="3"/>
      <c r="AP49" s="3"/>
      <c r="AQ49" s="3"/>
      <c r="AR49" s="3"/>
      <c r="AS49" s="3"/>
      <c r="AT49" s="3"/>
      <c r="AU49" s="9"/>
    </row>
    <row r="50" spans="3:49" ht="20.100000000000001" customHeight="1" x14ac:dyDescent="0.25">
      <c r="D50" s="19"/>
      <c r="E50" s="19"/>
      <c r="F50" s="19"/>
      <c r="G50" s="111" t="e">
        <f>IRR(G26:G47)</f>
        <v>#VALUE!</v>
      </c>
      <c r="H50" s="19"/>
      <c r="I50" s="111" t="e">
        <f>IRR(I26:I47)</f>
        <v>#VALUE!</v>
      </c>
      <c r="J50" s="19"/>
      <c r="V50" s="60" t="s">
        <v>28</v>
      </c>
      <c r="W50" s="6" t="s">
        <v>106</v>
      </c>
      <c r="X50" s="3"/>
      <c r="Y50" s="3"/>
      <c r="Z50" s="3"/>
      <c r="AA50" s="3"/>
      <c r="AB50" s="3"/>
      <c r="AC50" s="3"/>
      <c r="AD50" s="3"/>
      <c r="AE50" s="3"/>
      <c r="AF50" s="3"/>
      <c r="AG50" s="3"/>
      <c r="AH50" s="3"/>
      <c r="AI50" s="3"/>
      <c r="AJ50" s="3"/>
      <c r="AK50" s="3"/>
      <c r="AL50" s="3"/>
      <c r="AM50" s="3"/>
      <c r="AN50" s="3"/>
      <c r="AO50" s="3"/>
      <c r="AP50" s="3"/>
      <c r="AQ50" s="3"/>
      <c r="AR50" s="3"/>
      <c r="AS50" s="3"/>
      <c r="AT50" s="3"/>
      <c r="AU50" s="9"/>
      <c r="AV50" s="63"/>
      <c r="AW50" s="63"/>
    </row>
    <row r="51" spans="3:49" ht="20.100000000000001" customHeight="1" x14ac:dyDescent="0.25">
      <c r="V51" s="62">
        <v>1</v>
      </c>
      <c r="W51" s="3" t="s">
        <v>107</v>
      </c>
      <c r="X51" s="3" t="e">
        <f>+X47+X48+X49-X44</f>
        <v>#REF!</v>
      </c>
      <c r="Y51" s="3" t="e">
        <f>+Y47+Y48+Y49-Y44</f>
        <v>#REF!</v>
      </c>
      <c r="Z51" s="3" t="e">
        <f>+Z47+Z48+Z49-Z44</f>
        <v>#REF!</v>
      </c>
      <c r="AA51" s="3" t="e">
        <f>+AA47+AA48+AA49-AA44</f>
        <v>#REF!</v>
      </c>
      <c r="AB51" s="3" t="e">
        <f t="shared" ref="AB51:AS51" si="38">+AB47+AB48+AB49-AB44</f>
        <v>#REF!</v>
      </c>
      <c r="AC51" s="3" t="e">
        <f t="shared" si="38"/>
        <v>#REF!</v>
      </c>
      <c r="AD51" s="3" t="e">
        <f t="shared" si="38"/>
        <v>#REF!</v>
      </c>
      <c r="AE51" s="3" t="e">
        <f t="shared" si="38"/>
        <v>#REF!</v>
      </c>
      <c r="AF51" s="3" t="e">
        <f t="shared" si="38"/>
        <v>#REF!</v>
      </c>
      <c r="AG51" s="3" t="e">
        <f t="shared" si="38"/>
        <v>#REF!</v>
      </c>
      <c r="AH51" s="3" t="e">
        <f t="shared" si="38"/>
        <v>#REF!</v>
      </c>
      <c r="AI51" s="3" t="e">
        <f t="shared" si="38"/>
        <v>#REF!</v>
      </c>
      <c r="AJ51" s="3" t="e">
        <f t="shared" si="38"/>
        <v>#REF!</v>
      </c>
      <c r="AK51" s="3" t="e">
        <f t="shared" si="38"/>
        <v>#REF!</v>
      </c>
      <c r="AL51" s="3" t="e">
        <f t="shared" si="38"/>
        <v>#REF!</v>
      </c>
      <c r="AM51" s="3" t="e">
        <f t="shared" si="38"/>
        <v>#REF!</v>
      </c>
      <c r="AN51" s="3" t="e">
        <f t="shared" si="38"/>
        <v>#REF!</v>
      </c>
      <c r="AO51" s="3" t="e">
        <f t="shared" si="38"/>
        <v>#REF!</v>
      </c>
      <c r="AP51" s="3" t="e">
        <f t="shared" si="38"/>
        <v>#REF!</v>
      </c>
      <c r="AQ51" s="3" t="e">
        <f t="shared" si="38"/>
        <v>#REF!</v>
      </c>
      <c r="AR51" s="3" t="e">
        <f t="shared" si="38"/>
        <v>#REF!</v>
      </c>
      <c r="AS51" s="3" t="e">
        <f t="shared" si="38"/>
        <v>#REF!</v>
      </c>
      <c r="AT51" s="3" t="e">
        <f t="shared" ref="AT51" si="39">+AT47+AT48+AT49-AT44</f>
        <v>#REF!</v>
      </c>
      <c r="AU51" s="9"/>
      <c r="AW51" s="63"/>
    </row>
    <row r="52" spans="3:49" ht="20.100000000000001" customHeight="1" x14ac:dyDescent="0.25">
      <c r="V52" s="62">
        <v>2</v>
      </c>
      <c r="W52" s="3" t="s">
        <v>108</v>
      </c>
      <c r="X52" s="28" t="e">
        <f>+X51-X45</f>
        <v>#REF!</v>
      </c>
      <c r="Y52" s="28" t="e">
        <f t="shared" ref="Y52:AS52" si="40">+Y51-Y45</f>
        <v>#REF!</v>
      </c>
      <c r="Z52" s="28" t="e">
        <f t="shared" si="40"/>
        <v>#REF!</v>
      </c>
      <c r="AA52" s="28" t="e">
        <f t="shared" si="40"/>
        <v>#REF!</v>
      </c>
      <c r="AB52" s="28" t="e">
        <f t="shared" si="40"/>
        <v>#REF!</v>
      </c>
      <c r="AC52" s="28" t="e">
        <f t="shared" si="40"/>
        <v>#REF!</v>
      </c>
      <c r="AD52" s="28" t="e">
        <f t="shared" si="40"/>
        <v>#REF!</v>
      </c>
      <c r="AE52" s="28" t="e">
        <f t="shared" si="40"/>
        <v>#REF!</v>
      </c>
      <c r="AF52" s="28" t="e">
        <f t="shared" si="40"/>
        <v>#REF!</v>
      </c>
      <c r="AG52" s="28" t="e">
        <f t="shared" si="40"/>
        <v>#REF!</v>
      </c>
      <c r="AH52" s="28" t="e">
        <f t="shared" si="40"/>
        <v>#REF!</v>
      </c>
      <c r="AI52" s="28" t="e">
        <f t="shared" si="40"/>
        <v>#REF!</v>
      </c>
      <c r="AJ52" s="28" t="e">
        <f t="shared" si="40"/>
        <v>#REF!</v>
      </c>
      <c r="AK52" s="28" t="e">
        <f t="shared" si="40"/>
        <v>#REF!</v>
      </c>
      <c r="AL52" s="28" t="e">
        <f t="shared" si="40"/>
        <v>#REF!</v>
      </c>
      <c r="AM52" s="28" t="e">
        <f t="shared" si="40"/>
        <v>#REF!</v>
      </c>
      <c r="AN52" s="28" t="e">
        <f t="shared" si="40"/>
        <v>#REF!</v>
      </c>
      <c r="AO52" s="28" t="e">
        <f t="shared" si="40"/>
        <v>#REF!</v>
      </c>
      <c r="AP52" s="28" t="e">
        <f t="shared" si="40"/>
        <v>#REF!</v>
      </c>
      <c r="AQ52" s="28" t="e">
        <f t="shared" si="40"/>
        <v>#REF!</v>
      </c>
      <c r="AR52" s="28" t="e">
        <f t="shared" si="40"/>
        <v>#REF!</v>
      </c>
      <c r="AS52" s="28" t="e">
        <f t="shared" si="40"/>
        <v>#REF!</v>
      </c>
      <c r="AT52" s="28" t="e">
        <f t="shared" ref="AT52" si="41">+AT51-AT45</f>
        <v>#REF!</v>
      </c>
      <c r="AU52" s="9"/>
      <c r="AW52" s="63"/>
    </row>
    <row r="53" spans="3:49" ht="20.100000000000001" customHeight="1" x14ac:dyDescent="0.25">
      <c r="V53" s="60" t="s">
        <v>109</v>
      </c>
      <c r="W53" s="1" t="s">
        <v>197</v>
      </c>
      <c r="X53" s="3"/>
      <c r="Y53" s="3"/>
      <c r="Z53" s="3"/>
      <c r="AA53" s="3"/>
      <c r="AB53" s="3"/>
      <c r="AC53" s="3"/>
      <c r="AD53" s="3"/>
      <c r="AE53" s="3"/>
      <c r="AF53" s="3"/>
      <c r="AG53" s="3"/>
      <c r="AH53" s="3"/>
      <c r="AI53" s="3"/>
      <c r="AJ53" s="3"/>
      <c r="AK53" s="3"/>
      <c r="AL53" s="3"/>
      <c r="AM53" s="3"/>
      <c r="AN53" s="3"/>
      <c r="AO53" s="3"/>
      <c r="AP53" s="3"/>
      <c r="AQ53" s="3"/>
      <c r="AR53" s="3"/>
      <c r="AS53" s="3"/>
      <c r="AT53" s="3"/>
      <c r="AU53" s="9"/>
      <c r="AW53" s="63"/>
    </row>
    <row r="54" spans="3:49" ht="20.100000000000001" customHeight="1" x14ac:dyDescent="0.25">
      <c r="V54" s="31">
        <v>1</v>
      </c>
      <c r="W54" s="3" t="s">
        <v>107</v>
      </c>
      <c r="X54" s="3" t="e">
        <f>NPV(0.1,X51:AS51)</f>
        <v>#REF!</v>
      </c>
      <c r="Y54" s="3"/>
      <c r="Z54" s="3"/>
      <c r="AA54" s="3"/>
      <c r="AB54" s="3"/>
      <c r="AC54" s="3"/>
      <c r="AD54" s="3"/>
      <c r="AE54" s="3"/>
      <c r="AF54" s="3"/>
      <c r="AG54" s="3"/>
      <c r="AH54" s="3"/>
      <c r="AI54" s="3"/>
      <c r="AJ54" s="3"/>
      <c r="AK54" s="3"/>
      <c r="AL54" s="3"/>
      <c r="AM54" s="3"/>
      <c r="AN54" s="3"/>
      <c r="AO54" s="3"/>
      <c r="AP54" s="3"/>
      <c r="AQ54" s="3"/>
      <c r="AS54" s="28">
        <f>+AT50</f>
        <v>0</v>
      </c>
      <c r="AT54" s="28">
        <f>+AU50</f>
        <v>0</v>
      </c>
      <c r="AU54" s="97"/>
      <c r="AW54" s="63"/>
    </row>
    <row r="55" spans="3:49" ht="20.100000000000001" customHeight="1" x14ac:dyDescent="0.25">
      <c r="V55" s="62">
        <v>2</v>
      </c>
      <c r="W55" s="3" t="s">
        <v>110</v>
      </c>
      <c r="X55" s="3" t="e">
        <f>NPV(0.1,X52:AS52)</f>
        <v>#REF!</v>
      </c>
      <c r="Y55" s="3"/>
      <c r="Z55" s="3"/>
      <c r="AA55" s="3"/>
      <c r="AB55" s="3"/>
      <c r="AC55" s="3"/>
      <c r="AD55" s="3"/>
      <c r="AE55" s="3"/>
      <c r="AF55" s="3"/>
      <c r="AG55" s="3"/>
      <c r="AH55" s="3"/>
      <c r="AI55" s="3"/>
      <c r="AJ55" s="3"/>
      <c r="AK55" s="3"/>
      <c r="AL55" s="3"/>
      <c r="AM55" s="3"/>
      <c r="AN55" s="3"/>
      <c r="AO55" s="3"/>
      <c r="AP55" s="3"/>
      <c r="AQ55" s="3"/>
      <c r="AS55" s="28">
        <f>+AU51</f>
        <v>0</v>
      </c>
      <c r="AT55" s="28">
        <f>+AV51</f>
        <v>0</v>
      </c>
      <c r="AU55" s="97"/>
      <c r="AW55" s="63"/>
    </row>
    <row r="56" spans="3:49" ht="20.100000000000001" customHeight="1" x14ac:dyDescent="0.25">
      <c r="V56" s="60" t="s">
        <v>111</v>
      </c>
      <c r="W56" s="6" t="s">
        <v>32</v>
      </c>
      <c r="X56" s="3"/>
      <c r="Y56" s="3"/>
      <c r="Z56" s="3"/>
      <c r="AA56" s="3"/>
      <c r="AB56" s="3"/>
      <c r="AC56" s="3"/>
      <c r="AD56" s="3"/>
      <c r="AE56" s="3"/>
      <c r="AF56" s="3"/>
      <c r="AG56" s="3"/>
      <c r="AH56" s="3"/>
      <c r="AI56" s="3"/>
      <c r="AJ56" s="3"/>
      <c r="AK56" s="3"/>
      <c r="AL56" s="3"/>
      <c r="AM56" s="3"/>
      <c r="AN56" s="3"/>
      <c r="AO56" s="3"/>
      <c r="AP56" s="3"/>
      <c r="AQ56" s="3"/>
      <c r="AS56" s="28"/>
      <c r="AT56" s="28"/>
      <c r="AU56" s="97"/>
      <c r="AW56" s="63"/>
    </row>
    <row r="57" spans="3:49" ht="20.100000000000001" customHeight="1" x14ac:dyDescent="0.25">
      <c r="V57" s="62">
        <v>1</v>
      </c>
      <c r="W57" s="3" t="s">
        <v>107</v>
      </c>
      <c r="X57" s="86" t="e">
        <f>IRR(X51:AS51)</f>
        <v>#VALUE!</v>
      </c>
      <c r="Y57" s="3"/>
      <c r="Z57" s="3"/>
      <c r="AA57" s="3"/>
      <c r="AB57" s="3"/>
      <c r="AC57" s="3"/>
      <c r="AD57" s="3"/>
      <c r="AE57" s="3"/>
      <c r="AF57" s="3"/>
      <c r="AG57" s="3"/>
      <c r="AH57" s="3"/>
      <c r="AI57" s="3"/>
      <c r="AJ57" s="3"/>
      <c r="AK57" s="3"/>
      <c r="AL57" s="3"/>
      <c r="AM57" s="3"/>
      <c r="AN57" s="3"/>
      <c r="AO57" s="3"/>
      <c r="AP57" s="3"/>
      <c r="AQ57" s="3"/>
      <c r="AS57" s="64">
        <f>+AV50</f>
        <v>0</v>
      </c>
      <c r="AT57" s="64">
        <f>+AW50</f>
        <v>0</v>
      </c>
      <c r="AU57" s="98"/>
    </row>
    <row r="58" spans="3:49" ht="20.100000000000001" customHeight="1" x14ac:dyDescent="0.25">
      <c r="C58" s="8"/>
      <c r="F58" s="65"/>
      <c r="V58" s="66">
        <v>2</v>
      </c>
      <c r="W58" s="12" t="s">
        <v>110</v>
      </c>
      <c r="X58" s="87" t="e">
        <f>IRR(X52:AS52)</f>
        <v>#VALUE!</v>
      </c>
      <c r="Y58" s="14"/>
      <c r="Z58" s="12"/>
      <c r="AA58" s="12"/>
      <c r="AB58" s="12"/>
      <c r="AC58" s="12"/>
      <c r="AD58" s="12"/>
      <c r="AE58" s="12"/>
      <c r="AF58" s="12"/>
      <c r="AG58" s="12"/>
      <c r="AH58" s="12"/>
      <c r="AI58" s="12"/>
      <c r="AJ58" s="12"/>
      <c r="AK58" s="12"/>
      <c r="AL58" s="12"/>
      <c r="AM58" s="12"/>
      <c r="AN58" s="12"/>
      <c r="AO58" s="12"/>
      <c r="AP58" s="12"/>
      <c r="AQ58" s="12"/>
      <c r="AR58" s="19"/>
      <c r="AS58" s="99">
        <f>+AW51</f>
        <v>0</v>
      </c>
      <c r="AT58" s="99">
        <f>+AX51</f>
        <v>0</v>
      </c>
      <c r="AU58" s="98"/>
    </row>
    <row r="59" spans="3:49" ht="20.100000000000001" customHeight="1" x14ac:dyDescent="0.25">
      <c r="C59" s="8"/>
      <c r="F59" s="65"/>
      <c r="V59" s="62"/>
      <c r="W59" s="3"/>
      <c r="X59" s="3"/>
      <c r="Y59" s="5"/>
      <c r="Z59" s="3"/>
      <c r="AA59" s="3"/>
      <c r="AB59" s="3"/>
      <c r="AC59" s="3"/>
      <c r="AD59" s="3"/>
      <c r="AE59" s="3"/>
      <c r="AF59" s="3"/>
      <c r="AG59" s="3"/>
      <c r="AH59" s="3"/>
      <c r="AI59" s="3"/>
      <c r="AJ59" s="3"/>
      <c r="AK59" s="3"/>
      <c r="AL59" s="3"/>
      <c r="AM59" s="3"/>
      <c r="AN59" s="3"/>
      <c r="AO59" s="3"/>
      <c r="AP59" s="3"/>
      <c r="AQ59" s="3"/>
      <c r="AR59" s="3"/>
      <c r="AS59" s="67"/>
      <c r="AT59" s="9"/>
      <c r="AU59" s="9"/>
    </row>
    <row r="60" spans="3:49" ht="18" x14ac:dyDescent="0.25">
      <c r="V60" s="68"/>
      <c r="W60" s="69"/>
      <c r="X60" s="70"/>
      <c r="Y60" s="4"/>
      <c r="Z60" s="3"/>
      <c r="AA60" s="3"/>
      <c r="AB60" s="3"/>
      <c r="AC60" s="3"/>
      <c r="AD60" s="3"/>
      <c r="AE60" s="3"/>
      <c r="AF60" s="3"/>
      <c r="AG60" s="3"/>
      <c r="AH60" s="3"/>
      <c r="AI60" s="3"/>
      <c r="AJ60" s="3"/>
      <c r="AK60" s="3"/>
      <c r="AL60" s="3"/>
      <c r="AM60" s="3"/>
      <c r="AN60" s="3"/>
      <c r="AO60" s="3"/>
      <c r="AP60" s="3"/>
      <c r="AQ60" s="3"/>
      <c r="AR60" s="3"/>
      <c r="AS60" s="3"/>
    </row>
    <row r="61" spans="3:49" ht="20.25" x14ac:dyDescent="0.3">
      <c r="V61" s="68"/>
      <c r="W61" s="114" t="s">
        <v>31</v>
      </c>
      <c r="X61" s="5" t="e">
        <f>NPV(0.1,X47:AT48)/NPV(0.1,X44:AT45)</f>
        <v>#REF!</v>
      </c>
      <c r="Y61" s="4"/>
      <c r="Z61" s="3"/>
      <c r="AA61" s="3"/>
      <c r="AB61" s="3"/>
      <c r="AC61" s="3"/>
      <c r="AD61" s="3"/>
      <c r="AE61" s="3"/>
      <c r="AF61" s="3"/>
      <c r="AG61" s="3"/>
      <c r="AH61" s="3"/>
      <c r="AI61" s="3"/>
      <c r="AJ61" s="3"/>
      <c r="AK61" s="3"/>
      <c r="AL61" s="3"/>
      <c r="AM61" s="3"/>
      <c r="AN61" s="3"/>
      <c r="AO61" s="3"/>
      <c r="AP61" s="3"/>
      <c r="AQ61" s="3"/>
      <c r="AR61" s="3"/>
      <c r="AS61" s="3"/>
    </row>
    <row r="62" spans="3:49" ht="18" x14ac:dyDescent="0.25">
      <c r="V62" s="68"/>
      <c r="W62" s="69"/>
      <c r="X62" s="70"/>
      <c r="Y62" s="4"/>
      <c r="Z62" s="3"/>
      <c r="AA62" s="3"/>
      <c r="AB62" s="3"/>
      <c r="AC62" s="3"/>
      <c r="AD62" s="3"/>
      <c r="AE62" s="3"/>
      <c r="AF62" s="3"/>
      <c r="AG62" s="3"/>
      <c r="AH62" s="3"/>
      <c r="AI62" s="3"/>
      <c r="AJ62" s="3"/>
      <c r="AK62" s="3"/>
      <c r="AL62" s="3"/>
      <c r="AM62" s="3"/>
      <c r="AN62" s="3"/>
      <c r="AO62" s="3"/>
      <c r="AP62" s="3"/>
      <c r="AQ62" s="3"/>
      <c r="AR62" s="3"/>
      <c r="AS62" s="3"/>
    </row>
    <row r="63" spans="3:49" ht="18" x14ac:dyDescent="0.25">
      <c r="V63" s="68"/>
      <c r="W63" s="115" t="s">
        <v>213</v>
      </c>
      <c r="X63" s="115"/>
      <c r="Y63" s="3"/>
      <c r="Z63" s="3"/>
      <c r="AA63" s="3"/>
      <c r="AB63" s="3"/>
      <c r="AG63" s="3"/>
      <c r="AH63" s="3"/>
      <c r="AI63" s="3"/>
      <c r="AJ63" s="3"/>
      <c r="AK63" s="3"/>
      <c r="AL63" s="3"/>
      <c r="AM63" s="3"/>
      <c r="AN63" s="3"/>
      <c r="AO63" s="3"/>
      <c r="AP63" s="3"/>
      <c r="AQ63" s="3"/>
      <c r="AR63" s="3"/>
      <c r="AS63" s="3"/>
    </row>
    <row r="64" spans="3:49" ht="18" x14ac:dyDescent="0.25">
      <c r="V64" s="68"/>
      <c r="W64" s="116" t="s">
        <v>214</v>
      </c>
      <c r="X64" s="117" t="s">
        <v>215</v>
      </c>
      <c r="Y64" s="30" t="s">
        <v>216</v>
      </c>
      <c r="Z64" s="30" t="s">
        <v>217</v>
      </c>
      <c r="AA64" s="30" t="s">
        <v>218</v>
      </c>
      <c r="AB64" s="30" t="s">
        <v>219</v>
      </c>
      <c r="AC64" s="30" t="s">
        <v>220</v>
      </c>
      <c r="AD64" s="30" t="s">
        <v>221</v>
      </c>
      <c r="AE64" s="30" t="s">
        <v>222</v>
      </c>
      <c r="AF64" s="30" t="s">
        <v>221</v>
      </c>
      <c r="AG64" s="30" t="s">
        <v>222</v>
      </c>
      <c r="AH64" s="3"/>
      <c r="AI64" s="3"/>
      <c r="AJ64" s="3"/>
      <c r="AK64" s="3"/>
      <c r="AL64" s="3"/>
      <c r="AM64" s="3"/>
      <c r="AN64" s="3"/>
      <c r="AO64" s="3"/>
      <c r="AP64" s="3"/>
      <c r="AQ64" s="3"/>
      <c r="AR64" s="3"/>
      <c r="AS64" s="3"/>
    </row>
    <row r="65" spans="22:45" ht="18" x14ac:dyDescent="0.25">
      <c r="V65" s="68"/>
      <c r="W65" s="82" t="s">
        <v>223</v>
      </c>
      <c r="X65" s="3" t="e">
        <f>D17</f>
        <v>#REF!</v>
      </c>
      <c r="Y65" t="e">
        <f>X70</f>
        <v>#REF!</v>
      </c>
      <c r="Z65" t="e">
        <f>Y70</f>
        <v>#REF!</v>
      </c>
      <c r="AA65" t="e">
        <f t="shared" ref="AA65:AH65" si="42">Z70</f>
        <v>#REF!</v>
      </c>
      <c r="AB65" t="e">
        <f t="shared" si="42"/>
        <v>#REF!</v>
      </c>
      <c r="AC65" t="e">
        <f t="shared" si="42"/>
        <v>#REF!</v>
      </c>
      <c r="AD65" t="e">
        <f t="shared" si="42"/>
        <v>#REF!</v>
      </c>
      <c r="AE65" t="e">
        <f t="shared" si="42"/>
        <v>#REF!</v>
      </c>
      <c r="AF65" t="e">
        <f t="shared" si="42"/>
        <v>#REF!</v>
      </c>
      <c r="AG65" t="e">
        <f t="shared" si="42"/>
        <v>#REF!</v>
      </c>
      <c r="AH65" t="e">
        <f t="shared" si="42"/>
        <v>#REF!</v>
      </c>
      <c r="AI65" s="3"/>
      <c r="AJ65" s="3"/>
      <c r="AK65" s="3"/>
      <c r="AL65" s="3"/>
      <c r="AM65" s="3"/>
      <c r="AN65" s="3"/>
      <c r="AO65" s="3"/>
      <c r="AP65" s="3"/>
      <c r="AQ65" s="3"/>
      <c r="AR65" s="3"/>
      <c r="AS65" s="3"/>
    </row>
    <row r="66" spans="22:45" ht="18" x14ac:dyDescent="0.25">
      <c r="V66" s="68"/>
      <c r="W66" s="82" t="s">
        <v>224</v>
      </c>
      <c r="X66" s="3" t="e">
        <f t="shared" ref="X66:Z67" si="43">X7</f>
        <v>#REF!</v>
      </c>
      <c r="Y66" s="3" t="e">
        <f t="shared" si="43"/>
        <v>#REF!</v>
      </c>
      <c r="Z66" s="3" t="e">
        <f t="shared" si="43"/>
        <v>#REF!</v>
      </c>
      <c r="AA66" s="3" t="e">
        <f t="shared" ref="AA66:AF66" si="44">AA7</f>
        <v>#REF!</v>
      </c>
      <c r="AB66" s="3" t="e">
        <f t="shared" si="44"/>
        <v>#REF!</v>
      </c>
      <c r="AC66" s="3" t="e">
        <f t="shared" si="44"/>
        <v>#REF!</v>
      </c>
      <c r="AD66" s="3" t="e">
        <f t="shared" si="44"/>
        <v>#REF!</v>
      </c>
      <c r="AE66" s="3" t="e">
        <f t="shared" si="44"/>
        <v>#REF!</v>
      </c>
      <c r="AF66" s="3" t="e">
        <f t="shared" si="44"/>
        <v>#REF!</v>
      </c>
      <c r="AG66" s="3" t="e">
        <f t="shared" ref="AG66:AH66" si="45">AG7</f>
        <v>#REF!</v>
      </c>
      <c r="AH66" s="3" t="e">
        <f t="shared" si="45"/>
        <v>#REF!</v>
      </c>
      <c r="AI66" s="3"/>
      <c r="AJ66" s="3"/>
      <c r="AK66" s="3"/>
      <c r="AL66" s="3"/>
      <c r="AM66" s="3"/>
      <c r="AN66" s="3"/>
      <c r="AO66" s="3"/>
      <c r="AP66" s="3"/>
      <c r="AQ66" s="3"/>
      <c r="AR66" s="3"/>
      <c r="AS66" s="3"/>
    </row>
    <row r="67" spans="22:45" ht="18" x14ac:dyDescent="0.25">
      <c r="V67" s="68"/>
      <c r="W67" s="118" t="s">
        <v>225</v>
      </c>
      <c r="X67" s="3" t="e">
        <f t="shared" si="43"/>
        <v>#REF!</v>
      </c>
      <c r="Y67" s="3" t="e">
        <f t="shared" si="43"/>
        <v>#REF!</v>
      </c>
      <c r="Z67" s="3" t="e">
        <f t="shared" si="43"/>
        <v>#REF!</v>
      </c>
      <c r="AA67" s="3" t="e">
        <f t="shared" ref="AA67:AF67" si="46">AA8</f>
        <v>#REF!</v>
      </c>
      <c r="AB67" s="3" t="e">
        <f t="shared" si="46"/>
        <v>#REF!</v>
      </c>
      <c r="AC67" s="3" t="e">
        <f t="shared" si="46"/>
        <v>#REF!</v>
      </c>
      <c r="AD67" s="3" t="e">
        <f t="shared" si="46"/>
        <v>#REF!</v>
      </c>
      <c r="AE67" s="3" t="e">
        <f t="shared" si="46"/>
        <v>#REF!</v>
      </c>
      <c r="AF67" s="3" t="e">
        <f t="shared" si="46"/>
        <v>#REF!</v>
      </c>
      <c r="AG67" s="3" t="e">
        <f t="shared" ref="AG67:AH67" si="47">AG8</f>
        <v>#REF!</v>
      </c>
      <c r="AH67" s="3" t="e">
        <f t="shared" si="47"/>
        <v>#REF!</v>
      </c>
      <c r="AI67" s="3"/>
      <c r="AJ67" s="3"/>
      <c r="AK67" s="3"/>
      <c r="AL67" s="3"/>
      <c r="AM67" s="3"/>
      <c r="AN67" s="3"/>
      <c r="AO67" s="3"/>
      <c r="AP67" s="3"/>
      <c r="AQ67" s="3"/>
      <c r="AR67" s="3"/>
      <c r="AS67" s="3"/>
    </row>
    <row r="68" spans="22:45" x14ac:dyDescent="0.2">
      <c r="W68" s="118" t="s">
        <v>226</v>
      </c>
      <c r="X68" s="37" t="e">
        <f>X11</f>
        <v>#REF!</v>
      </c>
      <c r="Y68" s="37" t="e">
        <f>Y11</f>
        <v>#REF!</v>
      </c>
      <c r="Z68" s="37" t="e">
        <f>Z11</f>
        <v>#REF!</v>
      </c>
      <c r="AA68" s="37" t="e">
        <f t="shared" ref="AA68:AF68" si="48">AA11</f>
        <v>#REF!</v>
      </c>
      <c r="AB68" s="37" t="e">
        <f t="shared" si="48"/>
        <v>#REF!</v>
      </c>
      <c r="AC68" s="37" t="e">
        <f t="shared" si="48"/>
        <v>#REF!</v>
      </c>
      <c r="AD68" s="37" t="e">
        <f t="shared" si="48"/>
        <v>#REF!</v>
      </c>
      <c r="AE68" s="37" t="e">
        <f t="shared" si="48"/>
        <v>#REF!</v>
      </c>
      <c r="AF68" s="37" t="e">
        <f t="shared" si="48"/>
        <v>#REF!</v>
      </c>
      <c r="AG68" s="37" t="e">
        <f t="shared" ref="AG68:AH68" si="49">AG11</f>
        <v>#REF!</v>
      </c>
      <c r="AH68" s="37" t="e">
        <f t="shared" si="49"/>
        <v>#REF!</v>
      </c>
      <c r="AI68" s="3"/>
      <c r="AJ68" s="3"/>
      <c r="AK68" s="3"/>
      <c r="AL68" s="3"/>
      <c r="AM68" s="3"/>
      <c r="AN68" s="3"/>
      <c r="AO68" s="3"/>
      <c r="AP68" s="3"/>
      <c r="AQ68" s="3"/>
      <c r="AR68" s="3"/>
      <c r="AS68" s="3"/>
    </row>
    <row r="69" spans="22:45" x14ac:dyDescent="0.2">
      <c r="W69" s="118" t="s">
        <v>227</v>
      </c>
      <c r="X69" s="37" t="e">
        <f>+X66-X67-X68</f>
        <v>#REF!</v>
      </c>
      <c r="Y69" s="37" t="e">
        <f>+Y66-Y67-Y68</f>
        <v>#REF!</v>
      </c>
      <c r="Z69" s="37" t="e">
        <f>+Z66-Z67-Z68</f>
        <v>#REF!</v>
      </c>
      <c r="AA69" s="37" t="e">
        <f t="shared" ref="AA69:AF69" si="50">+AA66-AA67-AA68</f>
        <v>#REF!</v>
      </c>
      <c r="AB69" s="37" t="e">
        <f t="shared" si="50"/>
        <v>#REF!</v>
      </c>
      <c r="AC69" s="37" t="e">
        <f t="shared" si="50"/>
        <v>#REF!</v>
      </c>
      <c r="AD69" s="37" t="e">
        <f t="shared" si="50"/>
        <v>#REF!</v>
      </c>
      <c r="AE69" s="37" t="e">
        <f t="shared" si="50"/>
        <v>#REF!</v>
      </c>
      <c r="AF69" s="37" t="e">
        <f t="shared" si="50"/>
        <v>#REF!</v>
      </c>
      <c r="AG69" s="37" t="e">
        <f t="shared" ref="AG69:AH69" si="51">+AG66-AG67-AG68</f>
        <v>#REF!</v>
      </c>
      <c r="AH69" s="37" t="e">
        <f t="shared" si="51"/>
        <v>#REF!</v>
      </c>
      <c r="AI69" s="3"/>
      <c r="AJ69" s="3"/>
      <c r="AK69" s="3"/>
      <c r="AL69" s="3"/>
      <c r="AM69" s="3"/>
      <c r="AN69" s="3"/>
      <c r="AO69" s="3"/>
      <c r="AP69" s="3"/>
      <c r="AQ69" s="3"/>
      <c r="AR69" s="3"/>
      <c r="AS69" s="3"/>
    </row>
    <row r="70" spans="22:45" x14ac:dyDescent="0.2">
      <c r="W70" s="118" t="s">
        <v>228</v>
      </c>
      <c r="X70" s="37" t="e">
        <f>+X65-X69</f>
        <v>#REF!</v>
      </c>
      <c r="Y70" s="37" t="e">
        <f>+Y65-Y69</f>
        <v>#REF!</v>
      </c>
      <c r="Z70" s="37" t="e">
        <f>+Z65-Z69</f>
        <v>#REF!</v>
      </c>
      <c r="AA70" s="37" t="e">
        <f t="shared" ref="AA70:AF70" si="52">+AA65-AA69</f>
        <v>#REF!</v>
      </c>
      <c r="AB70" s="37" t="e">
        <f t="shared" si="52"/>
        <v>#REF!</v>
      </c>
      <c r="AC70" s="37" t="e">
        <f t="shared" si="52"/>
        <v>#REF!</v>
      </c>
      <c r="AD70" s="37" t="e">
        <f t="shared" si="52"/>
        <v>#REF!</v>
      </c>
      <c r="AE70" s="37" t="e">
        <f t="shared" si="52"/>
        <v>#REF!</v>
      </c>
      <c r="AF70" s="37" t="e">
        <f t="shared" si="52"/>
        <v>#REF!</v>
      </c>
      <c r="AG70" s="37" t="e">
        <f t="shared" ref="AG70:AH70" si="53">+AG65-AG69</f>
        <v>#REF!</v>
      </c>
      <c r="AH70" s="37" t="e">
        <f t="shared" si="53"/>
        <v>#REF!</v>
      </c>
      <c r="AI70" s="3"/>
      <c r="AJ70" s="3"/>
      <c r="AK70" s="3"/>
      <c r="AL70" s="3"/>
      <c r="AM70" s="3"/>
      <c r="AN70" s="3"/>
      <c r="AO70" s="3"/>
      <c r="AP70" s="3"/>
      <c r="AQ70" s="3"/>
      <c r="AR70" s="3"/>
      <c r="AS70" s="3"/>
    </row>
    <row r="71" spans="22:45" x14ac:dyDescent="0.2">
      <c r="W71" s="118"/>
      <c r="X71" s="37" t="e">
        <f>IF(X65/X69&gt;1,1,X65/X69)</f>
        <v>#REF!</v>
      </c>
      <c r="Y71" s="37" t="e">
        <f>IF(Y65/Y69&gt;1,1,Y65/Y69)*0+8/12</f>
        <v>#REF!</v>
      </c>
      <c r="Z71" s="37" t="e">
        <f>IF(Z65/Z69&gt;1,1,Z65/Z69)</f>
        <v>#REF!</v>
      </c>
      <c r="AA71" s="37" t="e">
        <f t="shared" ref="AA71:AF71" si="54">IF(AA65/AA69&gt;1,1,AA65/AA69)</f>
        <v>#REF!</v>
      </c>
      <c r="AB71" s="37" t="e">
        <f t="shared" si="54"/>
        <v>#REF!</v>
      </c>
      <c r="AC71" s="37" t="e">
        <f t="shared" si="54"/>
        <v>#REF!</v>
      </c>
      <c r="AD71" s="37" t="e">
        <f t="shared" si="54"/>
        <v>#REF!</v>
      </c>
      <c r="AE71" s="37" t="e">
        <f t="shared" si="54"/>
        <v>#REF!</v>
      </c>
      <c r="AF71" s="37" t="e">
        <f t="shared" si="54"/>
        <v>#REF!</v>
      </c>
      <c r="AG71" s="37" t="e">
        <f t="shared" ref="AG71:AH71" si="55">IF(AG65/AG69&gt;1,1,AG65/AG69)</f>
        <v>#REF!</v>
      </c>
      <c r="AH71" s="37" t="e">
        <f t="shared" si="55"/>
        <v>#REF!</v>
      </c>
      <c r="AI71" s="3"/>
      <c r="AJ71" s="3"/>
      <c r="AK71" s="3"/>
      <c r="AL71" s="3"/>
      <c r="AM71" s="3"/>
      <c r="AN71" s="3"/>
      <c r="AO71" s="3"/>
      <c r="AP71" s="3"/>
      <c r="AQ71" s="3"/>
      <c r="AR71" s="3"/>
      <c r="AS71" s="3"/>
    </row>
    <row r="72" spans="22:45" x14ac:dyDescent="0.2">
      <c r="W72" s="119" t="s">
        <v>229</v>
      </c>
      <c r="X72" s="182" t="e">
        <f>SUM(Y71:AG71)</f>
        <v>#REF!</v>
      </c>
      <c r="Y72" s="43"/>
      <c r="Z72" s="120"/>
      <c r="AA72" s="12"/>
      <c r="AB72" s="19"/>
      <c r="AC72" s="19"/>
      <c r="AD72" s="12"/>
      <c r="AE72" s="12"/>
      <c r="AG72" s="3"/>
      <c r="AH72" s="3"/>
      <c r="AI72" s="3"/>
      <c r="AJ72" s="3"/>
      <c r="AK72" s="3"/>
      <c r="AL72" s="3"/>
      <c r="AM72" s="3"/>
      <c r="AN72" s="3"/>
      <c r="AO72" s="3"/>
      <c r="AP72" s="3"/>
      <c r="AQ72" s="3"/>
      <c r="AR72" s="3"/>
      <c r="AS72" s="3"/>
    </row>
    <row r="73" spans="22:45" x14ac:dyDescent="0.2">
      <c r="AE73" s="3"/>
      <c r="AF73" s="3"/>
      <c r="AG73" s="3"/>
      <c r="AH73" s="3"/>
      <c r="AI73" s="3"/>
      <c r="AJ73" s="3"/>
      <c r="AK73" s="3"/>
      <c r="AL73" s="3"/>
      <c r="AM73" s="3"/>
      <c r="AN73" s="3"/>
      <c r="AO73" s="3"/>
      <c r="AP73" s="3"/>
      <c r="AQ73" s="3"/>
      <c r="AR73" s="3"/>
      <c r="AS73" s="3"/>
    </row>
    <row r="74" spans="22:45" x14ac:dyDescent="0.2">
      <c r="W74" s="37" t="s">
        <v>230</v>
      </c>
      <c r="X74" s="37"/>
      <c r="Y74" s="3"/>
      <c r="Z74" s="3" t="e">
        <f t="shared" ref="Z74:AJ74" si="56">Z7/(Z30+Z32)</f>
        <v>#REF!</v>
      </c>
      <c r="AA74" s="3" t="e">
        <f t="shared" si="56"/>
        <v>#REF!</v>
      </c>
      <c r="AB74" s="3" t="e">
        <f t="shared" si="56"/>
        <v>#REF!</v>
      </c>
      <c r="AC74" s="3" t="e">
        <f t="shared" si="56"/>
        <v>#REF!</v>
      </c>
      <c r="AD74" s="3" t="e">
        <f t="shared" si="56"/>
        <v>#REF!</v>
      </c>
      <c r="AE74" s="3" t="e">
        <f t="shared" si="56"/>
        <v>#REF!</v>
      </c>
      <c r="AF74" s="3" t="e">
        <f t="shared" si="56"/>
        <v>#REF!</v>
      </c>
      <c r="AG74" s="3" t="e">
        <f t="shared" si="56"/>
        <v>#REF!</v>
      </c>
      <c r="AH74" s="3" t="e">
        <f t="shared" si="56"/>
        <v>#REF!</v>
      </c>
      <c r="AI74" s="3" t="e">
        <f t="shared" si="56"/>
        <v>#REF!</v>
      </c>
      <c r="AJ74" s="3" t="e">
        <f t="shared" si="56"/>
        <v>#REF!</v>
      </c>
      <c r="AK74" s="121"/>
      <c r="AL74" s="121"/>
      <c r="AM74" s="121"/>
      <c r="AN74" s="3"/>
      <c r="AO74" s="3"/>
      <c r="AP74" s="3"/>
      <c r="AQ74" s="3"/>
      <c r="AR74" s="3"/>
      <c r="AS74" s="3"/>
    </row>
    <row r="75" spans="22:45" x14ac:dyDescent="0.2">
      <c r="W75" s="37" t="s">
        <v>231</v>
      </c>
      <c r="X75" s="37"/>
      <c r="Y75" s="37"/>
      <c r="Z75" s="37"/>
      <c r="AA75" s="37"/>
      <c r="AB75" s="37"/>
      <c r="AC75" s="37"/>
      <c r="AD75" s="37"/>
      <c r="AE75" s="37"/>
      <c r="AG75" s="3"/>
      <c r="AH75" s="3"/>
      <c r="AI75" s="3"/>
      <c r="AJ75" s="3"/>
      <c r="AK75" s="3"/>
      <c r="AL75" s="3"/>
      <c r="AM75" s="3"/>
      <c r="AN75" s="3"/>
      <c r="AO75" s="3"/>
      <c r="AP75" s="3"/>
      <c r="AQ75" s="3"/>
      <c r="AR75" s="3"/>
      <c r="AS75" s="3"/>
    </row>
    <row r="76" spans="22:45" x14ac:dyDescent="0.2">
      <c r="W76" s="37" t="s">
        <v>232</v>
      </c>
      <c r="X76" s="37"/>
      <c r="AA76" s="37"/>
      <c r="AB76" s="37"/>
      <c r="AC76" s="37"/>
      <c r="AD76" s="37"/>
      <c r="AE76" s="37"/>
      <c r="AG76" s="3"/>
      <c r="AH76" s="3"/>
      <c r="AI76" s="3"/>
      <c r="AJ76" s="3"/>
      <c r="AK76" s="3"/>
      <c r="AL76" s="3"/>
      <c r="AM76" s="3"/>
      <c r="AN76" s="3"/>
      <c r="AO76" s="3"/>
      <c r="AP76" s="3"/>
      <c r="AQ76" s="3"/>
      <c r="AR76" s="3"/>
      <c r="AS76" s="3"/>
    </row>
    <row r="77" spans="22:45" x14ac:dyDescent="0.2">
      <c r="W77" s="37" t="s">
        <v>233</v>
      </c>
      <c r="X77" s="37"/>
      <c r="Y77" s="3" t="e">
        <f>SUM(Y7:AG7)/SUM(Y30:AG32)</f>
        <v>#REF!</v>
      </c>
      <c r="Z77" s="3"/>
      <c r="AA77" s="3"/>
      <c r="AB77" s="3"/>
      <c r="AC77" s="3"/>
      <c r="AD77" s="3"/>
      <c r="AE77" s="3"/>
      <c r="AG77" s="3"/>
      <c r="AH77" s="3"/>
      <c r="AI77" s="3"/>
      <c r="AJ77" s="3"/>
      <c r="AK77" s="3"/>
      <c r="AL77" s="3"/>
      <c r="AM77" s="3"/>
      <c r="AN77" s="3"/>
      <c r="AO77" s="3"/>
      <c r="AP77" s="3"/>
      <c r="AQ77" s="3"/>
      <c r="AR77" s="3"/>
      <c r="AS77" s="3"/>
    </row>
    <row r="78" spans="22:45" x14ac:dyDescent="0.2">
      <c r="W78" s="3"/>
      <c r="X78" s="3"/>
      <c r="Y78" s="3"/>
      <c r="Z78" s="3"/>
      <c r="AA78" s="3"/>
      <c r="AB78" s="3"/>
      <c r="AC78" s="3"/>
      <c r="AD78" s="3"/>
      <c r="AE78" s="3"/>
      <c r="AF78" s="3"/>
      <c r="AG78" s="3"/>
      <c r="AH78" s="3"/>
      <c r="AI78" s="3"/>
      <c r="AJ78" s="3"/>
      <c r="AK78" s="3"/>
      <c r="AL78" s="3"/>
      <c r="AM78" s="3"/>
      <c r="AN78" s="3"/>
      <c r="AO78" s="3"/>
      <c r="AP78" s="3"/>
      <c r="AQ78" s="3"/>
      <c r="AR78" s="3"/>
      <c r="AS78" s="3"/>
    </row>
    <row r="79" spans="22:45" x14ac:dyDescent="0.2">
      <c r="W79" s="3"/>
      <c r="X79" s="3"/>
      <c r="Y79" s="3"/>
      <c r="Z79" s="3"/>
      <c r="AA79" s="3"/>
      <c r="AB79" s="3"/>
      <c r="AC79" s="3"/>
      <c r="AD79" s="3"/>
      <c r="AE79" s="3"/>
      <c r="AF79" s="3"/>
      <c r="AG79" s="3"/>
      <c r="AH79" s="3"/>
      <c r="AI79" s="3"/>
      <c r="AJ79" s="3"/>
      <c r="AK79" s="3"/>
      <c r="AL79" s="3"/>
      <c r="AM79" s="3"/>
      <c r="AN79" s="3"/>
      <c r="AO79" s="3"/>
      <c r="AP79" s="3"/>
      <c r="AQ79" s="3"/>
      <c r="AR79" s="3"/>
      <c r="AS79" s="3"/>
    </row>
    <row r="80" spans="22:45" x14ac:dyDescent="0.2">
      <c r="W80" s="3"/>
      <c r="X80" s="3"/>
      <c r="Y80" s="3"/>
      <c r="Z80" s="3"/>
      <c r="AA80" s="3"/>
      <c r="AB80" s="3"/>
      <c r="AC80" s="3"/>
      <c r="AD80" s="3"/>
      <c r="AE80" s="3"/>
      <c r="AF80" s="3"/>
      <c r="AG80" s="3"/>
      <c r="AH80" s="3"/>
      <c r="AI80" s="3"/>
      <c r="AJ80" s="3"/>
      <c r="AK80" s="3"/>
      <c r="AL80" s="3"/>
      <c r="AM80" s="3"/>
      <c r="AN80" s="3"/>
      <c r="AO80" s="3"/>
      <c r="AP80" s="3"/>
      <c r="AQ80" s="3"/>
      <c r="AR80" s="3"/>
      <c r="AS80" s="3"/>
    </row>
    <row r="81" spans="23:45" x14ac:dyDescent="0.2">
      <c r="W81" s="3"/>
      <c r="X81" s="3"/>
      <c r="Y81" s="3"/>
      <c r="Z81" s="3"/>
      <c r="AA81" s="3"/>
      <c r="AB81" s="3"/>
      <c r="AC81" s="3"/>
      <c r="AD81" s="3"/>
      <c r="AE81" s="3"/>
      <c r="AF81" s="3"/>
      <c r="AG81" s="3"/>
      <c r="AH81" s="3"/>
      <c r="AI81" s="3"/>
      <c r="AJ81" s="3"/>
      <c r="AK81" s="3"/>
      <c r="AL81" s="3"/>
      <c r="AM81" s="3"/>
      <c r="AN81" s="3"/>
      <c r="AO81" s="3"/>
      <c r="AP81" s="3"/>
      <c r="AQ81" s="3"/>
      <c r="AR81" s="3"/>
      <c r="AS81" s="3"/>
    </row>
    <row r="82" spans="23:45" x14ac:dyDescent="0.2">
      <c r="W82" s="3"/>
      <c r="X82" s="3"/>
      <c r="Y82" s="3"/>
      <c r="Z82" s="3"/>
      <c r="AA82" s="3"/>
      <c r="AB82" s="3"/>
      <c r="AC82" s="3"/>
      <c r="AD82" s="3"/>
      <c r="AE82" s="3"/>
      <c r="AF82" s="3"/>
      <c r="AG82" s="3"/>
      <c r="AH82" s="3"/>
      <c r="AI82" s="3"/>
      <c r="AJ82" s="3"/>
      <c r="AK82" s="3"/>
      <c r="AL82" s="3"/>
      <c r="AM82" s="3"/>
      <c r="AN82" s="3"/>
      <c r="AO82" s="3"/>
      <c r="AP82" s="3"/>
      <c r="AQ82" s="3"/>
      <c r="AR82" s="3"/>
      <c r="AS82" s="3"/>
    </row>
    <row r="83" spans="23:45" x14ac:dyDescent="0.2">
      <c r="W83" s="3"/>
      <c r="X83" s="3"/>
      <c r="Y83" s="3"/>
      <c r="Z83" s="3"/>
      <c r="AA83" s="3"/>
      <c r="AB83" s="3"/>
      <c r="AC83" s="3"/>
      <c r="AD83" s="3"/>
      <c r="AE83" s="3"/>
      <c r="AF83" s="3"/>
      <c r="AG83" s="3"/>
      <c r="AH83" s="3"/>
      <c r="AI83" s="3"/>
      <c r="AJ83" s="3"/>
      <c r="AK83" s="3"/>
      <c r="AL83" s="3"/>
      <c r="AM83" s="3"/>
      <c r="AN83" s="3"/>
      <c r="AO83" s="3"/>
      <c r="AP83" s="3"/>
      <c r="AQ83" s="3"/>
      <c r="AR83" s="3"/>
      <c r="AS83" s="3"/>
    </row>
    <row r="84" spans="23:45" x14ac:dyDescent="0.2">
      <c r="W84" s="3"/>
      <c r="X84" s="3"/>
      <c r="Y84" s="3"/>
      <c r="Z84" s="3"/>
      <c r="AA84" s="3"/>
      <c r="AB84" s="3"/>
      <c r="AC84" s="3"/>
      <c r="AD84" s="3"/>
      <c r="AE84" s="3"/>
      <c r="AF84" s="3"/>
      <c r="AG84" s="3"/>
      <c r="AH84" s="3"/>
      <c r="AI84" s="3"/>
      <c r="AJ84" s="3"/>
      <c r="AK84" s="3"/>
      <c r="AL84" s="3"/>
      <c r="AM84" s="3"/>
      <c r="AN84" s="3"/>
      <c r="AO84" s="3"/>
      <c r="AP84" s="3"/>
      <c r="AQ84" s="3"/>
      <c r="AR84" s="3"/>
      <c r="AS84" s="3"/>
    </row>
    <row r="85" spans="23:45" x14ac:dyDescent="0.2">
      <c r="W85" s="3"/>
      <c r="X85" s="3"/>
      <c r="Y85" s="3"/>
      <c r="Z85" s="3"/>
      <c r="AA85" s="3"/>
      <c r="AB85" s="3"/>
      <c r="AC85" s="3"/>
      <c r="AD85" s="3"/>
      <c r="AE85" s="3"/>
      <c r="AF85" s="3"/>
      <c r="AG85" s="3"/>
      <c r="AH85" s="3"/>
      <c r="AI85" s="3"/>
      <c r="AJ85" s="3"/>
      <c r="AK85" s="3"/>
      <c r="AL85" s="3"/>
      <c r="AM85" s="3"/>
      <c r="AN85" s="3"/>
      <c r="AO85" s="3"/>
      <c r="AP85" s="3"/>
      <c r="AQ85" s="3"/>
      <c r="AR85" s="3"/>
      <c r="AS85" s="3"/>
    </row>
    <row r="86" spans="23:45" x14ac:dyDescent="0.2">
      <c r="W86" s="3"/>
      <c r="X86" s="3"/>
      <c r="Y86" s="3"/>
      <c r="Z86" s="3"/>
      <c r="AA86" s="3"/>
      <c r="AB86" s="3"/>
      <c r="AC86" s="3"/>
      <c r="AD86" s="3"/>
      <c r="AE86" s="3"/>
      <c r="AF86" s="3"/>
      <c r="AG86" s="3"/>
      <c r="AH86" s="3"/>
      <c r="AI86" s="3"/>
      <c r="AJ86" s="3"/>
      <c r="AK86" s="3"/>
      <c r="AL86" s="3"/>
      <c r="AM86" s="3"/>
      <c r="AN86" s="3"/>
      <c r="AO86" s="3"/>
      <c r="AP86" s="3"/>
      <c r="AQ86" s="3"/>
      <c r="AR86" s="3"/>
      <c r="AS86" s="3"/>
    </row>
  </sheetData>
  <mergeCells count="2">
    <mergeCell ref="H3:I3"/>
    <mergeCell ref="H15:I15"/>
  </mergeCells>
  <phoneticPr fontId="34" type="noConversion"/>
  <pageMargins left="1.06" right="0.75" top="1.01" bottom="0.66" header="0.5" footer="0.47"/>
  <pageSetup scale="13"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B7:E37"/>
  <sheetViews>
    <sheetView workbookViewId="0">
      <selection activeCell="E22" sqref="E22"/>
    </sheetView>
  </sheetViews>
  <sheetFormatPr defaultRowHeight="15" x14ac:dyDescent="0.2"/>
  <cols>
    <col min="3" max="3" width="28.6640625" customWidth="1"/>
    <col min="4" max="4" width="17.21875" customWidth="1"/>
    <col min="5" max="5" width="15" customWidth="1"/>
  </cols>
  <sheetData>
    <row r="7" spans="2:5" ht="18.75" x14ac:dyDescent="0.3">
      <c r="E7" s="102" t="s">
        <v>248</v>
      </c>
    </row>
    <row r="8" spans="2:5" ht="18.75" x14ac:dyDescent="0.3">
      <c r="D8" s="79"/>
    </row>
    <row r="9" spans="2:5" ht="15.75" x14ac:dyDescent="0.25">
      <c r="B9" s="1036" t="e">
        <f>#REF!</f>
        <v>#REF!</v>
      </c>
      <c r="C9" s="1036"/>
      <c r="D9" s="1036"/>
      <c r="E9" s="1036"/>
    </row>
    <row r="10" spans="2:5" ht="15.75" x14ac:dyDescent="0.25">
      <c r="B10" s="1036" t="e">
        <f>#REF!</f>
        <v>#REF!</v>
      </c>
      <c r="C10" s="1036"/>
      <c r="D10" s="1036"/>
      <c r="E10" s="1036"/>
    </row>
    <row r="11" spans="2:5" ht="15.75" x14ac:dyDescent="0.2">
      <c r="B11" s="1041" t="e">
        <f>#REF!</f>
        <v>#REF!</v>
      </c>
      <c r="C11" s="1041"/>
      <c r="D11" s="1041"/>
      <c r="E11" s="1041"/>
    </row>
    <row r="12" spans="2:5" ht="15.75" x14ac:dyDescent="0.25">
      <c r="B12" s="1038" t="s">
        <v>125</v>
      </c>
      <c r="C12" s="1038"/>
      <c r="D12" s="1038"/>
      <c r="E12" s="1038"/>
    </row>
    <row r="13" spans="2:5" ht="15.75" x14ac:dyDescent="0.25">
      <c r="B13" s="72"/>
      <c r="C13" s="72"/>
      <c r="D13" s="72"/>
      <c r="E13" s="72"/>
    </row>
    <row r="14" spans="2:5" x14ac:dyDescent="0.2">
      <c r="B14" s="88" t="s">
        <v>138</v>
      </c>
      <c r="C14" s="88" t="s">
        <v>122</v>
      </c>
      <c r="D14" s="88" t="s">
        <v>35</v>
      </c>
      <c r="E14" s="88" t="s">
        <v>139</v>
      </c>
    </row>
    <row r="15" spans="2:5" ht="15.75" x14ac:dyDescent="0.2">
      <c r="B15" s="413">
        <v>1</v>
      </c>
      <c r="C15" s="414" t="s">
        <v>235</v>
      </c>
      <c r="D15" s="415" t="s">
        <v>113</v>
      </c>
      <c r="E15" s="416" t="e">
        <f>#REF!</f>
        <v>#REF!</v>
      </c>
    </row>
    <row r="16" spans="2:5" ht="15.75" x14ac:dyDescent="0.2">
      <c r="B16" s="417"/>
      <c r="C16" s="418"/>
      <c r="D16" s="419"/>
      <c r="E16" s="420"/>
    </row>
    <row r="17" spans="2:5" ht="15.75" x14ac:dyDescent="0.2">
      <c r="B17" s="417">
        <v>2</v>
      </c>
      <c r="C17" s="421" t="s">
        <v>324</v>
      </c>
      <c r="D17" s="422" t="s">
        <v>113</v>
      </c>
      <c r="E17" s="420" t="e">
        <f>GM!F40</f>
        <v>#REF!</v>
      </c>
    </row>
    <row r="18" spans="2:5" ht="15.75" x14ac:dyDescent="0.2">
      <c r="B18" s="417"/>
      <c r="C18" s="423"/>
      <c r="D18" s="422"/>
      <c r="E18" s="420"/>
    </row>
    <row r="19" spans="2:5" ht="15.75" x14ac:dyDescent="0.2">
      <c r="B19" s="424">
        <v>3</v>
      </c>
      <c r="C19" s="425" t="s">
        <v>198</v>
      </c>
      <c r="D19" s="426" t="s">
        <v>114</v>
      </c>
      <c r="E19" s="420" t="e">
        <f>'cash flow'!X55</f>
        <v>#REF!</v>
      </c>
    </row>
    <row r="20" spans="2:5" ht="15.75" x14ac:dyDescent="0.2">
      <c r="B20" s="417"/>
      <c r="C20" s="427"/>
      <c r="D20" s="428"/>
      <c r="E20" s="423"/>
    </row>
    <row r="21" spans="2:5" ht="15.75" x14ac:dyDescent="0.2">
      <c r="B21" s="417">
        <v>4</v>
      </c>
      <c r="C21" s="425" t="s">
        <v>115</v>
      </c>
      <c r="D21" s="428" t="s">
        <v>33</v>
      </c>
      <c r="E21" s="429" t="e">
        <f>'cash flow'!X58</f>
        <v>#VALUE!</v>
      </c>
    </row>
    <row r="22" spans="2:5" ht="15.75" x14ac:dyDescent="0.2">
      <c r="B22" s="430"/>
      <c r="C22" s="431"/>
      <c r="D22" s="432"/>
      <c r="E22" s="433"/>
    </row>
    <row r="23" spans="2:5" ht="15.75" x14ac:dyDescent="0.2">
      <c r="B23" s="89"/>
      <c r="C23" s="1039"/>
      <c r="D23" s="1040"/>
      <c r="E23" s="1040"/>
    </row>
    <row r="26" spans="2:5" ht="15.75" x14ac:dyDescent="0.25">
      <c r="B26" s="74"/>
      <c r="C26" s="72"/>
      <c r="D26" s="71"/>
      <c r="E26" s="71"/>
    </row>
    <row r="27" spans="2:5" ht="15.75" x14ac:dyDescent="0.25">
      <c r="B27" s="71"/>
      <c r="C27" s="71"/>
      <c r="D27" s="71"/>
      <c r="E27" s="71"/>
    </row>
    <row r="28" spans="2:5" ht="15.75" x14ac:dyDescent="0.25">
      <c r="B28" s="1038" t="s">
        <v>116</v>
      </c>
      <c r="C28" s="1038"/>
      <c r="D28" s="1038"/>
      <c r="E28" s="1038"/>
    </row>
    <row r="29" spans="2:5" ht="15.75" x14ac:dyDescent="0.25">
      <c r="B29" s="73"/>
      <c r="C29" s="73"/>
      <c r="D29" s="73"/>
      <c r="E29" s="73"/>
    </row>
    <row r="30" spans="2:5" ht="15.75" x14ac:dyDescent="0.25">
      <c r="B30" s="71"/>
      <c r="C30" s="71"/>
      <c r="D30" s="71"/>
      <c r="E30" s="71"/>
    </row>
    <row r="31" spans="2:5" ht="15.75" x14ac:dyDescent="0.25">
      <c r="B31" s="75" t="s">
        <v>25</v>
      </c>
      <c r="C31" s="90" t="s">
        <v>117</v>
      </c>
      <c r="D31" s="91" t="s">
        <v>32</v>
      </c>
      <c r="E31" s="71" t="s">
        <v>147</v>
      </c>
    </row>
    <row r="32" spans="2:5" ht="15.75" x14ac:dyDescent="0.25">
      <c r="B32" s="75"/>
      <c r="C32" s="76"/>
      <c r="D32" s="90" t="s">
        <v>118</v>
      </c>
      <c r="E32" s="71"/>
    </row>
    <row r="33" spans="2:5" ht="22.5" customHeight="1" x14ac:dyDescent="0.25">
      <c r="B33" s="92">
        <v>1</v>
      </c>
      <c r="C33" s="94" t="s">
        <v>144</v>
      </c>
      <c r="D33" s="93" t="e">
        <f>$E$21</f>
        <v>#VALUE!</v>
      </c>
      <c r="E33" s="71"/>
    </row>
    <row r="34" spans="2:5" ht="22.5" customHeight="1" x14ac:dyDescent="0.25">
      <c r="B34" s="92">
        <v>2</v>
      </c>
      <c r="C34" s="78" t="s">
        <v>143</v>
      </c>
      <c r="D34" s="93">
        <v>0.14438267769681332</v>
      </c>
      <c r="E34" s="71"/>
    </row>
    <row r="35" spans="2:5" ht="24.75" customHeight="1" x14ac:dyDescent="0.25">
      <c r="B35" s="92">
        <v>3</v>
      </c>
      <c r="C35" s="78" t="s">
        <v>119</v>
      </c>
      <c r="D35" s="93">
        <v>0.13992384480029049</v>
      </c>
      <c r="E35" s="71"/>
    </row>
    <row r="36" spans="2:5" ht="35.25" customHeight="1" x14ac:dyDescent="0.25">
      <c r="B36" s="92">
        <v>4</v>
      </c>
      <c r="C36" s="78" t="s">
        <v>120</v>
      </c>
      <c r="D36" s="93">
        <v>0.12877328530126689</v>
      </c>
      <c r="E36" s="71"/>
    </row>
    <row r="37" spans="2:5" ht="15.75" x14ac:dyDescent="0.25">
      <c r="B37" s="467">
        <v>5</v>
      </c>
      <c r="C37" s="468" t="s">
        <v>145</v>
      </c>
      <c r="D37" s="469" t="e">
        <f t="shared" ref="D37" si="0">$E$21</f>
        <v>#VALUE!</v>
      </c>
      <c r="E37" s="470">
        <v>74.411912864613029</v>
      </c>
    </row>
  </sheetData>
  <mergeCells count="6">
    <mergeCell ref="B12:E12"/>
    <mergeCell ref="B28:E28"/>
    <mergeCell ref="C23:E23"/>
    <mergeCell ref="B9:E9"/>
    <mergeCell ref="B10:E10"/>
    <mergeCell ref="B11:E1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C37"/>
  <sheetViews>
    <sheetView topLeftCell="A19" zoomScale="72" zoomScaleNormal="72" workbookViewId="0">
      <selection activeCell="C36" sqref="C36"/>
    </sheetView>
  </sheetViews>
  <sheetFormatPr defaultRowHeight="15" x14ac:dyDescent="0.2"/>
  <cols>
    <col min="2" max="2" width="41.21875" customWidth="1"/>
    <col min="3" max="3" width="12.33203125" customWidth="1"/>
  </cols>
  <sheetData>
    <row r="2" spans="2:3" ht="30" customHeight="1" x14ac:dyDescent="0.2">
      <c r="B2" s="771" t="s">
        <v>30</v>
      </c>
    </row>
    <row r="4" spans="2:3" x14ac:dyDescent="0.2">
      <c r="B4" t="s">
        <v>16</v>
      </c>
      <c r="C4" s="10">
        <v>10000</v>
      </c>
    </row>
    <row r="5" spans="2:3" x14ac:dyDescent="0.2">
      <c r="B5" t="s">
        <v>29</v>
      </c>
      <c r="C5" s="10">
        <v>8000</v>
      </c>
    </row>
    <row r="6" spans="2:3" x14ac:dyDescent="0.2">
      <c r="B6" t="s">
        <v>702</v>
      </c>
      <c r="C6" s="10">
        <v>4000</v>
      </c>
    </row>
    <row r="8" spans="2:3" ht="19.5" customHeight="1" x14ac:dyDescent="0.2">
      <c r="B8" s="771" t="s">
        <v>321</v>
      </c>
    </row>
    <row r="10" spans="2:3" x14ac:dyDescent="0.2">
      <c r="B10" s="3" t="s">
        <v>736</v>
      </c>
      <c r="C10" s="10">
        <v>10000</v>
      </c>
    </row>
    <row r="11" spans="2:3" x14ac:dyDescent="0.2">
      <c r="B11" s="3" t="s">
        <v>738</v>
      </c>
      <c r="C11" s="10">
        <v>6500</v>
      </c>
    </row>
    <row r="12" spans="2:3" x14ac:dyDescent="0.2">
      <c r="B12" s="3"/>
      <c r="C12" s="10"/>
    </row>
    <row r="13" spans="2:3" ht="15.75" x14ac:dyDescent="0.25">
      <c r="B13" s="7" t="s">
        <v>735</v>
      </c>
      <c r="C13" s="10"/>
    </row>
    <row r="14" spans="2:3" ht="15.75" x14ac:dyDescent="0.25">
      <c r="B14" s="7"/>
      <c r="C14" s="10"/>
    </row>
    <row r="15" spans="2:3" x14ac:dyDescent="0.2">
      <c r="B15" s="3" t="s">
        <v>734</v>
      </c>
      <c r="C15" s="10">
        <v>4000</v>
      </c>
    </row>
    <row r="16" spans="2:3" x14ac:dyDescent="0.2">
      <c r="B16" s="3" t="s">
        <v>737</v>
      </c>
      <c r="C16" s="10">
        <v>10000</v>
      </c>
    </row>
    <row r="17" spans="2:3" x14ac:dyDescent="0.2">
      <c r="B17" s="3"/>
      <c r="C17" s="10"/>
    </row>
    <row r="18" spans="2:3" ht="15.75" x14ac:dyDescent="0.2">
      <c r="B18" s="771" t="s">
        <v>657</v>
      </c>
    </row>
    <row r="20" spans="2:3" x14ac:dyDescent="0.2">
      <c r="B20" s="3" t="s">
        <v>29</v>
      </c>
      <c r="C20" s="10">
        <v>110000</v>
      </c>
    </row>
    <row r="21" spans="2:3" x14ac:dyDescent="0.2">
      <c r="B21" s="3" t="s">
        <v>703</v>
      </c>
      <c r="C21" s="10">
        <v>120000</v>
      </c>
    </row>
    <row r="23" spans="2:3" ht="15.75" x14ac:dyDescent="0.2">
      <c r="B23" s="771" t="s">
        <v>803</v>
      </c>
    </row>
    <row r="25" spans="2:3" x14ac:dyDescent="0.2">
      <c r="B25" s="3" t="s">
        <v>674</v>
      </c>
      <c r="C25" s="10">
        <v>150000</v>
      </c>
    </row>
    <row r="26" spans="2:3" x14ac:dyDescent="0.2">
      <c r="B26" s="3" t="s">
        <v>704</v>
      </c>
      <c r="C26" s="10">
        <v>200000</v>
      </c>
    </row>
    <row r="28" spans="2:3" ht="19.5" customHeight="1" x14ac:dyDescent="0.2">
      <c r="B28" s="771" t="s">
        <v>705</v>
      </c>
    </row>
    <row r="30" spans="2:3" x14ac:dyDescent="0.2">
      <c r="B30" s="3" t="s">
        <v>706</v>
      </c>
      <c r="C30" s="10">
        <v>120000</v>
      </c>
    </row>
    <row r="31" spans="2:3" x14ac:dyDescent="0.2">
      <c r="B31" s="3" t="s">
        <v>707</v>
      </c>
      <c r="C31" s="10">
        <v>110000</v>
      </c>
    </row>
    <row r="32" spans="2:3" x14ac:dyDescent="0.2">
      <c r="B32" s="3" t="s">
        <v>708</v>
      </c>
      <c r="C32" s="10">
        <v>100000</v>
      </c>
    </row>
    <row r="33" spans="2:3" x14ac:dyDescent="0.2">
      <c r="B33" s="3" t="s">
        <v>709</v>
      </c>
      <c r="C33" s="10">
        <v>300000</v>
      </c>
    </row>
    <row r="34" spans="2:3" x14ac:dyDescent="0.2">
      <c r="B34" s="3" t="s">
        <v>711</v>
      </c>
      <c r="C34" s="10">
        <v>120000</v>
      </c>
    </row>
    <row r="35" spans="2:3" x14ac:dyDescent="0.2">
      <c r="B35" s="3" t="s">
        <v>710</v>
      </c>
      <c r="C35" s="10">
        <v>100000</v>
      </c>
    </row>
    <row r="36" spans="2:3" x14ac:dyDescent="0.2">
      <c r="B36" s="3" t="s">
        <v>712</v>
      </c>
      <c r="C36" s="10">
        <v>120000</v>
      </c>
    </row>
    <row r="37" spans="2:3" x14ac:dyDescent="0.2">
      <c r="B37" s="3" t="s">
        <v>713</v>
      </c>
      <c r="C37" s="10">
        <v>400000</v>
      </c>
    </row>
  </sheetData>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S83"/>
  <sheetViews>
    <sheetView showZeros="0" zoomScale="59" zoomScaleNormal="59" workbookViewId="0">
      <selection activeCell="S10" sqref="S10"/>
    </sheetView>
  </sheetViews>
  <sheetFormatPr defaultRowHeight="20.25" x14ac:dyDescent="0.3"/>
  <cols>
    <col min="1" max="1" width="10.21875" style="123" customWidth="1"/>
    <col min="2" max="2" width="24.33203125" style="123" customWidth="1"/>
    <col min="3" max="3" width="38.33203125" style="123" customWidth="1"/>
    <col min="4" max="4" width="17.33203125" style="123" customWidth="1"/>
    <col min="5" max="5" width="10.109375" style="123" customWidth="1"/>
    <col min="6" max="6" width="12.88671875" style="123" customWidth="1"/>
    <col min="7" max="7" width="9.77734375" style="123" customWidth="1"/>
    <col min="8" max="8" width="8.21875" style="123" customWidth="1"/>
    <col min="9" max="9" width="9.44140625" style="123" customWidth="1"/>
    <col min="10" max="10" width="13.77734375" style="123" customWidth="1"/>
    <col min="11" max="11" width="9.21875" style="123" customWidth="1"/>
    <col min="12" max="12" width="11.6640625" style="123" customWidth="1"/>
    <col min="13" max="13" width="9.88671875" style="123" customWidth="1"/>
    <col min="14" max="14" width="8.33203125" style="123" customWidth="1"/>
    <col min="15" max="15" width="7" style="123" customWidth="1"/>
    <col min="16" max="16" width="9.77734375" style="123" customWidth="1"/>
    <col min="17" max="17" width="10.109375" style="123" customWidth="1"/>
    <col min="18" max="256" width="8.88671875" style="123"/>
    <col min="257" max="257" width="10.21875" style="123" customWidth="1"/>
    <col min="258" max="258" width="20.109375" style="123" customWidth="1"/>
    <col min="259" max="259" width="26" style="123" customWidth="1"/>
    <col min="260" max="260" width="14.109375" style="123" customWidth="1"/>
    <col min="261" max="261" width="10.109375" style="123" customWidth="1"/>
    <col min="262" max="262" width="12.88671875" style="123" customWidth="1"/>
    <col min="263" max="263" width="9.77734375" style="123" customWidth="1"/>
    <col min="264" max="264" width="7.44140625" style="123" customWidth="1"/>
    <col min="265" max="265" width="9.44140625" style="123" customWidth="1"/>
    <col min="266" max="266" width="13.77734375" style="123" customWidth="1"/>
    <col min="267" max="267" width="7.44140625" style="123" customWidth="1"/>
    <col min="268" max="268" width="9.6640625" style="123" customWidth="1"/>
    <col min="269" max="269" width="9.88671875" style="123" customWidth="1"/>
    <col min="270" max="270" width="8.33203125" style="123" customWidth="1"/>
    <col min="271" max="271" width="7.21875" style="123" customWidth="1"/>
    <col min="272" max="272" width="8.44140625" style="123" customWidth="1"/>
    <col min="273" max="273" width="10.109375" style="123" customWidth="1"/>
    <col min="274" max="512" width="8.88671875" style="123"/>
    <col min="513" max="513" width="10.21875" style="123" customWidth="1"/>
    <col min="514" max="514" width="20.109375" style="123" customWidth="1"/>
    <col min="515" max="515" width="26" style="123" customWidth="1"/>
    <col min="516" max="516" width="14.109375" style="123" customWidth="1"/>
    <col min="517" max="517" width="10.109375" style="123" customWidth="1"/>
    <col min="518" max="518" width="12.88671875" style="123" customWidth="1"/>
    <col min="519" max="519" width="9.77734375" style="123" customWidth="1"/>
    <col min="520" max="520" width="7.44140625" style="123" customWidth="1"/>
    <col min="521" max="521" width="9.44140625" style="123" customWidth="1"/>
    <col min="522" max="522" width="13.77734375" style="123" customWidth="1"/>
    <col min="523" max="523" width="7.44140625" style="123" customWidth="1"/>
    <col min="524" max="524" width="9.6640625" style="123" customWidth="1"/>
    <col min="525" max="525" width="9.88671875" style="123" customWidth="1"/>
    <col min="526" max="526" width="8.33203125" style="123" customWidth="1"/>
    <col min="527" max="527" width="7.21875" style="123" customWidth="1"/>
    <col min="528" max="528" width="8.44140625" style="123" customWidth="1"/>
    <col min="529" max="529" width="10.109375" style="123" customWidth="1"/>
    <col min="530" max="768" width="8.88671875" style="123"/>
    <col min="769" max="769" width="10.21875" style="123" customWidth="1"/>
    <col min="770" max="770" width="20.109375" style="123" customWidth="1"/>
    <col min="771" max="771" width="26" style="123" customWidth="1"/>
    <col min="772" max="772" width="14.109375" style="123" customWidth="1"/>
    <col min="773" max="773" width="10.109375" style="123" customWidth="1"/>
    <col min="774" max="774" width="12.88671875" style="123" customWidth="1"/>
    <col min="775" max="775" width="9.77734375" style="123" customWidth="1"/>
    <col min="776" max="776" width="7.44140625" style="123" customWidth="1"/>
    <col min="777" max="777" width="9.44140625" style="123" customWidth="1"/>
    <col min="778" max="778" width="13.77734375" style="123" customWidth="1"/>
    <col min="779" max="779" width="7.44140625" style="123" customWidth="1"/>
    <col min="780" max="780" width="9.6640625" style="123" customWidth="1"/>
    <col min="781" max="781" width="9.88671875" style="123" customWidth="1"/>
    <col min="782" max="782" width="8.33203125" style="123" customWidth="1"/>
    <col min="783" max="783" width="7.21875" style="123" customWidth="1"/>
    <col min="784" max="784" width="8.44140625" style="123" customWidth="1"/>
    <col min="785" max="785" width="10.109375" style="123" customWidth="1"/>
    <col min="786" max="1024" width="8.88671875" style="123"/>
    <col min="1025" max="1025" width="10.21875" style="123" customWidth="1"/>
    <col min="1026" max="1026" width="20.109375" style="123" customWidth="1"/>
    <col min="1027" max="1027" width="26" style="123" customWidth="1"/>
    <col min="1028" max="1028" width="14.109375" style="123" customWidth="1"/>
    <col min="1029" max="1029" width="10.109375" style="123" customWidth="1"/>
    <col min="1030" max="1030" width="12.88671875" style="123" customWidth="1"/>
    <col min="1031" max="1031" width="9.77734375" style="123" customWidth="1"/>
    <col min="1032" max="1032" width="7.44140625" style="123" customWidth="1"/>
    <col min="1033" max="1033" width="9.44140625" style="123" customWidth="1"/>
    <col min="1034" max="1034" width="13.77734375" style="123" customWidth="1"/>
    <col min="1035" max="1035" width="7.44140625" style="123" customWidth="1"/>
    <col min="1036" max="1036" width="9.6640625" style="123" customWidth="1"/>
    <col min="1037" max="1037" width="9.88671875" style="123" customWidth="1"/>
    <col min="1038" max="1038" width="8.33203125" style="123" customWidth="1"/>
    <col min="1039" max="1039" width="7.21875" style="123" customWidth="1"/>
    <col min="1040" max="1040" width="8.44140625" style="123" customWidth="1"/>
    <col min="1041" max="1041" width="10.109375" style="123" customWidth="1"/>
    <col min="1042" max="1280" width="8.88671875" style="123"/>
    <col min="1281" max="1281" width="10.21875" style="123" customWidth="1"/>
    <col min="1282" max="1282" width="20.109375" style="123" customWidth="1"/>
    <col min="1283" max="1283" width="26" style="123" customWidth="1"/>
    <col min="1284" max="1284" width="14.109375" style="123" customWidth="1"/>
    <col min="1285" max="1285" width="10.109375" style="123" customWidth="1"/>
    <col min="1286" max="1286" width="12.88671875" style="123" customWidth="1"/>
    <col min="1287" max="1287" width="9.77734375" style="123" customWidth="1"/>
    <col min="1288" max="1288" width="7.44140625" style="123" customWidth="1"/>
    <col min="1289" max="1289" width="9.44140625" style="123" customWidth="1"/>
    <col min="1290" max="1290" width="13.77734375" style="123" customWidth="1"/>
    <col min="1291" max="1291" width="7.44140625" style="123" customWidth="1"/>
    <col min="1292" max="1292" width="9.6640625" style="123" customWidth="1"/>
    <col min="1293" max="1293" width="9.88671875" style="123" customWidth="1"/>
    <col min="1294" max="1294" width="8.33203125" style="123" customWidth="1"/>
    <col min="1295" max="1295" width="7.21875" style="123" customWidth="1"/>
    <col min="1296" max="1296" width="8.44140625" style="123" customWidth="1"/>
    <col min="1297" max="1297" width="10.109375" style="123" customWidth="1"/>
    <col min="1298" max="1536" width="8.88671875" style="123"/>
    <col min="1537" max="1537" width="10.21875" style="123" customWidth="1"/>
    <col min="1538" max="1538" width="20.109375" style="123" customWidth="1"/>
    <col min="1539" max="1539" width="26" style="123" customWidth="1"/>
    <col min="1540" max="1540" width="14.109375" style="123" customWidth="1"/>
    <col min="1541" max="1541" width="10.109375" style="123" customWidth="1"/>
    <col min="1542" max="1542" width="12.88671875" style="123" customWidth="1"/>
    <col min="1543" max="1543" width="9.77734375" style="123" customWidth="1"/>
    <col min="1544" max="1544" width="7.44140625" style="123" customWidth="1"/>
    <col min="1545" max="1545" width="9.44140625" style="123" customWidth="1"/>
    <col min="1546" max="1546" width="13.77734375" style="123" customWidth="1"/>
    <col min="1547" max="1547" width="7.44140625" style="123" customWidth="1"/>
    <col min="1548" max="1548" width="9.6640625" style="123" customWidth="1"/>
    <col min="1549" max="1549" width="9.88671875" style="123" customWidth="1"/>
    <col min="1550" max="1550" width="8.33203125" style="123" customWidth="1"/>
    <col min="1551" max="1551" width="7.21875" style="123" customWidth="1"/>
    <col min="1552" max="1552" width="8.44140625" style="123" customWidth="1"/>
    <col min="1553" max="1553" width="10.109375" style="123" customWidth="1"/>
    <col min="1554" max="1792" width="8.88671875" style="123"/>
    <col min="1793" max="1793" width="10.21875" style="123" customWidth="1"/>
    <col min="1794" max="1794" width="20.109375" style="123" customWidth="1"/>
    <col min="1795" max="1795" width="26" style="123" customWidth="1"/>
    <col min="1796" max="1796" width="14.109375" style="123" customWidth="1"/>
    <col min="1797" max="1797" width="10.109375" style="123" customWidth="1"/>
    <col min="1798" max="1798" width="12.88671875" style="123" customWidth="1"/>
    <col min="1799" max="1799" width="9.77734375" style="123" customWidth="1"/>
    <col min="1800" max="1800" width="7.44140625" style="123" customWidth="1"/>
    <col min="1801" max="1801" width="9.44140625" style="123" customWidth="1"/>
    <col min="1802" max="1802" width="13.77734375" style="123" customWidth="1"/>
    <col min="1803" max="1803" width="7.44140625" style="123" customWidth="1"/>
    <col min="1804" max="1804" width="9.6640625" style="123" customWidth="1"/>
    <col min="1805" max="1805" width="9.88671875" style="123" customWidth="1"/>
    <col min="1806" max="1806" width="8.33203125" style="123" customWidth="1"/>
    <col min="1807" max="1807" width="7.21875" style="123" customWidth="1"/>
    <col min="1808" max="1808" width="8.44140625" style="123" customWidth="1"/>
    <col min="1809" max="1809" width="10.109375" style="123" customWidth="1"/>
    <col min="1810" max="2048" width="8.88671875" style="123"/>
    <col min="2049" max="2049" width="10.21875" style="123" customWidth="1"/>
    <col min="2050" max="2050" width="20.109375" style="123" customWidth="1"/>
    <col min="2051" max="2051" width="26" style="123" customWidth="1"/>
    <col min="2052" max="2052" width="14.109375" style="123" customWidth="1"/>
    <col min="2053" max="2053" width="10.109375" style="123" customWidth="1"/>
    <col min="2054" max="2054" width="12.88671875" style="123" customWidth="1"/>
    <col min="2055" max="2055" width="9.77734375" style="123" customWidth="1"/>
    <col min="2056" max="2056" width="7.44140625" style="123" customWidth="1"/>
    <col min="2057" max="2057" width="9.44140625" style="123" customWidth="1"/>
    <col min="2058" max="2058" width="13.77734375" style="123" customWidth="1"/>
    <col min="2059" max="2059" width="7.44140625" style="123" customWidth="1"/>
    <col min="2060" max="2060" width="9.6640625" style="123" customWidth="1"/>
    <col min="2061" max="2061" width="9.88671875" style="123" customWidth="1"/>
    <col min="2062" max="2062" width="8.33203125" style="123" customWidth="1"/>
    <col min="2063" max="2063" width="7.21875" style="123" customWidth="1"/>
    <col min="2064" max="2064" width="8.44140625" style="123" customWidth="1"/>
    <col min="2065" max="2065" width="10.109375" style="123" customWidth="1"/>
    <col min="2066" max="2304" width="8.88671875" style="123"/>
    <col min="2305" max="2305" width="10.21875" style="123" customWidth="1"/>
    <col min="2306" max="2306" width="20.109375" style="123" customWidth="1"/>
    <col min="2307" max="2307" width="26" style="123" customWidth="1"/>
    <col min="2308" max="2308" width="14.109375" style="123" customWidth="1"/>
    <col min="2309" max="2309" width="10.109375" style="123" customWidth="1"/>
    <col min="2310" max="2310" width="12.88671875" style="123" customWidth="1"/>
    <col min="2311" max="2311" width="9.77734375" style="123" customWidth="1"/>
    <col min="2312" max="2312" width="7.44140625" style="123" customWidth="1"/>
    <col min="2313" max="2313" width="9.44140625" style="123" customWidth="1"/>
    <col min="2314" max="2314" width="13.77734375" style="123" customWidth="1"/>
    <col min="2315" max="2315" width="7.44140625" style="123" customWidth="1"/>
    <col min="2316" max="2316" width="9.6640625" style="123" customWidth="1"/>
    <col min="2317" max="2317" width="9.88671875" style="123" customWidth="1"/>
    <col min="2318" max="2318" width="8.33203125" style="123" customWidth="1"/>
    <col min="2319" max="2319" width="7.21875" style="123" customWidth="1"/>
    <col min="2320" max="2320" width="8.44140625" style="123" customWidth="1"/>
    <col min="2321" max="2321" width="10.109375" style="123" customWidth="1"/>
    <col min="2322" max="2560" width="8.88671875" style="123"/>
    <col min="2561" max="2561" width="10.21875" style="123" customWidth="1"/>
    <col min="2562" max="2562" width="20.109375" style="123" customWidth="1"/>
    <col min="2563" max="2563" width="26" style="123" customWidth="1"/>
    <col min="2564" max="2564" width="14.109375" style="123" customWidth="1"/>
    <col min="2565" max="2565" width="10.109375" style="123" customWidth="1"/>
    <col min="2566" max="2566" width="12.88671875" style="123" customWidth="1"/>
    <col min="2567" max="2567" width="9.77734375" style="123" customWidth="1"/>
    <col min="2568" max="2568" width="7.44140625" style="123" customWidth="1"/>
    <col min="2569" max="2569" width="9.44140625" style="123" customWidth="1"/>
    <col min="2570" max="2570" width="13.77734375" style="123" customWidth="1"/>
    <col min="2571" max="2571" width="7.44140625" style="123" customWidth="1"/>
    <col min="2572" max="2572" width="9.6640625" style="123" customWidth="1"/>
    <col min="2573" max="2573" width="9.88671875" style="123" customWidth="1"/>
    <col min="2574" max="2574" width="8.33203125" style="123" customWidth="1"/>
    <col min="2575" max="2575" width="7.21875" style="123" customWidth="1"/>
    <col min="2576" max="2576" width="8.44140625" style="123" customWidth="1"/>
    <col min="2577" max="2577" width="10.109375" style="123" customWidth="1"/>
    <col min="2578" max="2816" width="8.88671875" style="123"/>
    <col min="2817" max="2817" width="10.21875" style="123" customWidth="1"/>
    <col min="2818" max="2818" width="20.109375" style="123" customWidth="1"/>
    <col min="2819" max="2819" width="26" style="123" customWidth="1"/>
    <col min="2820" max="2820" width="14.109375" style="123" customWidth="1"/>
    <col min="2821" max="2821" width="10.109375" style="123" customWidth="1"/>
    <col min="2822" max="2822" width="12.88671875" style="123" customWidth="1"/>
    <col min="2823" max="2823" width="9.77734375" style="123" customWidth="1"/>
    <col min="2824" max="2824" width="7.44140625" style="123" customWidth="1"/>
    <col min="2825" max="2825" width="9.44140625" style="123" customWidth="1"/>
    <col min="2826" max="2826" width="13.77734375" style="123" customWidth="1"/>
    <col min="2827" max="2827" width="7.44140625" style="123" customWidth="1"/>
    <col min="2828" max="2828" width="9.6640625" style="123" customWidth="1"/>
    <col min="2829" max="2829" width="9.88671875" style="123" customWidth="1"/>
    <col min="2830" max="2830" width="8.33203125" style="123" customWidth="1"/>
    <col min="2831" max="2831" width="7.21875" style="123" customWidth="1"/>
    <col min="2832" max="2832" width="8.44140625" style="123" customWidth="1"/>
    <col min="2833" max="2833" width="10.109375" style="123" customWidth="1"/>
    <col min="2834" max="3072" width="8.88671875" style="123"/>
    <col min="3073" max="3073" width="10.21875" style="123" customWidth="1"/>
    <col min="3074" max="3074" width="20.109375" style="123" customWidth="1"/>
    <col min="3075" max="3075" width="26" style="123" customWidth="1"/>
    <col min="3076" max="3076" width="14.109375" style="123" customWidth="1"/>
    <col min="3077" max="3077" width="10.109375" style="123" customWidth="1"/>
    <col min="3078" max="3078" width="12.88671875" style="123" customWidth="1"/>
    <col min="3079" max="3079" width="9.77734375" style="123" customWidth="1"/>
    <col min="3080" max="3080" width="7.44140625" style="123" customWidth="1"/>
    <col min="3081" max="3081" width="9.44140625" style="123" customWidth="1"/>
    <col min="3082" max="3082" width="13.77734375" style="123" customWidth="1"/>
    <col min="3083" max="3083" width="7.44140625" style="123" customWidth="1"/>
    <col min="3084" max="3084" width="9.6640625" style="123" customWidth="1"/>
    <col min="3085" max="3085" width="9.88671875" style="123" customWidth="1"/>
    <col min="3086" max="3086" width="8.33203125" style="123" customWidth="1"/>
    <col min="3087" max="3087" width="7.21875" style="123" customWidth="1"/>
    <col min="3088" max="3088" width="8.44140625" style="123" customWidth="1"/>
    <col min="3089" max="3089" width="10.109375" style="123" customWidth="1"/>
    <col min="3090" max="3328" width="8.88671875" style="123"/>
    <col min="3329" max="3329" width="10.21875" style="123" customWidth="1"/>
    <col min="3330" max="3330" width="20.109375" style="123" customWidth="1"/>
    <col min="3331" max="3331" width="26" style="123" customWidth="1"/>
    <col min="3332" max="3332" width="14.109375" style="123" customWidth="1"/>
    <col min="3333" max="3333" width="10.109375" style="123" customWidth="1"/>
    <col min="3334" max="3334" width="12.88671875" style="123" customWidth="1"/>
    <col min="3335" max="3335" width="9.77734375" style="123" customWidth="1"/>
    <col min="3336" max="3336" width="7.44140625" style="123" customWidth="1"/>
    <col min="3337" max="3337" width="9.44140625" style="123" customWidth="1"/>
    <col min="3338" max="3338" width="13.77734375" style="123" customWidth="1"/>
    <col min="3339" max="3339" width="7.44140625" style="123" customWidth="1"/>
    <col min="3340" max="3340" width="9.6640625" style="123" customWidth="1"/>
    <col min="3341" max="3341" width="9.88671875" style="123" customWidth="1"/>
    <col min="3342" max="3342" width="8.33203125" style="123" customWidth="1"/>
    <col min="3343" max="3343" width="7.21875" style="123" customWidth="1"/>
    <col min="3344" max="3344" width="8.44140625" style="123" customWidth="1"/>
    <col min="3345" max="3345" width="10.109375" style="123" customWidth="1"/>
    <col min="3346" max="3584" width="8.88671875" style="123"/>
    <col min="3585" max="3585" width="10.21875" style="123" customWidth="1"/>
    <col min="3586" max="3586" width="20.109375" style="123" customWidth="1"/>
    <col min="3587" max="3587" width="26" style="123" customWidth="1"/>
    <col min="3588" max="3588" width="14.109375" style="123" customWidth="1"/>
    <col min="3589" max="3589" width="10.109375" style="123" customWidth="1"/>
    <col min="3590" max="3590" width="12.88671875" style="123" customWidth="1"/>
    <col min="3591" max="3591" width="9.77734375" style="123" customWidth="1"/>
    <col min="3592" max="3592" width="7.44140625" style="123" customWidth="1"/>
    <col min="3593" max="3593" width="9.44140625" style="123" customWidth="1"/>
    <col min="3594" max="3594" width="13.77734375" style="123" customWidth="1"/>
    <col min="3595" max="3595" width="7.44140625" style="123" customWidth="1"/>
    <col min="3596" max="3596" width="9.6640625" style="123" customWidth="1"/>
    <col min="3597" max="3597" width="9.88671875" style="123" customWidth="1"/>
    <col min="3598" max="3598" width="8.33203125" style="123" customWidth="1"/>
    <col min="3599" max="3599" width="7.21875" style="123" customWidth="1"/>
    <col min="3600" max="3600" width="8.44140625" style="123" customWidth="1"/>
    <col min="3601" max="3601" width="10.109375" style="123" customWidth="1"/>
    <col min="3602" max="3840" width="8.88671875" style="123"/>
    <col min="3841" max="3841" width="10.21875" style="123" customWidth="1"/>
    <col min="3842" max="3842" width="20.109375" style="123" customWidth="1"/>
    <col min="3843" max="3843" width="26" style="123" customWidth="1"/>
    <col min="3844" max="3844" width="14.109375" style="123" customWidth="1"/>
    <col min="3845" max="3845" width="10.109375" style="123" customWidth="1"/>
    <col min="3846" max="3846" width="12.88671875" style="123" customWidth="1"/>
    <col min="3847" max="3847" width="9.77734375" style="123" customWidth="1"/>
    <col min="3848" max="3848" width="7.44140625" style="123" customWidth="1"/>
    <col min="3849" max="3849" width="9.44140625" style="123" customWidth="1"/>
    <col min="3850" max="3850" width="13.77734375" style="123" customWidth="1"/>
    <col min="3851" max="3851" width="7.44140625" style="123" customWidth="1"/>
    <col min="3852" max="3852" width="9.6640625" style="123" customWidth="1"/>
    <col min="3853" max="3853" width="9.88671875" style="123" customWidth="1"/>
    <col min="3854" max="3854" width="8.33203125" style="123" customWidth="1"/>
    <col min="3855" max="3855" width="7.21875" style="123" customWidth="1"/>
    <col min="3856" max="3856" width="8.44140625" style="123" customWidth="1"/>
    <col min="3857" max="3857" width="10.109375" style="123" customWidth="1"/>
    <col min="3858" max="4096" width="8.88671875" style="123"/>
    <col min="4097" max="4097" width="10.21875" style="123" customWidth="1"/>
    <col min="4098" max="4098" width="20.109375" style="123" customWidth="1"/>
    <col min="4099" max="4099" width="26" style="123" customWidth="1"/>
    <col min="4100" max="4100" width="14.109375" style="123" customWidth="1"/>
    <col min="4101" max="4101" width="10.109375" style="123" customWidth="1"/>
    <col min="4102" max="4102" width="12.88671875" style="123" customWidth="1"/>
    <col min="4103" max="4103" width="9.77734375" style="123" customWidth="1"/>
    <col min="4104" max="4104" width="7.44140625" style="123" customWidth="1"/>
    <col min="4105" max="4105" width="9.44140625" style="123" customWidth="1"/>
    <col min="4106" max="4106" width="13.77734375" style="123" customWidth="1"/>
    <col min="4107" max="4107" width="7.44140625" style="123" customWidth="1"/>
    <col min="4108" max="4108" width="9.6640625" style="123" customWidth="1"/>
    <col min="4109" max="4109" width="9.88671875" style="123" customWidth="1"/>
    <col min="4110" max="4110" width="8.33203125" style="123" customWidth="1"/>
    <col min="4111" max="4111" width="7.21875" style="123" customWidth="1"/>
    <col min="4112" max="4112" width="8.44140625" style="123" customWidth="1"/>
    <col min="4113" max="4113" width="10.109375" style="123" customWidth="1"/>
    <col min="4114" max="4352" width="8.88671875" style="123"/>
    <col min="4353" max="4353" width="10.21875" style="123" customWidth="1"/>
    <col min="4354" max="4354" width="20.109375" style="123" customWidth="1"/>
    <col min="4355" max="4355" width="26" style="123" customWidth="1"/>
    <col min="4356" max="4356" width="14.109375" style="123" customWidth="1"/>
    <col min="4357" max="4357" width="10.109375" style="123" customWidth="1"/>
    <col min="4358" max="4358" width="12.88671875" style="123" customWidth="1"/>
    <col min="4359" max="4359" width="9.77734375" style="123" customWidth="1"/>
    <col min="4360" max="4360" width="7.44140625" style="123" customWidth="1"/>
    <col min="4361" max="4361" width="9.44140625" style="123" customWidth="1"/>
    <col min="4362" max="4362" width="13.77734375" style="123" customWidth="1"/>
    <col min="4363" max="4363" width="7.44140625" style="123" customWidth="1"/>
    <col min="4364" max="4364" width="9.6640625" style="123" customWidth="1"/>
    <col min="4365" max="4365" width="9.88671875" style="123" customWidth="1"/>
    <col min="4366" max="4366" width="8.33203125" style="123" customWidth="1"/>
    <col min="4367" max="4367" width="7.21875" style="123" customWidth="1"/>
    <col min="4368" max="4368" width="8.44140625" style="123" customWidth="1"/>
    <col min="4369" max="4369" width="10.109375" style="123" customWidth="1"/>
    <col min="4370" max="4608" width="8.88671875" style="123"/>
    <col min="4609" max="4609" width="10.21875" style="123" customWidth="1"/>
    <col min="4610" max="4610" width="20.109375" style="123" customWidth="1"/>
    <col min="4611" max="4611" width="26" style="123" customWidth="1"/>
    <col min="4612" max="4612" width="14.109375" style="123" customWidth="1"/>
    <col min="4613" max="4613" width="10.109375" style="123" customWidth="1"/>
    <col min="4614" max="4614" width="12.88671875" style="123" customWidth="1"/>
    <col min="4615" max="4615" width="9.77734375" style="123" customWidth="1"/>
    <col min="4616" max="4616" width="7.44140625" style="123" customWidth="1"/>
    <col min="4617" max="4617" width="9.44140625" style="123" customWidth="1"/>
    <col min="4618" max="4618" width="13.77734375" style="123" customWidth="1"/>
    <col min="4619" max="4619" width="7.44140625" style="123" customWidth="1"/>
    <col min="4620" max="4620" width="9.6640625" style="123" customWidth="1"/>
    <col min="4621" max="4621" width="9.88671875" style="123" customWidth="1"/>
    <col min="4622" max="4622" width="8.33203125" style="123" customWidth="1"/>
    <col min="4623" max="4623" width="7.21875" style="123" customWidth="1"/>
    <col min="4624" max="4624" width="8.44140625" style="123" customWidth="1"/>
    <col min="4625" max="4625" width="10.109375" style="123" customWidth="1"/>
    <col min="4626" max="4864" width="8.88671875" style="123"/>
    <col min="4865" max="4865" width="10.21875" style="123" customWidth="1"/>
    <col min="4866" max="4866" width="20.109375" style="123" customWidth="1"/>
    <col min="4867" max="4867" width="26" style="123" customWidth="1"/>
    <col min="4868" max="4868" width="14.109375" style="123" customWidth="1"/>
    <col min="4869" max="4869" width="10.109375" style="123" customWidth="1"/>
    <col min="4870" max="4870" width="12.88671875" style="123" customWidth="1"/>
    <col min="4871" max="4871" width="9.77734375" style="123" customWidth="1"/>
    <col min="4872" max="4872" width="7.44140625" style="123" customWidth="1"/>
    <col min="4873" max="4873" width="9.44140625" style="123" customWidth="1"/>
    <col min="4874" max="4874" width="13.77734375" style="123" customWidth="1"/>
    <col min="4875" max="4875" width="7.44140625" style="123" customWidth="1"/>
    <col min="4876" max="4876" width="9.6640625" style="123" customWidth="1"/>
    <col min="4877" max="4877" width="9.88671875" style="123" customWidth="1"/>
    <col min="4878" max="4878" width="8.33203125" style="123" customWidth="1"/>
    <col min="4879" max="4879" width="7.21875" style="123" customWidth="1"/>
    <col min="4880" max="4880" width="8.44140625" style="123" customWidth="1"/>
    <col min="4881" max="4881" width="10.109375" style="123" customWidth="1"/>
    <col min="4882" max="5120" width="8.88671875" style="123"/>
    <col min="5121" max="5121" width="10.21875" style="123" customWidth="1"/>
    <col min="5122" max="5122" width="20.109375" style="123" customWidth="1"/>
    <col min="5123" max="5123" width="26" style="123" customWidth="1"/>
    <col min="5124" max="5124" width="14.109375" style="123" customWidth="1"/>
    <col min="5125" max="5125" width="10.109375" style="123" customWidth="1"/>
    <col min="5126" max="5126" width="12.88671875" style="123" customWidth="1"/>
    <col min="5127" max="5127" width="9.77734375" style="123" customWidth="1"/>
    <col min="5128" max="5128" width="7.44140625" style="123" customWidth="1"/>
    <col min="5129" max="5129" width="9.44140625" style="123" customWidth="1"/>
    <col min="5130" max="5130" width="13.77734375" style="123" customWidth="1"/>
    <col min="5131" max="5131" width="7.44140625" style="123" customWidth="1"/>
    <col min="5132" max="5132" width="9.6640625" style="123" customWidth="1"/>
    <col min="5133" max="5133" width="9.88671875" style="123" customWidth="1"/>
    <col min="5134" max="5134" width="8.33203125" style="123" customWidth="1"/>
    <col min="5135" max="5135" width="7.21875" style="123" customWidth="1"/>
    <col min="5136" max="5136" width="8.44140625" style="123" customWidth="1"/>
    <col min="5137" max="5137" width="10.109375" style="123" customWidth="1"/>
    <col min="5138" max="5376" width="8.88671875" style="123"/>
    <col min="5377" max="5377" width="10.21875" style="123" customWidth="1"/>
    <col min="5378" max="5378" width="20.109375" style="123" customWidth="1"/>
    <col min="5379" max="5379" width="26" style="123" customWidth="1"/>
    <col min="5380" max="5380" width="14.109375" style="123" customWidth="1"/>
    <col min="5381" max="5381" width="10.109375" style="123" customWidth="1"/>
    <col min="5382" max="5382" width="12.88671875" style="123" customWidth="1"/>
    <col min="5383" max="5383" width="9.77734375" style="123" customWidth="1"/>
    <col min="5384" max="5384" width="7.44140625" style="123" customWidth="1"/>
    <col min="5385" max="5385" width="9.44140625" style="123" customWidth="1"/>
    <col min="5386" max="5386" width="13.77734375" style="123" customWidth="1"/>
    <col min="5387" max="5387" width="7.44140625" style="123" customWidth="1"/>
    <col min="5388" max="5388" width="9.6640625" style="123" customWidth="1"/>
    <col min="5389" max="5389" width="9.88671875" style="123" customWidth="1"/>
    <col min="5390" max="5390" width="8.33203125" style="123" customWidth="1"/>
    <col min="5391" max="5391" width="7.21875" style="123" customWidth="1"/>
    <col min="5392" max="5392" width="8.44140625" style="123" customWidth="1"/>
    <col min="5393" max="5393" width="10.109375" style="123" customWidth="1"/>
    <col min="5394" max="5632" width="8.88671875" style="123"/>
    <col min="5633" max="5633" width="10.21875" style="123" customWidth="1"/>
    <col min="5634" max="5634" width="20.109375" style="123" customWidth="1"/>
    <col min="5635" max="5635" width="26" style="123" customWidth="1"/>
    <col min="5636" max="5636" width="14.109375" style="123" customWidth="1"/>
    <col min="5637" max="5637" width="10.109375" style="123" customWidth="1"/>
    <col min="5638" max="5638" width="12.88671875" style="123" customWidth="1"/>
    <col min="5639" max="5639" width="9.77734375" style="123" customWidth="1"/>
    <col min="5640" max="5640" width="7.44140625" style="123" customWidth="1"/>
    <col min="5641" max="5641" width="9.44140625" style="123" customWidth="1"/>
    <col min="5642" max="5642" width="13.77734375" style="123" customWidth="1"/>
    <col min="5643" max="5643" width="7.44140625" style="123" customWidth="1"/>
    <col min="5644" max="5644" width="9.6640625" style="123" customWidth="1"/>
    <col min="5645" max="5645" width="9.88671875" style="123" customWidth="1"/>
    <col min="5646" max="5646" width="8.33203125" style="123" customWidth="1"/>
    <col min="5647" max="5647" width="7.21875" style="123" customWidth="1"/>
    <col min="5648" max="5648" width="8.44140625" style="123" customWidth="1"/>
    <col min="5649" max="5649" width="10.109375" style="123" customWidth="1"/>
    <col min="5650" max="5888" width="8.88671875" style="123"/>
    <col min="5889" max="5889" width="10.21875" style="123" customWidth="1"/>
    <col min="5890" max="5890" width="20.109375" style="123" customWidth="1"/>
    <col min="5891" max="5891" width="26" style="123" customWidth="1"/>
    <col min="5892" max="5892" width="14.109375" style="123" customWidth="1"/>
    <col min="5893" max="5893" width="10.109375" style="123" customWidth="1"/>
    <col min="5894" max="5894" width="12.88671875" style="123" customWidth="1"/>
    <col min="5895" max="5895" width="9.77734375" style="123" customWidth="1"/>
    <col min="5896" max="5896" width="7.44140625" style="123" customWidth="1"/>
    <col min="5897" max="5897" width="9.44140625" style="123" customWidth="1"/>
    <col min="5898" max="5898" width="13.77734375" style="123" customWidth="1"/>
    <col min="5899" max="5899" width="7.44140625" style="123" customWidth="1"/>
    <col min="5900" max="5900" width="9.6640625" style="123" customWidth="1"/>
    <col min="5901" max="5901" width="9.88671875" style="123" customWidth="1"/>
    <col min="5902" max="5902" width="8.33203125" style="123" customWidth="1"/>
    <col min="5903" max="5903" width="7.21875" style="123" customWidth="1"/>
    <col min="5904" max="5904" width="8.44140625" style="123" customWidth="1"/>
    <col min="5905" max="5905" width="10.109375" style="123" customWidth="1"/>
    <col min="5906" max="6144" width="8.88671875" style="123"/>
    <col min="6145" max="6145" width="10.21875" style="123" customWidth="1"/>
    <col min="6146" max="6146" width="20.109375" style="123" customWidth="1"/>
    <col min="6147" max="6147" width="26" style="123" customWidth="1"/>
    <col min="6148" max="6148" width="14.109375" style="123" customWidth="1"/>
    <col min="6149" max="6149" width="10.109375" style="123" customWidth="1"/>
    <col min="6150" max="6150" width="12.88671875" style="123" customWidth="1"/>
    <col min="6151" max="6151" width="9.77734375" style="123" customWidth="1"/>
    <col min="6152" max="6152" width="7.44140625" style="123" customWidth="1"/>
    <col min="6153" max="6153" width="9.44140625" style="123" customWidth="1"/>
    <col min="6154" max="6154" width="13.77734375" style="123" customWidth="1"/>
    <col min="6155" max="6155" width="7.44140625" style="123" customWidth="1"/>
    <col min="6156" max="6156" width="9.6640625" style="123" customWidth="1"/>
    <col min="6157" max="6157" width="9.88671875" style="123" customWidth="1"/>
    <col min="6158" max="6158" width="8.33203125" style="123" customWidth="1"/>
    <col min="6159" max="6159" width="7.21875" style="123" customWidth="1"/>
    <col min="6160" max="6160" width="8.44140625" style="123" customWidth="1"/>
    <col min="6161" max="6161" width="10.109375" style="123" customWidth="1"/>
    <col min="6162" max="6400" width="8.88671875" style="123"/>
    <col min="6401" max="6401" width="10.21875" style="123" customWidth="1"/>
    <col min="6402" max="6402" width="20.109375" style="123" customWidth="1"/>
    <col min="6403" max="6403" width="26" style="123" customWidth="1"/>
    <col min="6404" max="6404" width="14.109375" style="123" customWidth="1"/>
    <col min="6405" max="6405" width="10.109375" style="123" customWidth="1"/>
    <col min="6406" max="6406" width="12.88671875" style="123" customWidth="1"/>
    <col min="6407" max="6407" width="9.77734375" style="123" customWidth="1"/>
    <col min="6408" max="6408" width="7.44140625" style="123" customWidth="1"/>
    <col min="6409" max="6409" width="9.44140625" style="123" customWidth="1"/>
    <col min="6410" max="6410" width="13.77734375" style="123" customWidth="1"/>
    <col min="6411" max="6411" width="7.44140625" style="123" customWidth="1"/>
    <col min="6412" max="6412" width="9.6640625" style="123" customWidth="1"/>
    <col min="6413" max="6413" width="9.88671875" style="123" customWidth="1"/>
    <col min="6414" max="6414" width="8.33203125" style="123" customWidth="1"/>
    <col min="6415" max="6415" width="7.21875" style="123" customWidth="1"/>
    <col min="6416" max="6416" width="8.44140625" style="123" customWidth="1"/>
    <col min="6417" max="6417" width="10.109375" style="123" customWidth="1"/>
    <col min="6418" max="6656" width="8.88671875" style="123"/>
    <col min="6657" max="6657" width="10.21875" style="123" customWidth="1"/>
    <col min="6658" max="6658" width="20.109375" style="123" customWidth="1"/>
    <col min="6659" max="6659" width="26" style="123" customWidth="1"/>
    <col min="6660" max="6660" width="14.109375" style="123" customWidth="1"/>
    <col min="6661" max="6661" width="10.109375" style="123" customWidth="1"/>
    <col min="6662" max="6662" width="12.88671875" style="123" customWidth="1"/>
    <col min="6663" max="6663" width="9.77734375" style="123" customWidth="1"/>
    <col min="6664" max="6664" width="7.44140625" style="123" customWidth="1"/>
    <col min="6665" max="6665" width="9.44140625" style="123" customWidth="1"/>
    <col min="6666" max="6666" width="13.77734375" style="123" customWidth="1"/>
    <col min="6667" max="6667" width="7.44140625" style="123" customWidth="1"/>
    <col min="6668" max="6668" width="9.6640625" style="123" customWidth="1"/>
    <col min="6669" max="6669" width="9.88671875" style="123" customWidth="1"/>
    <col min="6670" max="6670" width="8.33203125" style="123" customWidth="1"/>
    <col min="6671" max="6671" width="7.21875" style="123" customWidth="1"/>
    <col min="6672" max="6672" width="8.44140625" style="123" customWidth="1"/>
    <col min="6673" max="6673" width="10.109375" style="123" customWidth="1"/>
    <col min="6674" max="6912" width="8.88671875" style="123"/>
    <col min="6913" max="6913" width="10.21875" style="123" customWidth="1"/>
    <col min="6914" max="6914" width="20.109375" style="123" customWidth="1"/>
    <col min="6915" max="6915" width="26" style="123" customWidth="1"/>
    <col min="6916" max="6916" width="14.109375" style="123" customWidth="1"/>
    <col min="6917" max="6917" width="10.109375" style="123" customWidth="1"/>
    <col min="6918" max="6918" width="12.88671875" style="123" customWidth="1"/>
    <col min="6919" max="6919" width="9.77734375" style="123" customWidth="1"/>
    <col min="6920" max="6920" width="7.44140625" style="123" customWidth="1"/>
    <col min="6921" max="6921" width="9.44140625" style="123" customWidth="1"/>
    <col min="6922" max="6922" width="13.77734375" style="123" customWidth="1"/>
    <col min="6923" max="6923" width="7.44140625" style="123" customWidth="1"/>
    <col min="6924" max="6924" width="9.6640625" style="123" customWidth="1"/>
    <col min="6925" max="6925" width="9.88671875" style="123" customWidth="1"/>
    <col min="6926" max="6926" width="8.33203125" style="123" customWidth="1"/>
    <col min="6927" max="6927" width="7.21875" style="123" customWidth="1"/>
    <col min="6928" max="6928" width="8.44140625" style="123" customWidth="1"/>
    <col min="6929" max="6929" width="10.109375" style="123" customWidth="1"/>
    <col min="6930" max="7168" width="8.88671875" style="123"/>
    <col min="7169" max="7169" width="10.21875" style="123" customWidth="1"/>
    <col min="7170" max="7170" width="20.109375" style="123" customWidth="1"/>
    <col min="7171" max="7171" width="26" style="123" customWidth="1"/>
    <col min="7172" max="7172" width="14.109375" style="123" customWidth="1"/>
    <col min="7173" max="7173" width="10.109375" style="123" customWidth="1"/>
    <col min="7174" max="7174" width="12.88671875" style="123" customWidth="1"/>
    <col min="7175" max="7175" width="9.77734375" style="123" customWidth="1"/>
    <col min="7176" max="7176" width="7.44140625" style="123" customWidth="1"/>
    <col min="7177" max="7177" width="9.44140625" style="123" customWidth="1"/>
    <col min="7178" max="7178" width="13.77734375" style="123" customWidth="1"/>
    <col min="7179" max="7179" width="7.44140625" style="123" customWidth="1"/>
    <col min="7180" max="7180" width="9.6640625" style="123" customWidth="1"/>
    <col min="7181" max="7181" width="9.88671875" style="123" customWidth="1"/>
    <col min="7182" max="7182" width="8.33203125" style="123" customWidth="1"/>
    <col min="7183" max="7183" width="7.21875" style="123" customWidth="1"/>
    <col min="7184" max="7184" width="8.44140625" style="123" customWidth="1"/>
    <col min="7185" max="7185" width="10.109375" style="123" customWidth="1"/>
    <col min="7186" max="7424" width="8.88671875" style="123"/>
    <col min="7425" max="7425" width="10.21875" style="123" customWidth="1"/>
    <col min="7426" max="7426" width="20.109375" style="123" customWidth="1"/>
    <col min="7427" max="7427" width="26" style="123" customWidth="1"/>
    <col min="7428" max="7428" width="14.109375" style="123" customWidth="1"/>
    <col min="7429" max="7429" width="10.109375" style="123" customWidth="1"/>
    <col min="7430" max="7430" width="12.88671875" style="123" customWidth="1"/>
    <col min="7431" max="7431" width="9.77734375" style="123" customWidth="1"/>
    <col min="7432" max="7432" width="7.44140625" style="123" customWidth="1"/>
    <col min="7433" max="7433" width="9.44140625" style="123" customWidth="1"/>
    <col min="7434" max="7434" width="13.77734375" style="123" customWidth="1"/>
    <col min="7435" max="7435" width="7.44140625" style="123" customWidth="1"/>
    <col min="7436" max="7436" width="9.6640625" style="123" customWidth="1"/>
    <col min="7437" max="7437" width="9.88671875" style="123" customWidth="1"/>
    <col min="7438" max="7438" width="8.33203125" style="123" customWidth="1"/>
    <col min="7439" max="7439" width="7.21875" style="123" customWidth="1"/>
    <col min="7440" max="7440" width="8.44140625" style="123" customWidth="1"/>
    <col min="7441" max="7441" width="10.109375" style="123" customWidth="1"/>
    <col min="7442" max="7680" width="8.88671875" style="123"/>
    <col min="7681" max="7681" width="10.21875" style="123" customWidth="1"/>
    <col min="7682" max="7682" width="20.109375" style="123" customWidth="1"/>
    <col min="7683" max="7683" width="26" style="123" customWidth="1"/>
    <col min="7684" max="7684" width="14.109375" style="123" customWidth="1"/>
    <col min="7685" max="7685" width="10.109375" style="123" customWidth="1"/>
    <col min="7686" max="7686" width="12.88671875" style="123" customWidth="1"/>
    <col min="7687" max="7687" width="9.77734375" style="123" customWidth="1"/>
    <col min="7688" max="7688" width="7.44140625" style="123" customWidth="1"/>
    <col min="7689" max="7689" width="9.44140625" style="123" customWidth="1"/>
    <col min="7690" max="7690" width="13.77734375" style="123" customWidth="1"/>
    <col min="7691" max="7691" width="7.44140625" style="123" customWidth="1"/>
    <col min="7692" max="7692" width="9.6640625" style="123" customWidth="1"/>
    <col min="7693" max="7693" width="9.88671875" style="123" customWidth="1"/>
    <col min="7694" max="7694" width="8.33203125" style="123" customWidth="1"/>
    <col min="7695" max="7695" width="7.21875" style="123" customWidth="1"/>
    <col min="7696" max="7696" width="8.44140625" style="123" customWidth="1"/>
    <col min="7697" max="7697" width="10.109375" style="123" customWidth="1"/>
    <col min="7698" max="7936" width="8.88671875" style="123"/>
    <col min="7937" max="7937" width="10.21875" style="123" customWidth="1"/>
    <col min="7938" max="7938" width="20.109375" style="123" customWidth="1"/>
    <col min="7939" max="7939" width="26" style="123" customWidth="1"/>
    <col min="7940" max="7940" width="14.109375" style="123" customWidth="1"/>
    <col min="7941" max="7941" width="10.109375" style="123" customWidth="1"/>
    <col min="7942" max="7942" width="12.88671875" style="123" customWidth="1"/>
    <col min="7943" max="7943" width="9.77734375" style="123" customWidth="1"/>
    <col min="7944" max="7944" width="7.44140625" style="123" customWidth="1"/>
    <col min="7945" max="7945" width="9.44140625" style="123" customWidth="1"/>
    <col min="7946" max="7946" width="13.77734375" style="123" customWidth="1"/>
    <col min="7947" max="7947" width="7.44140625" style="123" customWidth="1"/>
    <col min="7948" max="7948" width="9.6640625" style="123" customWidth="1"/>
    <col min="7949" max="7949" width="9.88671875" style="123" customWidth="1"/>
    <col min="7950" max="7950" width="8.33203125" style="123" customWidth="1"/>
    <col min="7951" max="7951" width="7.21875" style="123" customWidth="1"/>
    <col min="7952" max="7952" width="8.44140625" style="123" customWidth="1"/>
    <col min="7953" max="7953" width="10.109375" style="123" customWidth="1"/>
    <col min="7954" max="8192" width="8.88671875" style="123"/>
    <col min="8193" max="8193" width="10.21875" style="123" customWidth="1"/>
    <col min="8194" max="8194" width="20.109375" style="123" customWidth="1"/>
    <col min="8195" max="8195" width="26" style="123" customWidth="1"/>
    <col min="8196" max="8196" width="14.109375" style="123" customWidth="1"/>
    <col min="8197" max="8197" width="10.109375" style="123" customWidth="1"/>
    <col min="8198" max="8198" width="12.88671875" style="123" customWidth="1"/>
    <col min="8199" max="8199" width="9.77734375" style="123" customWidth="1"/>
    <col min="8200" max="8200" width="7.44140625" style="123" customWidth="1"/>
    <col min="8201" max="8201" width="9.44140625" style="123" customWidth="1"/>
    <col min="8202" max="8202" width="13.77734375" style="123" customWidth="1"/>
    <col min="8203" max="8203" width="7.44140625" style="123" customWidth="1"/>
    <col min="8204" max="8204" width="9.6640625" style="123" customWidth="1"/>
    <col min="8205" max="8205" width="9.88671875" style="123" customWidth="1"/>
    <col min="8206" max="8206" width="8.33203125" style="123" customWidth="1"/>
    <col min="8207" max="8207" width="7.21875" style="123" customWidth="1"/>
    <col min="8208" max="8208" width="8.44140625" style="123" customWidth="1"/>
    <col min="8209" max="8209" width="10.109375" style="123" customWidth="1"/>
    <col min="8210" max="8448" width="8.88671875" style="123"/>
    <col min="8449" max="8449" width="10.21875" style="123" customWidth="1"/>
    <col min="8450" max="8450" width="20.109375" style="123" customWidth="1"/>
    <col min="8451" max="8451" width="26" style="123" customWidth="1"/>
    <col min="8452" max="8452" width="14.109375" style="123" customWidth="1"/>
    <col min="8453" max="8453" width="10.109375" style="123" customWidth="1"/>
    <col min="8454" max="8454" width="12.88671875" style="123" customWidth="1"/>
    <col min="8455" max="8455" width="9.77734375" style="123" customWidth="1"/>
    <col min="8456" max="8456" width="7.44140625" style="123" customWidth="1"/>
    <col min="8457" max="8457" width="9.44140625" style="123" customWidth="1"/>
    <col min="8458" max="8458" width="13.77734375" style="123" customWidth="1"/>
    <col min="8459" max="8459" width="7.44140625" style="123" customWidth="1"/>
    <col min="8460" max="8460" width="9.6640625" style="123" customWidth="1"/>
    <col min="8461" max="8461" width="9.88671875" style="123" customWidth="1"/>
    <col min="8462" max="8462" width="8.33203125" style="123" customWidth="1"/>
    <col min="8463" max="8463" width="7.21875" style="123" customWidth="1"/>
    <col min="8464" max="8464" width="8.44140625" style="123" customWidth="1"/>
    <col min="8465" max="8465" width="10.109375" style="123" customWidth="1"/>
    <col min="8466" max="8704" width="8.88671875" style="123"/>
    <col min="8705" max="8705" width="10.21875" style="123" customWidth="1"/>
    <col min="8706" max="8706" width="20.109375" style="123" customWidth="1"/>
    <col min="8707" max="8707" width="26" style="123" customWidth="1"/>
    <col min="8708" max="8708" width="14.109375" style="123" customWidth="1"/>
    <col min="8709" max="8709" width="10.109375" style="123" customWidth="1"/>
    <col min="8710" max="8710" width="12.88671875" style="123" customWidth="1"/>
    <col min="8711" max="8711" width="9.77734375" style="123" customWidth="1"/>
    <col min="8712" max="8712" width="7.44140625" style="123" customWidth="1"/>
    <col min="8713" max="8713" width="9.44140625" style="123" customWidth="1"/>
    <col min="8714" max="8714" width="13.77734375" style="123" customWidth="1"/>
    <col min="8715" max="8715" width="7.44140625" style="123" customWidth="1"/>
    <col min="8716" max="8716" width="9.6640625" style="123" customWidth="1"/>
    <col min="8717" max="8717" width="9.88671875" style="123" customWidth="1"/>
    <col min="8718" max="8718" width="8.33203125" style="123" customWidth="1"/>
    <col min="8719" max="8719" width="7.21875" style="123" customWidth="1"/>
    <col min="8720" max="8720" width="8.44140625" style="123" customWidth="1"/>
    <col min="8721" max="8721" width="10.109375" style="123" customWidth="1"/>
    <col min="8722" max="8960" width="8.88671875" style="123"/>
    <col min="8961" max="8961" width="10.21875" style="123" customWidth="1"/>
    <col min="8962" max="8962" width="20.109375" style="123" customWidth="1"/>
    <col min="8963" max="8963" width="26" style="123" customWidth="1"/>
    <col min="8964" max="8964" width="14.109375" style="123" customWidth="1"/>
    <col min="8965" max="8965" width="10.109375" style="123" customWidth="1"/>
    <col min="8966" max="8966" width="12.88671875" style="123" customWidth="1"/>
    <col min="8967" max="8967" width="9.77734375" style="123" customWidth="1"/>
    <col min="8968" max="8968" width="7.44140625" style="123" customWidth="1"/>
    <col min="8969" max="8969" width="9.44140625" style="123" customWidth="1"/>
    <col min="8970" max="8970" width="13.77734375" style="123" customWidth="1"/>
    <col min="8971" max="8971" width="7.44140625" style="123" customWidth="1"/>
    <col min="8972" max="8972" width="9.6640625" style="123" customWidth="1"/>
    <col min="8973" max="8973" width="9.88671875" style="123" customWidth="1"/>
    <col min="8974" max="8974" width="8.33203125" style="123" customWidth="1"/>
    <col min="8975" max="8975" width="7.21875" style="123" customWidth="1"/>
    <col min="8976" max="8976" width="8.44140625" style="123" customWidth="1"/>
    <col min="8977" max="8977" width="10.109375" style="123" customWidth="1"/>
    <col min="8978" max="9216" width="8.88671875" style="123"/>
    <col min="9217" max="9217" width="10.21875" style="123" customWidth="1"/>
    <col min="9218" max="9218" width="20.109375" style="123" customWidth="1"/>
    <col min="9219" max="9219" width="26" style="123" customWidth="1"/>
    <col min="9220" max="9220" width="14.109375" style="123" customWidth="1"/>
    <col min="9221" max="9221" width="10.109375" style="123" customWidth="1"/>
    <col min="9222" max="9222" width="12.88671875" style="123" customWidth="1"/>
    <col min="9223" max="9223" width="9.77734375" style="123" customWidth="1"/>
    <col min="9224" max="9224" width="7.44140625" style="123" customWidth="1"/>
    <col min="9225" max="9225" width="9.44140625" style="123" customWidth="1"/>
    <col min="9226" max="9226" width="13.77734375" style="123" customWidth="1"/>
    <col min="9227" max="9227" width="7.44140625" style="123" customWidth="1"/>
    <col min="9228" max="9228" width="9.6640625" style="123" customWidth="1"/>
    <col min="9229" max="9229" width="9.88671875" style="123" customWidth="1"/>
    <col min="9230" max="9230" width="8.33203125" style="123" customWidth="1"/>
    <col min="9231" max="9231" width="7.21875" style="123" customWidth="1"/>
    <col min="9232" max="9232" width="8.44140625" style="123" customWidth="1"/>
    <col min="9233" max="9233" width="10.109375" style="123" customWidth="1"/>
    <col min="9234" max="9472" width="8.88671875" style="123"/>
    <col min="9473" max="9473" width="10.21875" style="123" customWidth="1"/>
    <col min="9474" max="9474" width="20.109375" style="123" customWidth="1"/>
    <col min="9475" max="9475" width="26" style="123" customWidth="1"/>
    <col min="9476" max="9476" width="14.109375" style="123" customWidth="1"/>
    <col min="9477" max="9477" width="10.109375" style="123" customWidth="1"/>
    <col min="9478" max="9478" width="12.88671875" style="123" customWidth="1"/>
    <col min="9479" max="9479" width="9.77734375" style="123" customWidth="1"/>
    <col min="9480" max="9480" width="7.44140625" style="123" customWidth="1"/>
    <col min="9481" max="9481" width="9.44140625" style="123" customWidth="1"/>
    <col min="9482" max="9482" width="13.77734375" style="123" customWidth="1"/>
    <col min="9483" max="9483" width="7.44140625" style="123" customWidth="1"/>
    <col min="9484" max="9484" width="9.6640625" style="123" customWidth="1"/>
    <col min="9485" max="9485" width="9.88671875" style="123" customWidth="1"/>
    <col min="9486" max="9486" width="8.33203125" style="123" customWidth="1"/>
    <col min="9487" max="9487" width="7.21875" style="123" customWidth="1"/>
    <col min="9488" max="9488" width="8.44140625" style="123" customWidth="1"/>
    <col min="9489" max="9489" width="10.109375" style="123" customWidth="1"/>
    <col min="9490" max="9728" width="8.88671875" style="123"/>
    <col min="9729" max="9729" width="10.21875" style="123" customWidth="1"/>
    <col min="9730" max="9730" width="20.109375" style="123" customWidth="1"/>
    <col min="9731" max="9731" width="26" style="123" customWidth="1"/>
    <col min="9732" max="9732" width="14.109375" style="123" customWidth="1"/>
    <col min="9733" max="9733" width="10.109375" style="123" customWidth="1"/>
    <col min="9734" max="9734" width="12.88671875" style="123" customWidth="1"/>
    <col min="9735" max="9735" width="9.77734375" style="123" customWidth="1"/>
    <col min="9736" max="9736" width="7.44140625" style="123" customWidth="1"/>
    <col min="9737" max="9737" width="9.44140625" style="123" customWidth="1"/>
    <col min="9738" max="9738" width="13.77734375" style="123" customWidth="1"/>
    <col min="9739" max="9739" width="7.44140625" style="123" customWidth="1"/>
    <col min="9740" max="9740" width="9.6640625" style="123" customWidth="1"/>
    <col min="9741" max="9741" width="9.88671875" style="123" customWidth="1"/>
    <col min="9742" max="9742" width="8.33203125" style="123" customWidth="1"/>
    <col min="9743" max="9743" width="7.21875" style="123" customWidth="1"/>
    <col min="9744" max="9744" width="8.44140625" style="123" customWidth="1"/>
    <col min="9745" max="9745" width="10.109375" style="123" customWidth="1"/>
    <col min="9746" max="9984" width="8.88671875" style="123"/>
    <col min="9985" max="9985" width="10.21875" style="123" customWidth="1"/>
    <col min="9986" max="9986" width="20.109375" style="123" customWidth="1"/>
    <col min="9987" max="9987" width="26" style="123" customWidth="1"/>
    <col min="9988" max="9988" width="14.109375" style="123" customWidth="1"/>
    <col min="9989" max="9989" width="10.109375" style="123" customWidth="1"/>
    <col min="9990" max="9990" width="12.88671875" style="123" customWidth="1"/>
    <col min="9991" max="9991" width="9.77734375" style="123" customWidth="1"/>
    <col min="9992" max="9992" width="7.44140625" style="123" customWidth="1"/>
    <col min="9993" max="9993" width="9.44140625" style="123" customWidth="1"/>
    <col min="9994" max="9994" width="13.77734375" style="123" customWidth="1"/>
    <col min="9995" max="9995" width="7.44140625" style="123" customWidth="1"/>
    <col min="9996" max="9996" width="9.6640625" style="123" customWidth="1"/>
    <col min="9997" max="9997" width="9.88671875" style="123" customWidth="1"/>
    <col min="9998" max="9998" width="8.33203125" style="123" customWidth="1"/>
    <col min="9999" max="9999" width="7.21875" style="123" customWidth="1"/>
    <col min="10000" max="10000" width="8.44140625" style="123" customWidth="1"/>
    <col min="10001" max="10001" width="10.109375" style="123" customWidth="1"/>
    <col min="10002" max="10240" width="8.88671875" style="123"/>
    <col min="10241" max="10241" width="10.21875" style="123" customWidth="1"/>
    <col min="10242" max="10242" width="20.109375" style="123" customWidth="1"/>
    <col min="10243" max="10243" width="26" style="123" customWidth="1"/>
    <col min="10244" max="10244" width="14.109375" style="123" customWidth="1"/>
    <col min="10245" max="10245" width="10.109375" style="123" customWidth="1"/>
    <col min="10246" max="10246" width="12.88671875" style="123" customWidth="1"/>
    <col min="10247" max="10247" width="9.77734375" style="123" customWidth="1"/>
    <col min="10248" max="10248" width="7.44140625" style="123" customWidth="1"/>
    <col min="10249" max="10249" width="9.44140625" style="123" customWidth="1"/>
    <col min="10250" max="10250" width="13.77734375" style="123" customWidth="1"/>
    <col min="10251" max="10251" width="7.44140625" style="123" customWidth="1"/>
    <col min="10252" max="10252" width="9.6640625" style="123" customWidth="1"/>
    <col min="10253" max="10253" width="9.88671875" style="123" customWidth="1"/>
    <col min="10254" max="10254" width="8.33203125" style="123" customWidth="1"/>
    <col min="10255" max="10255" width="7.21875" style="123" customWidth="1"/>
    <col min="10256" max="10256" width="8.44140625" style="123" customWidth="1"/>
    <col min="10257" max="10257" width="10.109375" style="123" customWidth="1"/>
    <col min="10258" max="10496" width="8.88671875" style="123"/>
    <col min="10497" max="10497" width="10.21875" style="123" customWidth="1"/>
    <col min="10498" max="10498" width="20.109375" style="123" customWidth="1"/>
    <col min="10499" max="10499" width="26" style="123" customWidth="1"/>
    <col min="10500" max="10500" width="14.109375" style="123" customWidth="1"/>
    <col min="10501" max="10501" width="10.109375" style="123" customWidth="1"/>
    <col min="10502" max="10502" width="12.88671875" style="123" customWidth="1"/>
    <col min="10503" max="10503" width="9.77734375" style="123" customWidth="1"/>
    <col min="10504" max="10504" width="7.44140625" style="123" customWidth="1"/>
    <col min="10505" max="10505" width="9.44140625" style="123" customWidth="1"/>
    <col min="10506" max="10506" width="13.77734375" style="123" customWidth="1"/>
    <col min="10507" max="10507" width="7.44140625" style="123" customWidth="1"/>
    <col min="10508" max="10508" width="9.6640625" style="123" customWidth="1"/>
    <col min="10509" max="10509" width="9.88671875" style="123" customWidth="1"/>
    <col min="10510" max="10510" width="8.33203125" style="123" customWidth="1"/>
    <col min="10511" max="10511" width="7.21875" style="123" customWidth="1"/>
    <col min="10512" max="10512" width="8.44140625" style="123" customWidth="1"/>
    <col min="10513" max="10513" width="10.109375" style="123" customWidth="1"/>
    <col min="10514" max="10752" width="8.88671875" style="123"/>
    <col min="10753" max="10753" width="10.21875" style="123" customWidth="1"/>
    <col min="10754" max="10754" width="20.109375" style="123" customWidth="1"/>
    <col min="10755" max="10755" width="26" style="123" customWidth="1"/>
    <col min="10756" max="10756" width="14.109375" style="123" customWidth="1"/>
    <col min="10757" max="10757" width="10.109375" style="123" customWidth="1"/>
    <col min="10758" max="10758" width="12.88671875" style="123" customWidth="1"/>
    <col min="10759" max="10759" width="9.77734375" style="123" customWidth="1"/>
    <col min="10760" max="10760" width="7.44140625" style="123" customWidth="1"/>
    <col min="10761" max="10761" width="9.44140625" style="123" customWidth="1"/>
    <col min="10762" max="10762" width="13.77734375" style="123" customWidth="1"/>
    <col min="10763" max="10763" width="7.44140625" style="123" customWidth="1"/>
    <col min="10764" max="10764" width="9.6640625" style="123" customWidth="1"/>
    <col min="10765" max="10765" width="9.88671875" style="123" customWidth="1"/>
    <col min="10766" max="10766" width="8.33203125" style="123" customWidth="1"/>
    <col min="10767" max="10767" width="7.21875" style="123" customWidth="1"/>
    <col min="10768" max="10768" width="8.44140625" style="123" customWidth="1"/>
    <col min="10769" max="10769" width="10.109375" style="123" customWidth="1"/>
    <col min="10770" max="11008" width="8.88671875" style="123"/>
    <col min="11009" max="11009" width="10.21875" style="123" customWidth="1"/>
    <col min="11010" max="11010" width="20.109375" style="123" customWidth="1"/>
    <col min="11011" max="11011" width="26" style="123" customWidth="1"/>
    <col min="11012" max="11012" width="14.109375" style="123" customWidth="1"/>
    <col min="11013" max="11013" width="10.109375" style="123" customWidth="1"/>
    <col min="11014" max="11014" width="12.88671875" style="123" customWidth="1"/>
    <col min="11015" max="11015" width="9.77734375" style="123" customWidth="1"/>
    <col min="11016" max="11016" width="7.44140625" style="123" customWidth="1"/>
    <col min="11017" max="11017" width="9.44140625" style="123" customWidth="1"/>
    <col min="11018" max="11018" width="13.77734375" style="123" customWidth="1"/>
    <col min="11019" max="11019" width="7.44140625" style="123" customWidth="1"/>
    <col min="11020" max="11020" width="9.6640625" style="123" customWidth="1"/>
    <col min="11021" max="11021" width="9.88671875" style="123" customWidth="1"/>
    <col min="11022" max="11022" width="8.33203125" style="123" customWidth="1"/>
    <col min="11023" max="11023" width="7.21875" style="123" customWidth="1"/>
    <col min="11024" max="11024" width="8.44140625" style="123" customWidth="1"/>
    <col min="11025" max="11025" width="10.109375" style="123" customWidth="1"/>
    <col min="11026" max="11264" width="8.88671875" style="123"/>
    <col min="11265" max="11265" width="10.21875" style="123" customWidth="1"/>
    <col min="11266" max="11266" width="20.109375" style="123" customWidth="1"/>
    <col min="11267" max="11267" width="26" style="123" customWidth="1"/>
    <col min="11268" max="11268" width="14.109375" style="123" customWidth="1"/>
    <col min="11269" max="11269" width="10.109375" style="123" customWidth="1"/>
    <col min="11270" max="11270" width="12.88671875" style="123" customWidth="1"/>
    <col min="11271" max="11271" width="9.77734375" style="123" customWidth="1"/>
    <col min="11272" max="11272" width="7.44140625" style="123" customWidth="1"/>
    <col min="11273" max="11273" width="9.44140625" style="123" customWidth="1"/>
    <col min="11274" max="11274" width="13.77734375" style="123" customWidth="1"/>
    <col min="11275" max="11275" width="7.44140625" style="123" customWidth="1"/>
    <col min="11276" max="11276" width="9.6640625" style="123" customWidth="1"/>
    <col min="11277" max="11277" width="9.88671875" style="123" customWidth="1"/>
    <col min="11278" max="11278" width="8.33203125" style="123" customWidth="1"/>
    <col min="11279" max="11279" width="7.21875" style="123" customWidth="1"/>
    <col min="11280" max="11280" width="8.44140625" style="123" customWidth="1"/>
    <col min="11281" max="11281" width="10.109375" style="123" customWidth="1"/>
    <col min="11282" max="11520" width="8.88671875" style="123"/>
    <col min="11521" max="11521" width="10.21875" style="123" customWidth="1"/>
    <col min="11522" max="11522" width="20.109375" style="123" customWidth="1"/>
    <col min="11523" max="11523" width="26" style="123" customWidth="1"/>
    <col min="11524" max="11524" width="14.109375" style="123" customWidth="1"/>
    <col min="11525" max="11525" width="10.109375" style="123" customWidth="1"/>
    <col min="11526" max="11526" width="12.88671875" style="123" customWidth="1"/>
    <col min="11527" max="11527" width="9.77734375" style="123" customWidth="1"/>
    <col min="11528" max="11528" width="7.44140625" style="123" customWidth="1"/>
    <col min="11529" max="11529" width="9.44140625" style="123" customWidth="1"/>
    <col min="11530" max="11530" width="13.77734375" style="123" customWidth="1"/>
    <col min="11531" max="11531" width="7.44140625" style="123" customWidth="1"/>
    <col min="11532" max="11532" width="9.6640625" style="123" customWidth="1"/>
    <col min="11533" max="11533" width="9.88671875" style="123" customWidth="1"/>
    <col min="11534" max="11534" width="8.33203125" style="123" customWidth="1"/>
    <col min="11535" max="11535" width="7.21875" style="123" customWidth="1"/>
    <col min="11536" max="11536" width="8.44140625" style="123" customWidth="1"/>
    <col min="11537" max="11537" width="10.109375" style="123" customWidth="1"/>
    <col min="11538" max="11776" width="8.88671875" style="123"/>
    <col min="11777" max="11777" width="10.21875" style="123" customWidth="1"/>
    <col min="11778" max="11778" width="20.109375" style="123" customWidth="1"/>
    <col min="11779" max="11779" width="26" style="123" customWidth="1"/>
    <col min="11780" max="11780" width="14.109375" style="123" customWidth="1"/>
    <col min="11781" max="11781" width="10.109375" style="123" customWidth="1"/>
    <col min="11782" max="11782" width="12.88671875" style="123" customWidth="1"/>
    <col min="11783" max="11783" width="9.77734375" style="123" customWidth="1"/>
    <col min="11784" max="11784" width="7.44140625" style="123" customWidth="1"/>
    <col min="11785" max="11785" width="9.44140625" style="123" customWidth="1"/>
    <col min="11786" max="11786" width="13.77734375" style="123" customWidth="1"/>
    <col min="11787" max="11787" width="7.44140625" style="123" customWidth="1"/>
    <col min="11788" max="11788" width="9.6640625" style="123" customWidth="1"/>
    <col min="11789" max="11789" width="9.88671875" style="123" customWidth="1"/>
    <col min="11790" max="11790" width="8.33203125" style="123" customWidth="1"/>
    <col min="11791" max="11791" width="7.21875" style="123" customWidth="1"/>
    <col min="11792" max="11792" width="8.44140625" style="123" customWidth="1"/>
    <col min="11793" max="11793" width="10.109375" style="123" customWidth="1"/>
    <col min="11794" max="12032" width="8.88671875" style="123"/>
    <col min="12033" max="12033" width="10.21875" style="123" customWidth="1"/>
    <col min="12034" max="12034" width="20.109375" style="123" customWidth="1"/>
    <col min="12035" max="12035" width="26" style="123" customWidth="1"/>
    <col min="12036" max="12036" width="14.109375" style="123" customWidth="1"/>
    <col min="12037" max="12037" width="10.109375" style="123" customWidth="1"/>
    <col min="12038" max="12038" width="12.88671875" style="123" customWidth="1"/>
    <col min="12039" max="12039" width="9.77734375" style="123" customWidth="1"/>
    <col min="12040" max="12040" width="7.44140625" style="123" customWidth="1"/>
    <col min="12041" max="12041" width="9.44140625" style="123" customWidth="1"/>
    <col min="12042" max="12042" width="13.77734375" style="123" customWidth="1"/>
    <col min="12043" max="12043" width="7.44140625" style="123" customWidth="1"/>
    <col min="12044" max="12044" width="9.6640625" style="123" customWidth="1"/>
    <col min="12045" max="12045" width="9.88671875" style="123" customWidth="1"/>
    <col min="12046" max="12046" width="8.33203125" style="123" customWidth="1"/>
    <col min="12047" max="12047" width="7.21875" style="123" customWidth="1"/>
    <col min="12048" max="12048" width="8.44140625" style="123" customWidth="1"/>
    <col min="12049" max="12049" width="10.109375" style="123" customWidth="1"/>
    <col min="12050" max="12288" width="8.88671875" style="123"/>
    <col min="12289" max="12289" width="10.21875" style="123" customWidth="1"/>
    <col min="12290" max="12290" width="20.109375" style="123" customWidth="1"/>
    <col min="12291" max="12291" width="26" style="123" customWidth="1"/>
    <col min="12292" max="12292" width="14.109375" style="123" customWidth="1"/>
    <col min="12293" max="12293" width="10.109375" style="123" customWidth="1"/>
    <col min="12294" max="12294" width="12.88671875" style="123" customWidth="1"/>
    <col min="12295" max="12295" width="9.77734375" style="123" customWidth="1"/>
    <col min="12296" max="12296" width="7.44140625" style="123" customWidth="1"/>
    <col min="12297" max="12297" width="9.44140625" style="123" customWidth="1"/>
    <col min="12298" max="12298" width="13.77734375" style="123" customWidth="1"/>
    <col min="12299" max="12299" width="7.44140625" style="123" customWidth="1"/>
    <col min="12300" max="12300" width="9.6640625" style="123" customWidth="1"/>
    <col min="12301" max="12301" width="9.88671875" style="123" customWidth="1"/>
    <col min="12302" max="12302" width="8.33203125" style="123" customWidth="1"/>
    <col min="12303" max="12303" width="7.21875" style="123" customWidth="1"/>
    <col min="12304" max="12304" width="8.44140625" style="123" customWidth="1"/>
    <col min="12305" max="12305" width="10.109375" style="123" customWidth="1"/>
    <col min="12306" max="12544" width="8.88671875" style="123"/>
    <col min="12545" max="12545" width="10.21875" style="123" customWidth="1"/>
    <col min="12546" max="12546" width="20.109375" style="123" customWidth="1"/>
    <col min="12547" max="12547" width="26" style="123" customWidth="1"/>
    <col min="12548" max="12548" width="14.109375" style="123" customWidth="1"/>
    <col min="12549" max="12549" width="10.109375" style="123" customWidth="1"/>
    <col min="12550" max="12550" width="12.88671875" style="123" customWidth="1"/>
    <col min="12551" max="12551" width="9.77734375" style="123" customWidth="1"/>
    <col min="12552" max="12552" width="7.44140625" style="123" customWidth="1"/>
    <col min="12553" max="12553" width="9.44140625" style="123" customWidth="1"/>
    <col min="12554" max="12554" width="13.77734375" style="123" customWidth="1"/>
    <col min="12555" max="12555" width="7.44140625" style="123" customWidth="1"/>
    <col min="12556" max="12556" width="9.6640625" style="123" customWidth="1"/>
    <col min="12557" max="12557" width="9.88671875" style="123" customWidth="1"/>
    <col min="12558" max="12558" width="8.33203125" style="123" customWidth="1"/>
    <col min="12559" max="12559" width="7.21875" style="123" customWidth="1"/>
    <col min="12560" max="12560" width="8.44140625" style="123" customWidth="1"/>
    <col min="12561" max="12561" width="10.109375" style="123" customWidth="1"/>
    <col min="12562" max="12800" width="8.88671875" style="123"/>
    <col min="12801" max="12801" width="10.21875" style="123" customWidth="1"/>
    <col min="12802" max="12802" width="20.109375" style="123" customWidth="1"/>
    <col min="12803" max="12803" width="26" style="123" customWidth="1"/>
    <col min="12804" max="12804" width="14.109375" style="123" customWidth="1"/>
    <col min="12805" max="12805" width="10.109375" style="123" customWidth="1"/>
    <col min="12806" max="12806" width="12.88671875" style="123" customWidth="1"/>
    <col min="12807" max="12807" width="9.77734375" style="123" customWidth="1"/>
    <col min="12808" max="12808" width="7.44140625" style="123" customWidth="1"/>
    <col min="12809" max="12809" width="9.44140625" style="123" customWidth="1"/>
    <col min="12810" max="12810" width="13.77734375" style="123" customWidth="1"/>
    <col min="12811" max="12811" width="7.44140625" style="123" customWidth="1"/>
    <col min="12812" max="12812" width="9.6640625" style="123" customWidth="1"/>
    <col min="12813" max="12813" width="9.88671875" style="123" customWidth="1"/>
    <col min="12814" max="12814" width="8.33203125" style="123" customWidth="1"/>
    <col min="12815" max="12815" width="7.21875" style="123" customWidth="1"/>
    <col min="12816" max="12816" width="8.44140625" style="123" customWidth="1"/>
    <col min="12817" max="12817" width="10.109375" style="123" customWidth="1"/>
    <col min="12818" max="13056" width="8.88671875" style="123"/>
    <col min="13057" max="13057" width="10.21875" style="123" customWidth="1"/>
    <col min="13058" max="13058" width="20.109375" style="123" customWidth="1"/>
    <col min="13059" max="13059" width="26" style="123" customWidth="1"/>
    <col min="13060" max="13060" width="14.109375" style="123" customWidth="1"/>
    <col min="13061" max="13061" width="10.109375" style="123" customWidth="1"/>
    <col min="13062" max="13062" width="12.88671875" style="123" customWidth="1"/>
    <col min="13063" max="13063" width="9.77734375" style="123" customWidth="1"/>
    <col min="13064" max="13064" width="7.44140625" style="123" customWidth="1"/>
    <col min="13065" max="13065" width="9.44140625" style="123" customWidth="1"/>
    <col min="13066" max="13066" width="13.77734375" style="123" customWidth="1"/>
    <col min="13067" max="13067" width="7.44140625" style="123" customWidth="1"/>
    <col min="13068" max="13068" width="9.6640625" style="123" customWidth="1"/>
    <col min="13069" max="13069" width="9.88671875" style="123" customWidth="1"/>
    <col min="13070" max="13070" width="8.33203125" style="123" customWidth="1"/>
    <col min="13071" max="13071" width="7.21875" style="123" customWidth="1"/>
    <col min="13072" max="13072" width="8.44140625" style="123" customWidth="1"/>
    <col min="13073" max="13073" width="10.109375" style="123" customWidth="1"/>
    <col min="13074" max="13312" width="8.88671875" style="123"/>
    <col min="13313" max="13313" width="10.21875" style="123" customWidth="1"/>
    <col min="13314" max="13314" width="20.109375" style="123" customWidth="1"/>
    <col min="13315" max="13315" width="26" style="123" customWidth="1"/>
    <col min="13316" max="13316" width="14.109375" style="123" customWidth="1"/>
    <col min="13317" max="13317" width="10.109375" style="123" customWidth="1"/>
    <col min="13318" max="13318" width="12.88671875" style="123" customWidth="1"/>
    <col min="13319" max="13319" width="9.77734375" style="123" customWidth="1"/>
    <col min="13320" max="13320" width="7.44140625" style="123" customWidth="1"/>
    <col min="13321" max="13321" width="9.44140625" style="123" customWidth="1"/>
    <col min="13322" max="13322" width="13.77734375" style="123" customWidth="1"/>
    <col min="13323" max="13323" width="7.44140625" style="123" customWidth="1"/>
    <col min="13324" max="13324" width="9.6640625" style="123" customWidth="1"/>
    <col min="13325" max="13325" width="9.88671875" style="123" customWidth="1"/>
    <col min="13326" max="13326" width="8.33203125" style="123" customWidth="1"/>
    <col min="13327" max="13327" width="7.21875" style="123" customWidth="1"/>
    <col min="13328" max="13328" width="8.44140625" style="123" customWidth="1"/>
    <col min="13329" max="13329" width="10.109375" style="123" customWidth="1"/>
    <col min="13330" max="13568" width="8.88671875" style="123"/>
    <col min="13569" max="13569" width="10.21875" style="123" customWidth="1"/>
    <col min="13570" max="13570" width="20.109375" style="123" customWidth="1"/>
    <col min="13571" max="13571" width="26" style="123" customWidth="1"/>
    <col min="13572" max="13572" width="14.109375" style="123" customWidth="1"/>
    <col min="13573" max="13573" width="10.109375" style="123" customWidth="1"/>
    <col min="13574" max="13574" width="12.88671875" style="123" customWidth="1"/>
    <col min="13575" max="13575" width="9.77734375" style="123" customWidth="1"/>
    <col min="13576" max="13576" width="7.44140625" style="123" customWidth="1"/>
    <col min="13577" max="13577" width="9.44140625" style="123" customWidth="1"/>
    <col min="13578" max="13578" width="13.77734375" style="123" customWidth="1"/>
    <col min="13579" max="13579" width="7.44140625" style="123" customWidth="1"/>
    <col min="13580" max="13580" width="9.6640625" style="123" customWidth="1"/>
    <col min="13581" max="13581" width="9.88671875" style="123" customWidth="1"/>
    <col min="13582" max="13582" width="8.33203125" style="123" customWidth="1"/>
    <col min="13583" max="13583" width="7.21875" style="123" customWidth="1"/>
    <col min="13584" max="13584" width="8.44140625" style="123" customWidth="1"/>
    <col min="13585" max="13585" width="10.109375" style="123" customWidth="1"/>
    <col min="13586" max="13824" width="8.88671875" style="123"/>
    <col min="13825" max="13825" width="10.21875" style="123" customWidth="1"/>
    <col min="13826" max="13826" width="20.109375" style="123" customWidth="1"/>
    <col min="13827" max="13827" width="26" style="123" customWidth="1"/>
    <col min="13828" max="13828" width="14.109375" style="123" customWidth="1"/>
    <col min="13829" max="13829" width="10.109375" style="123" customWidth="1"/>
    <col min="13830" max="13830" width="12.88671875" style="123" customWidth="1"/>
    <col min="13831" max="13831" width="9.77734375" style="123" customWidth="1"/>
    <col min="13832" max="13832" width="7.44140625" style="123" customWidth="1"/>
    <col min="13833" max="13833" width="9.44140625" style="123" customWidth="1"/>
    <col min="13834" max="13834" width="13.77734375" style="123" customWidth="1"/>
    <col min="13835" max="13835" width="7.44140625" style="123" customWidth="1"/>
    <col min="13836" max="13836" width="9.6640625" style="123" customWidth="1"/>
    <col min="13837" max="13837" width="9.88671875" style="123" customWidth="1"/>
    <col min="13838" max="13838" width="8.33203125" style="123" customWidth="1"/>
    <col min="13839" max="13839" width="7.21875" style="123" customWidth="1"/>
    <col min="13840" max="13840" width="8.44140625" style="123" customWidth="1"/>
    <col min="13841" max="13841" width="10.109375" style="123" customWidth="1"/>
    <col min="13842" max="14080" width="8.88671875" style="123"/>
    <col min="14081" max="14081" width="10.21875" style="123" customWidth="1"/>
    <col min="14082" max="14082" width="20.109375" style="123" customWidth="1"/>
    <col min="14083" max="14083" width="26" style="123" customWidth="1"/>
    <col min="14084" max="14084" width="14.109375" style="123" customWidth="1"/>
    <col min="14085" max="14085" width="10.109375" style="123" customWidth="1"/>
    <col min="14086" max="14086" width="12.88671875" style="123" customWidth="1"/>
    <col min="14087" max="14087" width="9.77734375" style="123" customWidth="1"/>
    <col min="14088" max="14088" width="7.44140625" style="123" customWidth="1"/>
    <col min="14089" max="14089" width="9.44140625" style="123" customWidth="1"/>
    <col min="14090" max="14090" width="13.77734375" style="123" customWidth="1"/>
    <col min="14091" max="14091" width="7.44140625" style="123" customWidth="1"/>
    <col min="14092" max="14092" width="9.6640625" style="123" customWidth="1"/>
    <col min="14093" max="14093" width="9.88671875" style="123" customWidth="1"/>
    <col min="14094" max="14094" width="8.33203125" style="123" customWidth="1"/>
    <col min="14095" max="14095" width="7.21875" style="123" customWidth="1"/>
    <col min="14096" max="14096" width="8.44140625" style="123" customWidth="1"/>
    <col min="14097" max="14097" width="10.109375" style="123" customWidth="1"/>
    <col min="14098" max="14336" width="8.88671875" style="123"/>
    <col min="14337" max="14337" width="10.21875" style="123" customWidth="1"/>
    <col min="14338" max="14338" width="20.109375" style="123" customWidth="1"/>
    <col min="14339" max="14339" width="26" style="123" customWidth="1"/>
    <col min="14340" max="14340" width="14.109375" style="123" customWidth="1"/>
    <col min="14341" max="14341" width="10.109375" style="123" customWidth="1"/>
    <col min="14342" max="14342" width="12.88671875" style="123" customWidth="1"/>
    <col min="14343" max="14343" width="9.77734375" style="123" customWidth="1"/>
    <col min="14344" max="14344" width="7.44140625" style="123" customWidth="1"/>
    <col min="14345" max="14345" width="9.44140625" style="123" customWidth="1"/>
    <col min="14346" max="14346" width="13.77734375" style="123" customWidth="1"/>
    <col min="14347" max="14347" width="7.44140625" style="123" customWidth="1"/>
    <col min="14348" max="14348" width="9.6640625" style="123" customWidth="1"/>
    <col min="14349" max="14349" width="9.88671875" style="123" customWidth="1"/>
    <col min="14350" max="14350" width="8.33203125" style="123" customWidth="1"/>
    <col min="14351" max="14351" width="7.21875" style="123" customWidth="1"/>
    <col min="14352" max="14352" width="8.44140625" style="123" customWidth="1"/>
    <col min="14353" max="14353" width="10.109375" style="123" customWidth="1"/>
    <col min="14354" max="14592" width="8.88671875" style="123"/>
    <col min="14593" max="14593" width="10.21875" style="123" customWidth="1"/>
    <col min="14594" max="14594" width="20.109375" style="123" customWidth="1"/>
    <col min="14595" max="14595" width="26" style="123" customWidth="1"/>
    <col min="14596" max="14596" width="14.109375" style="123" customWidth="1"/>
    <col min="14597" max="14597" width="10.109375" style="123" customWidth="1"/>
    <col min="14598" max="14598" width="12.88671875" style="123" customWidth="1"/>
    <col min="14599" max="14599" width="9.77734375" style="123" customWidth="1"/>
    <col min="14600" max="14600" width="7.44140625" style="123" customWidth="1"/>
    <col min="14601" max="14601" width="9.44140625" style="123" customWidth="1"/>
    <col min="14602" max="14602" width="13.77734375" style="123" customWidth="1"/>
    <col min="14603" max="14603" width="7.44140625" style="123" customWidth="1"/>
    <col min="14604" max="14604" width="9.6640625" style="123" customWidth="1"/>
    <col min="14605" max="14605" width="9.88671875" style="123" customWidth="1"/>
    <col min="14606" max="14606" width="8.33203125" style="123" customWidth="1"/>
    <col min="14607" max="14607" width="7.21875" style="123" customWidth="1"/>
    <col min="14608" max="14608" width="8.44140625" style="123" customWidth="1"/>
    <col min="14609" max="14609" width="10.109375" style="123" customWidth="1"/>
    <col min="14610" max="14848" width="8.88671875" style="123"/>
    <col min="14849" max="14849" width="10.21875" style="123" customWidth="1"/>
    <col min="14850" max="14850" width="20.109375" style="123" customWidth="1"/>
    <col min="14851" max="14851" width="26" style="123" customWidth="1"/>
    <col min="14852" max="14852" width="14.109375" style="123" customWidth="1"/>
    <col min="14853" max="14853" width="10.109375" style="123" customWidth="1"/>
    <col min="14854" max="14854" width="12.88671875" style="123" customWidth="1"/>
    <col min="14855" max="14855" width="9.77734375" style="123" customWidth="1"/>
    <col min="14856" max="14856" width="7.44140625" style="123" customWidth="1"/>
    <col min="14857" max="14857" width="9.44140625" style="123" customWidth="1"/>
    <col min="14858" max="14858" width="13.77734375" style="123" customWidth="1"/>
    <col min="14859" max="14859" width="7.44140625" style="123" customWidth="1"/>
    <col min="14860" max="14860" width="9.6640625" style="123" customWidth="1"/>
    <col min="14861" max="14861" width="9.88671875" style="123" customWidth="1"/>
    <col min="14862" max="14862" width="8.33203125" style="123" customWidth="1"/>
    <col min="14863" max="14863" width="7.21875" style="123" customWidth="1"/>
    <col min="14864" max="14864" width="8.44140625" style="123" customWidth="1"/>
    <col min="14865" max="14865" width="10.109375" style="123" customWidth="1"/>
    <col min="14866" max="15104" width="8.88671875" style="123"/>
    <col min="15105" max="15105" width="10.21875" style="123" customWidth="1"/>
    <col min="15106" max="15106" width="20.109375" style="123" customWidth="1"/>
    <col min="15107" max="15107" width="26" style="123" customWidth="1"/>
    <col min="15108" max="15108" width="14.109375" style="123" customWidth="1"/>
    <col min="15109" max="15109" width="10.109375" style="123" customWidth="1"/>
    <col min="15110" max="15110" width="12.88671875" style="123" customWidth="1"/>
    <col min="15111" max="15111" width="9.77734375" style="123" customWidth="1"/>
    <col min="15112" max="15112" width="7.44140625" style="123" customWidth="1"/>
    <col min="15113" max="15113" width="9.44140625" style="123" customWidth="1"/>
    <col min="15114" max="15114" width="13.77734375" style="123" customWidth="1"/>
    <col min="15115" max="15115" width="7.44140625" style="123" customWidth="1"/>
    <col min="15116" max="15116" width="9.6640625" style="123" customWidth="1"/>
    <col min="15117" max="15117" width="9.88671875" style="123" customWidth="1"/>
    <col min="15118" max="15118" width="8.33203125" style="123" customWidth="1"/>
    <col min="15119" max="15119" width="7.21875" style="123" customWidth="1"/>
    <col min="15120" max="15120" width="8.44140625" style="123" customWidth="1"/>
    <col min="15121" max="15121" width="10.109375" style="123" customWidth="1"/>
    <col min="15122" max="15360" width="8.88671875" style="123"/>
    <col min="15361" max="15361" width="10.21875" style="123" customWidth="1"/>
    <col min="15362" max="15362" width="20.109375" style="123" customWidth="1"/>
    <col min="15363" max="15363" width="26" style="123" customWidth="1"/>
    <col min="15364" max="15364" width="14.109375" style="123" customWidth="1"/>
    <col min="15365" max="15365" width="10.109375" style="123" customWidth="1"/>
    <col min="15366" max="15366" width="12.88671875" style="123" customWidth="1"/>
    <col min="15367" max="15367" width="9.77734375" style="123" customWidth="1"/>
    <col min="15368" max="15368" width="7.44140625" style="123" customWidth="1"/>
    <col min="15369" max="15369" width="9.44140625" style="123" customWidth="1"/>
    <col min="15370" max="15370" width="13.77734375" style="123" customWidth="1"/>
    <col min="15371" max="15371" width="7.44140625" style="123" customWidth="1"/>
    <col min="15372" max="15372" width="9.6640625" style="123" customWidth="1"/>
    <col min="15373" max="15373" width="9.88671875" style="123" customWidth="1"/>
    <col min="15374" max="15374" width="8.33203125" style="123" customWidth="1"/>
    <col min="15375" max="15375" width="7.21875" style="123" customWidth="1"/>
    <col min="15376" max="15376" width="8.44140625" style="123" customWidth="1"/>
    <col min="15377" max="15377" width="10.109375" style="123" customWidth="1"/>
    <col min="15378" max="15616" width="8.88671875" style="123"/>
    <col min="15617" max="15617" width="10.21875" style="123" customWidth="1"/>
    <col min="15618" max="15618" width="20.109375" style="123" customWidth="1"/>
    <col min="15619" max="15619" width="26" style="123" customWidth="1"/>
    <col min="15620" max="15620" width="14.109375" style="123" customWidth="1"/>
    <col min="15621" max="15621" width="10.109375" style="123" customWidth="1"/>
    <col min="15622" max="15622" width="12.88671875" style="123" customWidth="1"/>
    <col min="15623" max="15623" width="9.77734375" style="123" customWidth="1"/>
    <col min="15624" max="15624" width="7.44140625" style="123" customWidth="1"/>
    <col min="15625" max="15625" width="9.44140625" style="123" customWidth="1"/>
    <col min="15626" max="15626" width="13.77734375" style="123" customWidth="1"/>
    <col min="15627" max="15627" width="7.44140625" style="123" customWidth="1"/>
    <col min="15628" max="15628" width="9.6640625" style="123" customWidth="1"/>
    <col min="15629" max="15629" width="9.88671875" style="123" customWidth="1"/>
    <col min="15630" max="15630" width="8.33203125" style="123" customWidth="1"/>
    <col min="15631" max="15631" width="7.21875" style="123" customWidth="1"/>
    <col min="15632" max="15632" width="8.44140625" style="123" customWidth="1"/>
    <col min="15633" max="15633" width="10.109375" style="123" customWidth="1"/>
    <col min="15634" max="15872" width="8.88671875" style="123"/>
    <col min="15873" max="15873" width="10.21875" style="123" customWidth="1"/>
    <col min="15874" max="15874" width="20.109375" style="123" customWidth="1"/>
    <col min="15875" max="15875" width="26" style="123" customWidth="1"/>
    <col min="15876" max="15876" width="14.109375" style="123" customWidth="1"/>
    <col min="15877" max="15877" width="10.109375" style="123" customWidth="1"/>
    <col min="15878" max="15878" width="12.88671875" style="123" customWidth="1"/>
    <col min="15879" max="15879" width="9.77734375" style="123" customWidth="1"/>
    <col min="15880" max="15880" width="7.44140625" style="123" customWidth="1"/>
    <col min="15881" max="15881" width="9.44140625" style="123" customWidth="1"/>
    <col min="15882" max="15882" width="13.77734375" style="123" customWidth="1"/>
    <col min="15883" max="15883" width="7.44140625" style="123" customWidth="1"/>
    <col min="15884" max="15884" width="9.6640625" style="123" customWidth="1"/>
    <col min="15885" max="15885" width="9.88671875" style="123" customWidth="1"/>
    <col min="15886" max="15886" width="8.33203125" style="123" customWidth="1"/>
    <col min="15887" max="15887" width="7.21875" style="123" customWidth="1"/>
    <col min="15888" max="15888" width="8.44140625" style="123" customWidth="1"/>
    <col min="15889" max="15889" width="10.109375" style="123" customWidth="1"/>
    <col min="15890" max="16128" width="8.88671875" style="123"/>
    <col min="16129" max="16129" width="10.21875" style="123" customWidth="1"/>
    <col min="16130" max="16130" width="20.109375" style="123" customWidth="1"/>
    <col min="16131" max="16131" width="26" style="123" customWidth="1"/>
    <col min="16132" max="16132" width="14.109375" style="123" customWidth="1"/>
    <col min="16133" max="16133" width="10.109375" style="123" customWidth="1"/>
    <col min="16134" max="16134" width="12.88671875" style="123" customWidth="1"/>
    <col min="16135" max="16135" width="9.77734375" style="123" customWidth="1"/>
    <col min="16136" max="16136" width="7.44140625" style="123" customWidth="1"/>
    <col min="16137" max="16137" width="9.44140625" style="123" customWidth="1"/>
    <col min="16138" max="16138" width="13.77734375" style="123" customWidth="1"/>
    <col min="16139" max="16139" width="7.44140625" style="123" customWidth="1"/>
    <col min="16140" max="16140" width="9.6640625" style="123" customWidth="1"/>
    <col min="16141" max="16141" width="9.88671875" style="123" customWidth="1"/>
    <col min="16142" max="16142" width="8.33203125" style="123" customWidth="1"/>
    <col min="16143" max="16143" width="7.21875" style="123" customWidth="1"/>
    <col min="16144" max="16144" width="8.44140625" style="123" customWidth="1"/>
    <col min="16145" max="16145" width="10.109375" style="123" customWidth="1"/>
    <col min="16146" max="16384" width="8.88671875" style="123"/>
  </cols>
  <sheetData>
    <row r="1" spans="1:18" ht="24" customHeight="1" x14ac:dyDescent="0.3">
      <c r="A1" s="122" t="s">
        <v>156</v>
      </c>
    </row>
    <row r="2" spans="1:18" ht="24" customHeight="1" x14ac:dyDescent="0.3">
      <c r="A2" s="124" t="s">
        <v>157</v>
      </c>
      <c r="C2" s="410" t="e">
        <f>#REF!</f>
        <v>#REF!</v>
      </c>
      <c r="D2" s="410"/>
      <c r="E2" s="410"/>
      <c r="F2" s="410"/>
      <c r="G2" s="410"/>
    </row>
    <row r="3" spans="1:18" ht="24" customHeight="1" x14ac:dyDescent="0.3">
      <c r="A3" s="124" t="s">
        <v>158</v>
      </c>
      <c r="C3" s="125" t="s">
        <v>804</v>
      </c>
    </row>
    <row r="4" spans="1:18" ht="24" customHeight="1" x14ac:dyDescent="0.3">
      <c r="A4" s="124" t="s">
        <v>159</v>
      </c>
      <c r="C4" s="125" t="s">
        <v>740</v>
      </c>
    </row>
    <row r="5" spans="1:18" ht="24" customHeight="1" x14ac:dyDescent="0.3">
      <c r="A5" s="124" t="s">
        <v>160</v>
      </c>
      <c r="C5" s="125" t="s">
        <v>739</v>
      </c>
    </row>
    <row r="6" spans="1:18" ht="9.75" customHeight="1" x14ac:dyDescent="0.3">
      <c r="A6" s="126"/>
    </row>
    <row r="7" spans="1:18" ht="17.25" customHeight="1" x14ac:dyDescent="0.3">
      <c r="A7" s="1076" t="s">
        <v>238</v>
      </c>
      <c r="B7" s="1077"/>
      <c r="C7" s="1077"/>
    </row>
    <row r="8" spans="1:18" ht="23.25" customHeight="1" x14ac:dyDescent="0.3">
      <c r="A8" s="127" t="s">
        <v>200</v>
      </c>
      <c r="D8" s="437" t="s">
        <v>239</v>
      </c>
      <c r="E8" s="438" t="e">
        <f>#REF!</f>
        <v>#REF!</v>
      </c>
      <c r="F8" s="437" t="s">
        <v>331</v>
      </c>
      <c r="G8" s="439" t="e">
        <f>#REF!*0</f>
        <v>#REF!</v>
      </c>
      <c r="I8" s="439"/>
      <c r="J8" s="123" t="s">
        <v>240</v>
      </c>
    </row>
    <row r="9" spans="1:18" s="105" customFormat="1" ht="23.25" customHeight="1" x14ac:dyDescent="0.2">
      <c r="A9" s="1078" t="s">
        <v>138</v>
      </c>
      <c r="B9" s="1078" t="s">
        <v>169</v>
      </c>
      <c r="C9" s="1078" t="s">
        <v>170</v>
      </c>
      <c r="D9" s="1086" t="s">
        <v>171</v>
      </c>
      <c r="E9" s="1087"/>
      <c r="F9" s="1088"/>
      <c r="G9" s="1088"/>
      <c r="H9" s="1089"/>
      <c r="I9" s="1111" t="s">
        <v>172</v>
      </c>
      <c r="J9" s="1112"/>
      <c r="K9" s="1112"/>
      <c r="L9" s="1113"/>
      <c r="M9" s="1082" t="s">
        <v>201</v>
      </c>
      <c r="N9" s="1083"/>
      <c r="O9" s="1082" t="s">
        <v>173</v>
      </c>
      <c r="P9" s="1083"/>
      <c r="Q9" s="1107" t="s">
        <v>241</v>
      </c>
    </row>
    <row r="10" spans="1:18" s="131" customFormat="1" ht="114" customHeight="1" x14ac:dyDescent="0.2">
      <c r="A10" s="1078"/>
      <c r="B10" s="1078"/>
      <c r="C10" s="1078"/>
      <c r="D10" s="1082" t="s">
        <v>174</v>
      </c>
      <c r="E10" s="1083"/>
      <c r="F10" s="128" t="s">
        <v>175</v>
      </c>
      <c r="G10" s="128" t="s">
        <v>176</v>
      </c>
      <c r="H10" s="129" t="s">
        <v>177</v>
      </c>
      <c r="I10" s="130" t="s">
        <v>174</v>
      </c>
      <c r="J10" s="130" t="s">
        <v>178</v>
      </c>
      <c r="K10" s="128" t="s">
        <v>176</v>
      </c>
      <c r="L10" s="129" t="s">
        <v>322</v>
      </c>
      <c r="M10" s="1084"/>
      <c r="N10" s="1085"/>
      <c r="O10" s="1084"/>
      <c r="P10" s="1085"/>
      <c r="Q10" s="1108"/>
    </row>
    <row r="11" spans="1:18" s="131" customFormat="1" ht="64.5" customHeight="1" x14ac:dyDescent="0.2">
      <c r="A11" s="1078"/>
      <c r="B11" s="1078"/>
      <c r="C11" s="1078"/>
      <c r="D11" s="128" t="s">
        <v>179</v>
      </c>
      <c r="E11" s="128" t="s">
        <v>180</v>
      </c>
      <c r="F11" s="128" t="s">
        <v>180</v>
      </c>
      <c r="G11" s="132"/>
      <c r="H11" s="133">
        <v>0</v>
      </c>
      <c r="I11" s="130" t="s">
        <v>181</v>
      </c>
      <c r="J11" s="130" t="s">
        <v>181</v>
      </c>
      <c r="K11" s="134">
        <v>0</v>
      </c>
      <c r="L11" s="133">
        <f>-10%*0</f>
        <v>0</v>
      </c>
      <c r="M11" s="128" t="s">
        <v>202</v>
      </c>
      <c r="N11" s="128" t="s">
        <v>203</v>
      </c>
      <c r="O11" s="128" t="s">
        <v>204</v>
      </c>
      <c r="P11" s="128" t="s">
        <v>203</v>
      </c>
      <c r="Q11" s="1109"/>
    </row>
    <row r="12" spans="1:18" ht="36" customHeight="1" x14ac:dyDescent="0.3">
      <c r="A12" s="135" t="s">
        <v>242</v>
      </c>
      <c r="B12" s="136"/>
      <c r="C12" s="136"/>
      <c r="D12" s="136"/>
      <c r="E12" s="136"/>
      <c r="F12" s="136"/>
      <c r="G12" s="136"/>
      <c r="H12" s="136"/>
      <c r="I12" s="136"/>
      <c r="J12" s="136"/>
      <c r="K12" s="136"/>
      <c r="L12" s="136"/>
      <c r="M12" s="136"/>
      <c r="N12" s="136"/>
      <c r="O12" s="136"/>
      <c r="P12" s="136"/>
      <c r="Q12" s="137"/>
    </row>
    <row r="13" spans="1:18" s="105" customFormat="1" ht="33.75" customHeight="1" x14ac:dyDescent="0.2">
      <c r="A13" s="138" t="s">
        <v>34</v>
      </c>
      <c r="B13" s="799" t="s">
        <v>773</v>
      </c>
      <c r="C13" s="800" t="s">
        <v>767</v>
      </c>
      <c r="D13" s="802"/>
      <c r="E13" s="803" t="e">
        <f>D13*E8/10^7</f>
        <v>#REF!</v>
      </c>
      <c r="F13" s="804" t="e">
        <f>E13</f>
        <v>#REF!</v>
      </c>
      <c r="G13" s="805"/>
      <c r="H13" s="806" t="e">
        <f>F13*$H$11</f>
        <v>#REF!</v>
      </c>
      <c r="I13" s="807" t="e">
        <f>#REF!/100</f>
        <v>#REF!</v>
      </c>
      <c r="J13" s="807" t="e">
        <f>#REF!/100</f>
        <v>#REF!</v>
      </c>
      <c r="K13" s="805" t="e">
        <f>J13*$K$11</f>
        <v>#REF!</v>
      </c>
      <c r="L13" s="806" t="e">
        <f>-J13*$L$11*0</f>
        <v>#REF!</v>
      </c>
      <c r="M13" s="808"/>
      <c r="N13" s="809"/>
      <c r="O13" s="806" t="e">
        <f>F13+G13+H13+M13</f>
        <v>#REF!</v>
      </c>
      <c r="P13" s="806" t="e">
        <f>J13+K13+L13+N13</f>
        <v>#REF!</v>
      </c>
      <c r="Q13" s="806" t="e">
        <f t="shared" ref="Q13" si="0">O13+P13</f>
        <v>#REF!</v>
      </c>
    </row>
    <row r="14" spans="1:18" s="105" customFormat="1" ht="35.25" customHeight="1" x14ac:dyDescent="0.2">
      <c r="A14" s="405" t="s">
        <v>17</v>
      </c>
      <c r="B14" s="799" t="s">
        <v>772</v>
      </c>
      <c r="C14" s="800" t="s">
        <v>768</v>
      </c>
      <c r="D14" s="810"/>
      <c r="E14" s="803"/>
      <c r="F14" s="804"/>
      <c r="G14" s="805"/>
      <c r="H14" s="806"/>
      <c r="I14" s="807" t="e">
        <f>#REF!/(100*0.9)</f>
        <v>#REF!</v>
      </c>
      <c r="J14" s="807" t="e">
        <f>I14*0.9</f>
        <v>#REF!</v>
      </c>
      <c r="K14" s="805" t="e">
        <f t="shared" ref="K14:K15" si="1">J14*$K$11</f>
        <v>#REF!</v>
      </c>
      <c r="L14" s="806" t="e">
        <f t="shared" ref="L14:L15" si="2">-J14*$L$11*0</f>
        <v>#REF!</v>
      </c>
      <c r="M14" s="808"/>
      <c r="N14" s="809"/>
      <c r="O14" s="806">
        <f t="shared" ref="O14" si="3">F14+G14+H14+M14</f>
        <v>0</v>
      </c>
      <c r="P14" s="806" t="e">
        <f t="shared" ref="P14" si="4">J14+K14+L14+N14</f>
        <v>#REF!</v>
      </c>
      <c r="Q14" s="806" t="e">
        <f>P14</f>
        <v>#REF!</v>
      </c>
    </row>
    <row r="15" spans="1:18" s="105" customFormat="1" ht="46.5" customHeight="1" x14ac:dyDescent="0.2">
      <c r="A15" s="405" t="s">
        <v>18</v>
      </c>
      <c r="B15" s="799" t="s">
        <v>771</v>
      </c>
      <c r="C15" s="800" t="s">
        <v>673</v>
      </c>
      <c r="D15" s="811"/>
      <c r="E15" s="804"/>
      <c r="F15" s="804"/>
      <c r="G15" s="805"/>
      <c r="H15" s="806"/>
      <c r="I15" s="807" t="e">
        <f>#REF!/10^7</f>
        <v>#REF!</v>
      </c>
      <c r="J15" s="807" t="e">
        <f>#REF!/100</f>
        <v>#REF!</v>
      </c>
      <c r="K15" s="805" t="e">
        <f t="shared" si="1"/>
        <v>#REF!</v>
      </c>
      <c r="L15" s="806" t="e">
        <f t="shared" si="2"/>
        <v>#REF!</v>
      </c>
      <c r="M15" s="812"/>
      <c r="N15" s="809"/>
      <c r="O15" s="806">
        <f>F15+G15+H15+M15</f>
        <v>0</v>
      </c>
      <c r="P15" s="806" t="e">
        <f>J15+K15+L15+N15</f>
        <v>#REF!</v>
      </c>
      <c r="Q15" s="806" t="e">
        <f>P15</f>
        <v>#REF!</v>
      </c>
      <c r="R15" s="796" t="s">
        <v>770</v>
      </c>
    </row>
    <row r="16" spans="1:18" s="105" customFormat="1" ht="32.25" customHeight="1" x14ac:dyDescent="0.2">
      <c r="A16" s="405" t="s">
        <v>19</v>
      </c>
      <c r="B16" s="798" t="s">
        <v>769</v>
      </c>
      <c r="C16" s="800" t="s">
        <v>673</v>
      </c>
      <c r="D16" s="813" t="s">
        <v>774</v>
      </c>
      <c r="E16" s="804" t="e">
        <f>12000000*E8/10^7</f>
        <v>#REF!</v>
      </c>
      <c r="F16" s="804" t="e">
        <f>E16*0.9</f>
        <v>#REF!</v>
      </c>
      <c r="G16" s="805"/>
      <c r="H16" s="806"/>
      <c r="I16" s="807"/>
      <c r="J16" s="807"/>
      <c r="K16" s="805"/>
      <c r="L16" s="806"/>
      <c r="M16" s="808"/>
      <c r="N16" s="809"/>
      <c r="O16" s="806"/>
      <c r="P16" s="806" t="e">
        <f>F16</f>
        <v>#REF!</v>
      </c>
      <c r="Q16" s="814" t="s">
        <v>663</v>
      </c>
    </row>
    <row r="17" spans="1:19" s="105" customFormat="1" ht="33" customHeight="1" x14ac:dyDescent="0.2">
      <c r="A17" s="104" t="s">
        <v>20</v>
      </c>
      <c r="B17" s="798" t="s">
        <v>783</v>
      </c>
      <c r="C17" s="801" t="s">
        <v>315</v>
      </c>
      <c r="D17" s="815"/>
      <c r="E17" s="816"/>
      <c r="F17" s="806"/>
      <c r="G17" s="805"/>
      <c r="H17" s="805"/>
      <c r="I17" s="817"/>
      <c r="J17" s="817"/>
      <c r="K17" s="805"/>
      <c r="L17" s="805"/>
      <c r="M17" s="809"/>
      <c r="N17" s="818" t="e">
        <f>(#REF!/100+#REF!/100-Q13-Q14-Q15)</f>
        <v>#REF!</v>
      </c>
      <c r="O17" s="806"/>
      <c r="P17" s="806" t="e">
        <f t="shared" ref="P17" si="5">J17+K17+L17+N17</f>
        <v>#REF!</v>
      </c>
      <c r="Q17" s="806" t="e">
        <f t="shared" ref="Q17" si="6">O17+P17</f>
        <v>#REF!</v>
      </c>
      <c r="R17" s="105" t="s">
        <v>0</v>
      </c>
      <c r="S17" s="105" t="s">
        <v>0</v>
      </c>
    </row>
    <row r="18" spans="1:19" s="105" customFormat="1" ht="20.25" customHeight="1" x14ac:dyDescent="0.2">
      <c r="A18" s="147"/>
      <c r="B18" s="756" t="s">
        <v>205</v>
      </c>
      <c r="C18" s="757"/>
      <c r="D18" s="819"/>
      <c r="E18" s="805"/>
      <c r="F18" s="806" t="e">
        <f>SUM(F13:F13)*0</f>
        <v>#REF!</v>
      </c>
      <c r="G18" s="820"/>
      <c r="H18" s="805"/>
      <c r="I18" s="805"/>
      <c r="J18" s="806" t="e">
        <f>SUM(J13:J13)*0</f>
        <v>#REF!</v>
      </c>
      <c r="K18" s="821"/>
      <c r="L18" s="805"/>
      <c r="M18" s="805"/>
      <c r="N18" s="805">
        <f>SUM(N13:N13)*0</f>
        <v>0</v>
      </c>
      <c r="O18" s="822" t="e">
        <f>SUM(O13:O17)*0</f>
        <v>#REF!</v>
      </c>
      <c r="P18" s="823" t="e">
        <f>SUM(P13+P14+P15+P17)</f>
        <v>#REF!</v>
      </c>
      <c r="Q18" s="822" t="e">
        <f>SUM(Q13:Q17)</f>
        <v>#REF!</v>
      </c>
      <c r="S18" s="143"/>
    </row>
    <row r="19" spans="1:19" customFormat="1" hidden="1" x14ac:dyDescent="0.2">
      <c r="A19" s="743" t="s">
        <v>660</v>
      </c>
      <c r="B19" s="744"/>
      <c r="C19" s="744"/>
      <c r="D19" s="744"/>
      <c r="E19" s="744"/>
      <c r="F19" s="744"/>
      <c r="G19" s="744"/>
      <c r="H19" s="744"/>
      <c r="I19" s="744"/>
      <c r="J19" s="744"/>
      <c r="K19" s="744"/>
      <c r="L19" s="744"/>
      <c r="M19" s="744"/>
      <c r="N19" s="744"/>
      <c r="O19" s="744"/>
      <c r="P19" s="744"/>
      <c r="Q19" s="745"/>
    </row>
    <row r="20" spans="1:19" customFormat="1" ht="65.25" hidden="1" customHeight="1" x14ac:dyDescent="0.2">
      <c r="A20" s="746" t="s">
        <v>647</v>
      </c>
      <c r="B20" s="747" t="s">
        <v>661</v>
      </c>
      <c r="C20" s="748" t="s">
        <v>662</v>
      </c>
      <c r="D20" s="749"/>
      <c r="E20" s="750">
        <v>0</v>
      </c>
      <c r="F20" s="751"/>
      <c r="G20" s="752"/>
      <c r="H20" s="752"/>
      <c r="I20" s="751"/>
      <c r="J20" s="753">
        <v>0</v>
      </c>
      <c r="K20" s="754"/>
      <c r="L20" s="752"/>
      <c r="M20" s="752"/>
      <c r="N20" s="753"/>
      <c r="O20" s="751">
        <v>0</v>
      </c>
      <c r="P20" s="751">
        <v>0</v>
      </c>
      <c r="Q20" s="755" t="s">
        <v>663</v>
      </c>
    </row>
    <row r="21" spans="1:19" customFormat="1" ht="64.5" hidden="1" customHeight="1" x14ac:dyDescent="0.2">
      <c r="A21" s="746" t="s">
        <v>648</v>
      </c>
      <c r="B21" s="747" t="s">
        <v>664</v>
      </c>
      <c r="C21" s="748" t="s">
        <v>665</v>
      </c>
      <c r="D21" s="749"/>
      <c r="E21" s="750"/>
      <c r="F21" s="751"/>
      <c r="G21" s="752"/>
      <c r="H21" s="752"/>
      <c r="I21" s="751"/>
      <c r="J21" s="753"/>
      <c r="K21" s="754"/>
      <c r="L21" s="752"/>
      <c r="M21" s="752"/>
      <c r="N21" s="753"/>
      <c r="O21" s="751"/>
      <c r="P21" s="751"/>
      <c r="Q21" s="755" t="s">
        <v>663</v>
      </c>
    </row>
    <row r="22" spans="1:19" s="105" customFormat="1" ht="20.25" hidden="1" customHeight="1" x14ac:dyDescent="0.2">
      <c r="A22" s="144"/>
      <c r="B22" s="736"/>
      <c r="C22" s="737"/>
      <c r="D22" s="145"/>
      <c r="E22" s="146"/>
      <c r="F22" s="738"/>
      <c r="G22" s="739"/>
      <c r="H22" s="146"/>
      <c r="I22" s="146"/>
      <c r="J22" s="738"/>
      <c r="K22" s="740"/>
      <c r="L22" s="146"/>
      <c r="M22" s="146"/>
      <c r="N22" s="146"/>
      <c r="O22" s="741"/>
      <c r="P22" s="742"/>
      <c r="Q22" s="741"/>
      <c r="S22" s="143"/>
    </row>
    <row r="23" spans="1:19" s="105" customFormat="1" ht="18.75" customHeight="1" x14ac:dyDescent="0.2">
      <c r="A23" s="152"/>
      <c r="B23" s="758"/>
      <c r="C23" s="155"/>
      <c r="D23" s="759"/>
      <c r="E23" s="166"/>
      <c r="F23" s="166"/>
      <c r="G23" s="166"/>
      <c r="H23" s="166"/>
      <c r="I23" s="166"/>
      <c r="J23" s="166"/>
      <c r="K23" s="166"/>
      <c r="L23" s="166"/>
      <c r="M23" s="166"/>
      <c r="N23" s="166"/>
      <c r="O23" s="166"/>
      <c r="P23" s="166"/>
      <c r="Q23" s="166"/>
      <c r="R23" s="434" t="e">
        <f>(Q13+Q14+Q15)/Q18</f>
        <v>#REF!</v>
      </c>
      <c r="S23" s="434" t="e">
        <f>Q17/Q18</f>
        <v>#REF!</v>
      </c>
    </row>
    <row r="24" spans="1:19" ht="64.5" hidden="1" customHeight="1" x14ac:dyDescent="0.3">
      <c r="A24" s="1093" t="s">
        <v>182</v>
      </c>
      <c r="B24" s="1094"/>
      <c r="C24" s="1094"/>
      <c r="D24" s="1094"/>
      <c r="E24" s="1094"/>
      <c r="F24" s="1094"/>
      <c r="G24" s="1094"/>
      <c r="H24" s="1094"/>
      <c r="I24" s="1094"/>
      <c r="J24" s="1094"/>
      <c r="K24" s="1094"/>
      <c r="L24" s="1094"/>
      <c r="M24" s="1094"/>
      <c r="N24" s="1094"/>
      <c r="O24" s="1094"/>
      <c r="P24" s="1094"/>
      <c r="Q24" s="1095"/>
    </row>
    <row r="25" spans="1:19" s="105" customFormat="1" ht="43.5" hidden="1" customHeight="1" x14ac:dyDescent="0.2">
      <c r="A25" s="147"/>
      <c r="B25" s="148" t="s">
        <v>206</v>
      </c>
      <c r="C25" s="149"/>
      <c r="D25" s="139"/>
      <c r="E25" s="140" t="e">
        <f>D25*$E$8/10^7</f>
        <v>#REF!</v>
      </c>
      <c r="F25" s="142"/>
      <c r="G25" s="141"/>
      <c r="H25" s="141"/>
      <c r="I25" s="142"/>
      <c r="J25" s="789">
        <f>I25</f>
        <v>0</v>
      </c>
      <c r="K25" s="790"/>
      <c r="L25" s="141"/>
      <c r="M25" s="141"/>
      <c r="N25" s="150"/>
      <c r="O25" s="142">
        <f t="shared" ref="O25" si="7">F25+G25+H25+M25</f>
        <v>0</v>
      </c>
      <c r="P25" s="142">
        <f>J25+K25+L25+N25</f>
        <v>0</v>
      </c>
      <c r="Q25" s="142">
        <f t="shared" ref="Q25" si="8">O25+P25</f>
        <v>0</v>
      </c>
    </row>
    <row r="26" spans="1:19" s="105" customFormat="1" ht="21" thickBot="1" x14ac:dyDescent="0.25">
      <c r="A26" s="151"/>
      <c r="D26" s="105" t="s">
        <v>183</v>
      </c>
      <c r="I26" s="152"/>
      <c r="J26" s="1110"/>
      <c r="K26" s="1110"/>
      <c r="P26" s="105" t="s">
        <v>762</v>
      </c>
    </row>
    <row r="27" spans="1:19" s="105" customFormat="1" ht="33" customHeight="1" thickBot="1" x14ac:dyDescent="0.25">
      <c r="A27" s="153" t="s">
        <v>184</v>
      </c>
      <c r="B27" s="1090" t="s">
        <v>318</v>
      </c>
      <c r="C27" s="1090"/>
      <c r="D27" s="154" t="e">
        <f>Q18</f>
        <v>#REF!</v>
      </c>
      <c r="F27" s="1097" t="s">
        <v>763</v>
      </c>
      <c r="G27" s="1097"/>
      <c r="H27" s="1097"/>
      <c r="I27" s="1097"/>
      <c r="J27" s="1097"/>
      <c r="K27" s="1097"/>
      <c r="L27" s="1097"/>
      <c r="M27" s="1097"/>
      <c r="N27" s="1097"/>
      <c r="O27" s="1098"/>
      <c r="P27" s="154">
        <v>164.10636830242748</v>
      </c>
      <c r="Q27" s="155"/>
    </row>
    <row r="28" spans="1:19" s="105" customFormat="1" ht="24" customHeight="1" x14ac:dyDescent="0.2">
      <c r="A28" s="156" t="s">
        <v>185</v>
      </c>
      <c r="B28" s="1091" t="s">
        <v>186</v>
      </c>
      <c r="C28" s="1091"/>
      <c r="D28" s="152"/>
      <c r="E28" s="152"/>
      <c r="F28" s="152"/>
      <c r="G28" s="152"/>
      <c r="H28" s="152"/>
      <c r="I28" s="152"/>
      <c r="J28" s="152"/>
      <c r="K28" s="152"/>
      <c r="L28" s="152"/>
      <c r="M28" s="152"/>
      <c r="N28" s="152"/>
      <c r="O28" s="152" t="s">
        <v>0</v>
      </c>
      <c r="P28" s="152"/>
      <c r="Q28" s="152"/>
    </row>
    <row r="29" spans="1:19" ht="47.25" customHeight="1" x14ac:dyDescent="0.3">
      <c r="A29" s="791" t="s">
        <v>756</v>
      </c>
      <c r="B29" s="1068" t="s">
        <v>782</v>
      </c>
      <c r="C29" s="1068"/>
      <c r="D29" s="1068"/>
      <c r="E29" s="1068"/>
      <c r="F29" s="1068"/>
      <c r="G29" s="1068"/>
      <c r="H29" s="1068"/>
      <c r="I29" s="1068"/>
      <c r="J29" s="1068"/>
      <c r="K29" s="1068"/>
      <c r="L29" s="1068"/>
      <c r="M29" s="1068"/>
      <c r="N29" s="1068"/>
      <c r="O29" s="1068"/>
      <c r="P29" s="1068"/>
      <c r="Q29" s="1068"/>
    </row>
    <row r="30" spans="1:19" ht="27" customHeight="1" x14ac:dyDescent="0.3">
      <c r="A30" s="792" t="s">
        <v>757</v>
      </c>
      <c r="B30" s="1092" t="s">
        <v>755</v>
      </c>
      <c r="C30" s="1092"/>
      <c r="D30" s="1092"/>
      <c r="E30" s="1092"/>
      <c r="F30" s="1092"/>
      <c r="G30" s="1092"/>
      <c r="H30" s="1092"/>
      <c r="I30" s="1092"/>
      <c r="J30" s="1092"/>
      <c r="K30" s="1092"/>
      <c r="L30" s="1092"/>
      <c r="M30" s="1092"/>
      <c r="N30" s="1092"/>
      <c r="O30" s="1092"/>
      <c r="P30" s="1092"/>
      <c r="Q30" s="1092"/>
    </row>
    <row r="31" spans="1:19" ht="65.25" customHeight="1" x14ac:dyDescent="0.3">
      <c r="A31" s="792" t="s">
        <v>758</v>
      </c>
      <c r="B31" s="1114" t="s">
        <v>784</v>
      </c>
      <c r="C31" s="1114"/>
      <c r="D31" s="1114"/>
      <c r="E31" s="1114"/>
      <c r="F31" s="1114"/>
      <c r="G31" s="1114"/>
      <c r="H31" s="1114"/>
      <c r="I31" s="1114"/>
      <c r="J31" s="1114"/>
      <c r="K31" s="1114"/>
      <c r="L31" s="1114"/>
      <c r="M31" s="1114"/>
      <c r="N31" s="1114"/>
      <c r="O31" s="1114"/>
      <c r="P31" s="1114"/>
      <c r="Q31" s="1114"/>
    </row>
    <row r="32" spans="1:19" ht="36.75" customHeight="1" x14ac:dyDescent="0.3">
      <c r="A32" s="792" t="s">
        <v>759</v>
      </c>
      <c r="B32" s="1114" t="s">
        <v>801</v>
      </c>
      <c r="C32" s="1114"/>
      <c r="D32" s="1114"/>
      <c r="E32" s="1114"/>
      <c r="F32" s="1114"/>
      <c r="G32" s="1114"/>
      <c r="H32" s="1114"/>
      <c r="I32" s="1114"/>
      <c r="J32" s="1114"/>
      <c r="K32" s="1114"/>
      <c r="L32" s="1114"/>
      <c r="M32" s="1114"/>
      <c r="N32" s="1114"/>
      <c r="O32" s="1114"/>
      <c r="P32" s="1114"/>
      <c r="Q32" s="1114"/>
    </row>
    <row r="33" spans="1:17" ht="45" customHeight="1" x14ac:dyDescent="0.3">
      <c r="A33" s="792" t="s">
        <v>760</v>
      </c>
      <c r="B33" s="1081" t="s">
        <v>794</v>
      </c>
      <c r="C33" s="1081"/>
      <c r="D33" s="1081"/>
      <c r="E33" s="1081"/>
      <c r="F33" s="1081"/>
      <c r="G33" s="1081"/>
      <c r="H33" s="1081"/>
      <c r="I33" s="1081"/>
      <c r="J33" s="1081"/>
      <c r="K33" s="1081"/>
      <c r="L33" s="1081"/>
      <c r="M33" s="1081"/>
      <c r="N33" s="1081"/>
      <c r="O33" s="1081"/>
      <c r="P33" s="1081"/>
      <c r="Q33" s="1081"/>
    </row>
    <row r="34" spans="1:17" ht="46.5" customHeight="1" x14ac:dyDescent="0.3">
      <c r="A34" s="792" t="s">
        <v>775</v>
      </c>
      <c r="B34" s="1081" t="s">
        <v>781</v>
      </c>
      <c r="C34" s="1081"/>
      <c r="D34" s="1081"/>
      <c r="E34" s="1081"/>
      <c r="F34" s="1081"/>
      <c r="G34" s="1081"/>
      <c r="H34" s="1081"/>
      <c r="I34" s="1081"/>
      <c r="J34" s="1081"/>
      <c r="K34" s="1081"/>
      <c r="L34" s="1081"/>
      <c r="M34" s="1081"/>
      <c r="N34" s="1081"/>
      <c r="O34" s="1081"/>
      <c r="P34" s="1081"/>
      <c r="Q34" s="1081"/>
    </row>
    <row r="35" spans="1:17" ht="48" customHeight="1" x14ac:dyDescent="0.3">
      <c r="A35" s="792" t="s">
        <v>776</v>
      </c>
      <c r="B35" s="1081" t="s">
        <v>785</v>
      </c>
      <c r="C35" s="1081"/>
      <c r="D35" s="1081"/>
      <c r="E35" s="1081"/>
      <c r="F35" s="1081"/>
      <c r="G35" s="1081"/>
      <c r="H35" s="1081"/>
      <c r="I35" s="1081"/>
      <c r="J35" s="1081"/>
      <c r="K35" s="1081"/>
      <c r="L35" s="1081"/>
      <c r="M35" s="1081"/>
      <c r="N35" s="1081"/>
      <c r="O35" s="1081"/>
      <c r="P35" s="1081"/>
      <c r="Q35" s="1081"/>
    </row>
    <row r="36" spans="1:17" ht="35.25" customHeight="1" x14ac:dyDescent="0.3">
      <c r="A36" s="792" t="s">
        <v>777</v>
      </c>
      <c r="B36" s="1081" t="s">
        <v>802</v>
      </c>
      <c r="C36" s="1081"/>
      <c r="D36" s="1081"/>
      <c r="E36" s="1081"/>
      <c r="F36" s="1081"/>
      <c r="G36" s="1081"/>
      <c r="H36" s="1081"/>
      <c r="I36" s="1081"/>
      <c r="J36" s="1081"/>
      <c r="K36" s="1081"/>
      <c r="L36" s="1081"/>
      <c r="M36" s="1081"/>
      <c r="N36" s="1081"/>
      <c r="O36" s="1081"/>
      <c r="P36" s="1081"/>
      <c r="Q36" s="1081"/>
    </row>
    <row r="37" spans="1:17" ht="42.75" customHeight="1" x14ac:dyDescent="0.3">
      <c r="A37" s="792" t="s">
        <v>778</v>
      </c>
      <c r="B37" s="1081" t="s">
        <v>788</v>
      </c>
      <c r="C37" s="1081"/>
      <c r="D37" s="1081"/>
      <c r="E37" s="1081"/>
      <c r="F37" s="1081"/>
      <c r="G37" s="1081"/>
      <c r="H37" s="1081"/>
      <c r="I37" s="1081"/>
      <c r="J37" s="1081"/>
      <c r="K37" s="1081"/>
      <c r="L37" s="1081"/>
      <c r="M37" s="1081"/>
      <c r="N37" s="1081"/>
      <c r="O37" s="1081"/>
      <c r="P37" s="1081"/>
      <c r="Q37" s="1081"/>
    </row>
    <row r="38" spans="1:17" ht="30" customHeight="1" x14ac:dyDescent="0.3">
      <c r="A38" s="792" t="s">
        <v>786</v>
      </c>
      <c r="B38" s="1106" t="s">
        <v>780</v>
      </c>
      <c r="C38" s="1106"/>
      <c r="D38" s="1106"/>
      <c r="E38" s="1106"/>
      <c r="F38" s="1106"/>
      <c r="G38" s="1106"/>
      <c r="H38" s="1106"/>
      <c r="I38" s="1106"/>
      <c r="J38" s="1106"/>
      <c r="K38" s="1106"/>
      <c r="L38" s="1106"/>
      <c r="M38" s="1106"/>
      <c r="N38" s="1106"/>
      <c r="O38" s="1106"/>
      <c r="P38" s="1106"/>
      <c r="Q38" s="1106"/>
    </row>
    <row r="39" spans="1:17" ht="27.75" customHeight="1" x14ac:dyDescent="0.3">
      <c r="A39" s="792" t="s">
        <v>787</v>
      </c>
      <c r="B39" s="1106" t="s">
        <v>792</v>
      </c>
      <c r="C39" s="1106"/>
      <c r="D39" s="1106"/>
      <c r="E39" s="1106"/>
      <c r="F39" s="1106"/>
      <c r="G39" s="1106"/>
      <c r="H39" s="1106"/>
      <c r="I39" s="1106"/>
      <c r="J39" s="1106"/>
      <c r="K39" s="1106"/>
      <c r="L39" s="1106"/>
      <c r="M39" s="1106"/>
      <c r="N39" s="1106"/>
      <c r="O39" s="1106"/>
      <c r="P39" s="1106"/>
      <c r="Q39" s="1106"/>
    </row>
    <row r="40" spans="1:17" ht="27.75" customHeight="1" x14ac:dyDescent="0.3">
      <c r="A40" s="792" t="s">
        <v>789</v>
      </c>
      <c r="B40" s="1106" t="s">
        <v>793</v>
      </c>
      <c r="C40" s="1106"/>
      <c r="D40" s="1106"/>
      <c r="E40" s="1106"/>
      <c r="F40" s="1106"/>
      <c r="G40" s="1106"/>
      <c r="H40" s="1106"/>
      <c r="I40" s="1106"/>
      <c r="J40" s="1106"/>
      <c r="K40" s="1106"/>
      <c r="L40" s="1106"/>
      <c r="M40" s="1106"/>
      <c r="N40" s="1106"/>
      <c r="O40" s="1106"/>
      <c r="P40" s="1106"/>
      <c r="Q40" s="1106"/>
    </row>
    <row r="41" spans="1:17" ht="33" customHeight="1" x14ac:dyDescent="0.3">
      <c r="A41" s="792" t="s">
        <v>790</v>
      </c>
      <c r="B41" s="1092" t="s">
        <v>791</v>
      </c>
      <c r="C41" s="1092"/>
      <c r="D41" s="1092"/>
      <c r="E41" s="1092"/>
      <c r="F41" s="1092"/>
      <c r="G41" s="1092"/>
      <c r="H41" s="1092"/>
      <c r="I41" s="1092"/>
      <c r="J41" s="1092"/>
      <c r="K41" s="1092"/>
      <c r="L41" s="1092"/>
      <c r="M41" s="1092"/>
      <c r="N41" s="1092"/>
      <c r="O41" s="1092"/>
      <c r="P41" s="1092"/>
      <c r="Q41" s="1092"/>
    </row>
    <row r="42" spans="1:17" ht="27.75" customHeight="1" x14ac:dyDescent="0.3">
      <c r="A42" s="157"/>
      <c r="B42" s="1105"/>
      <c r="C42" s="1105"/>
      <c r="D42" s="1105"/>
      <c r="E42" s="1105"/>
      <c r="F42" s="1105"/>
      <c r="G42" s="1105"/>
      <c r="H42" s="1105"/>
      <c r="I42" s="1105"/>
      <c r="J42" s="1105"/>
      <c r="K42" s="1105"/>
      <c r="L42" s="1105"/>
      <c r="M42" s="1105"/>
      <c r="N42" s="1105"/>
      <c r="O42" s="1105"/>
      <c r="P42" s="1105"/>
      <c r="Q42" s="1105"/>
    </row>
    <row r="43" spans="1:17" ht="21" customHeight="1" thickBot="1" x14ac:dyDescent="0.35">
      <c r="A43" s="127" t="s">
        <v>187</v>
      </c>
      <c r="B43" s="160" t="s">
        <v>243</v>
      </c>
      <c r="D43" s="158"/>
      <c r="E43" s="158"/>
      <c r="F43" s="158"/>
      <c r="G43" s="158"/>
      <c r="H43" s="158"/>
      <c r="I43" s="159"/>
      <c r="J43" s="159"/>
      <c r="K43" s="159"/>
      <c r="L43" s="159"/>
      <c r="M43" s="159"/>
      <c r="N43" s="159"/>
    </row>
    <row r="44" spans="1:17" s="105" customFormat="1" ht="39.75" customHeight="1" thickBot="1" x14ac:dyDescent="0.25">
      <c r="A44" s="1079" t="s">
        <v>138</v>
      </c>
      <c r="B44" s="1079" t="s">
        <v>122</v>
      </c>
      <c r="C44" s="1058" t="s">
        <v>188</v>
      </c>
      <c r="D44" s="1096"/>
      <c r="E44" s="1059"/>
      <c r="F44" s="161" t="s">
        <v>189</v>
      </c>
      <c r="G44" s="1079" t="s">
        <v>4</v>
      </c>
      <c r="H44" s="1101" t="s">
        <v>152</v>
      </c>
      <c r="I44" s="1102"/>
    </row>
    <row r="45" spans="1:17" s="105" customFormat="1" ht="29.25" customHeight="1" thickBot="1" x14ac:dyDescent="0.25">
      <c r="A45" s="1080"/>
      <c r="B45" s="1080"/>
      <c r="C45" s="162" t="s">
        <v>190</v>
      </c>
      <c r="D45" s="1058" t="s">
        <v>191</v>
      </c>
      <c r="E45" s="1059"/>
      <c r="F45" s="163"/>
      <c r="G45" s="1080"/>
      <c r="H45" s="1103"/>
      <c r="I45" s="1104"/>
    </row>
    <row r="46" spans="1:17" s="105" customFormat="1" ht="39.75" customHeight="1" thickBot="1" x14ac:dyDescent="0.25">
      <c r="A46" s="164">
        <v>1</v>
      </c>
      <c r="B46" s="797" t="s">
        <v>754</v>
      </c>
      <c r="C46" s="165" t="e">
        <f>O18</f>
        <v>#REF!</v>
      </c>
      <c r="D46" s="1049" t="e">
        <f>Q18+#REF!/100</f>
        <v>#REF!</v>
      </c>
      <c r="E46" s="1059"/>
      <c r="F46" s="166"/>
      <c r="G46" s="167" t="e">
        <f>C46+D46+F46</f>
        <v>#REF!</v>
      </c>
      <c r="H46" s="1099" t="s">
        <v>244</v>
      </c>
      <c r="I46" s="1100"/>
    </row>
    <row r="47" spans="1:17" s="105" customFormat="1" ht="27" customHeight="1" thickBot="1" x14ac:dyDescent="0.25">
      <c r="A47" s="168">
        <f>A46+1</f>
        <v>2</v>
      </c>
      <c r="B47" s="169" t="s">
        <v>192</v>
      </c>
      <c r="C47" s="170"/>
      <c r="D47" s="1049" t="e">
        <f>#REF!</f>
        <v>#REF!</v>
      </c>
      <c r="E47" s="1050"/>
      <c r="F47" s="171" t="e">
        <f>(D47+C47)*$F$45</f>
        <v>#REF!</v>
      </c>
      <c r="G47" s="167" t="e">
        <f>C47+D47+F47</f>
        <v>#REF!</v>
      </c>
      <c r="H47" s="1042" t="s">
        <v>741</v>
      </c>
      <c r="I47" s="1043"/>
    </row>
    <row r="48" spans="1:17" s="105" customFormat="1" ht="27" customHeight="1" thickBot="1" x14ac:dyDescent="0.25">
      <c r="A48" s="168">
        <f t="shared" ref="A48:A58" si="9">A47+1</f>
        <v>3</v>
      </c>
      <c r="B48" s="169" t="s">
        <v>151</v>
      </c>
      <c r="C48" s="170" t="e">
        <f>#REF!</f>
        <v>#REF!</v>
      </c>
      <c r="D48" s="1049" t="e">
        <f>#REF!-#REF!</f>
        <v>#REF!</v>
      </c>
      <c r="E48" s="1050"/>
      <c r="F48" s="171" t="e">
        <f t="shared" ref="F48:F57" si="10">(D48+C48)*$F$45</f>
        <v>#REF!</v>
      </c>
      <c r="G48" s="167" t="e">
        <f t="shared" ref="G48:G59" si="11">C48+D48+F48</f>
        <v>#REF!</v>
      </c>
      <c r="H48" s="1058"/>
      <c r="I48" s="1059"/>
    </row>
    <row r="49" spans="1:16" s="105" customFormat="1" ht="24.75" customHeight="1" thickBot="1" x14ac:dyDescent="0.25">
      <c r="A49" s="168">
        <f t="shared" si="9"/>
        <v>4</v>
      </c>
      <c r="B49" s="169" t="s">
        <v>193</v>
      </c>
      <c r="C49" s="165" t="e">
        <f>#REF!</f>
        <v>#REF!</v>
      </c>
      <c r="D49" s="1049" t="e">
        <f>#REF!-#REF!</f>
        <v>#REF!</v>
      </c>
      <c r="E49" s="1050"/>
      <c r="F49" s="171" t="e">
        <f t="shared" si="10"/>
        <v>#REF!</v>
      </c>
      <c r="G49" s="167" t="e">
        <f t="shared" si="11"/>
        <v>#REF!</v>
      </c>
      <c r="H49" s="1042" t="s">
        <v>797</v>
      </c>
      <c r="I49" s="1043"/>
    </row>
    <row r="50" spans="1:16" s="105" customFormat="1" ht="27" customHeight="1" thickBot="1" x14ac:dyDescent="0.25">
      <c r="A50" s="168">
        <f t="shared" si="9"/>
        <v>5</v>
      </c>
      <c r="B50" s="169" t="s">
        <v>23</v>
      </c>
      <c r="C50" s="165" t="e">
        <f>#REF!</f>
        <v>#REF!</v>
      </c>
      <c r="D50" s="1049" t="e">
        <f>#REF!-#REF!</f>
        <v>#REF!</v>
      </c>
      <c r="E50" s="1050"/>
      <c r="F50" s="171" t="e">
        <f t="shared" si="10"/>
        <v>#REF!</v>
      </c>
      <c r="G50" s="167" t="e">
        <f t="shared" si="11"/>
        <v>#REF!</v>
      </c>
      <c r="H50" s="1058"/>
      <c r="I50" s="1059"/>
    </row>
    <row r="51" spans="1:16" s="105" customFormat="1" ht="63" customHeight="1" thickBot="1" x14ac:dyDescent="0.25">
      <c r="A51" s="168">
        <f t="shared" si="9"/>
        <v>6</v>
      </c>
      <c r="B51" s="169" t="s">
        <v>194</v>
      </c>
      <c r="C51" s="170"/>
      <c r="D51" s="1065" t="e">
        <f>#REF!</f>
        <v>#REF!</v>
      </c>
      <c r="E51" s="1066"/>
      <c r="F51" s="171" t="e">
        <f t="shared" si="10"/>
        <v>#REF!</v>
      </c>
      <c r="G51" s="167" t="e">
        <f t="shared" si="11"/>
        <v>#REF!</v>
      </c>
      <c r="H51" s="1044" t="s">
        <v>800</v>
      </c>
      <c r="I51" s="1045"/>
    </row>
    <row r="52" spans="1:16" s="105" customFormat="1" ht="67.5" customHeight="1" thickBot="1" x14ac:dyDescent="0.25">
      <c r="A52" s="168">
        <f t="shared" si="9"/>
        <v>7</v>
      </c>
      <c r="B52" s="172" t="s">
        <v>207</v>
      </c>
      <c r="C52" s="165" t="e">
        <f>#REF!</f>
        <v>#REF!</v>
      </c>
      <c r="D52" s="1049" t="e">
        <f>#REF!+#REF!</f>
        <v>#REF!</v>
      </c>
      <c r="E52" s="1050"/>
      <c r="F52" s="171" t="e">
        <f t="shared" si="10"/>
        <v>#REF!</v>
      </c>
      <c r="G52" s="167" t="e">
        <f t="shared" si="11"/>
        <v>#REF!</v>
      </c>
      <c r="H52" s="1044" t="s">
        <v>649</v>
      </c>
      <c r="I52" s="1045"/>
    </row>
    <row r="53" spans="1:16" s="105" customFormat="1" ht="27.75" customHeight="1" thickBot="1" x14ac:dyDescent="0.25">
      <c r="A53" s="168">
        <f t="shared" si="9"/>
        <v>8</v>
      </c>
      <c r="B53" s="824" t="s">
        <v>208</v>
      </c>
      <c r="C53" s="165" t="e">
        <f>#REF!+#REF!</f>
        <v>#REF!</v>
      </c>
      <c r="D53" s="1049" t="e">
        <f>#REF!+#REF!-#REF!-#REF!</f>
        <v>#REF!</v>
      </c>
      <c r="E53" s="1050"/>
      <c r="F53" s="171" t="e">
        <f t="shared" si="10"/>
        <v>#REF!</v>
      </c>
      <c r="G53" s="167" t="e">
        <f t="shared" si="11"/>
        <v>#REF!</v>
      </c>
      <c r="H53" s="1058"/>
      <c r="I53" s="1059"/>
    </row>
    <row r="54" spans="1:16" s="105" customFormat="1" ht="27.75" customHeight="1" thickBot="1" x14ac:dyDescent="0.25">
      <c r="A54" s="168">
        <f t="shared" si="9"/>
        <v>9</v>
      </c>
      <c r="B54" s="169" t="s">
        <v>135</v>
      </c>
      <c r="C54" s="165" t="e">
        <f>#REF!</f>
        <v>#REF!</v>
      </c>
      <c r="D54" s="1063"/>
      <c r="E54" s="1064"/>
      <c r="F54" s="171" t="e">
        <f t="shared" si="10"/>
        <v>#REF!</v>
      </c>
      <c r="G54" s="167" t="e">
        <f t="shared" si="11"/>
        <v>#REF!</v>
      </c>
      <c r="H54" s="1042"/>
      <c r="I54" s="1043"/>
    </row>
    <row r="55" spans="1:16" s="105" customFormat="1" ht="27" customHeight="1" thickBot="1" x14ac:dyDescent="0.25">
      <c r="A55" s="168">
        <f t="shared" si="9"/>
        <v>10</v>
      </c>
      <c r="B55" s="169" t="s">
        <v>195</v>
      </c>
      <c r="C55" s="165" t="e">
        <f>#REF!</f>
        <v>#REF!</v>
      </c>
      <c r="D55" s="1063">
        <v>0</v>
      </c>
      <c r="E55" s="1064"/>
      <c r="F55" s="171" t="e">
        <f t="shared" si="10"/>
        <v>#REF!</v>
      </c>
      <c r="G55" s="167" t="e">
        <f t="shared" si="11"/>
        <v>#REF!</v>
      </c>
      <c r="H55" s="1042"/>
      <c r="I55" s="1043"/>
    </row>
    <row r="56" spans="1:16" s="105" customFormat="1" ht="27" customHeight="1" thickBot="1" x14ac:dyDescent="0.25">
      <c r="A56" s="168">
        <f>A54+1</f>
        <v>10</v>
      </c>
      <c r="B56" s="169" t="s">
        <v>502</v>
      </c>
      <c r="C56" s="165"/>
      <c r="D56" s="1049" t="e">
        <f>#REF!</f>
        <v>#REF!</v>
      </c>
      <c r="E56" s="1050"/>
      <c r="F56" s="171"/>
      <c r="G56" s="167" t="e">
        <f t="shared" si="11"/>
        <v>#REF!</v>
      </c>
      <c r="H56" s="1042"/>
      <c r="I56" s="1043"/>
    </row>
    <row r="57" spans="1:16" s="105" customFormat="1" ht="27.75" customHeight="1" thickBot="1" x14ac:dyDescent="0.25">
      <c r="A57" s="168">
        <f t="shared" si="9"/>
        <v>11</v>
      </c>
      <c r="B57" s="169" t="s">
        <v>246</v>
      </c>
      <c r="C57" s="165" t="e">
        <f>#REF!</f>
        <v>#REF!</v>
      </c>
      <c r="D57" s="1074" t="e">
        <f>#REF!-#REF!</f>
        <v>#REF!</v>
      </c>
      <c r="E57" s="1075"/>
      <c r="F57" s="171" t="e">
        <f t="shared" si="10"/>
        <v>#REF!</v>
      </c>
      <c r="G57" s="167" t="e">
        <f t="shared" si="11"/>
        <v>#REF!</v>
      </c>
      <c r="H57" s="1060" t="s">
        <v>210</v>
      </c>
      <c r="I57" s="1061"/>
    </row>
    <row r="58" spans="1:16" s="105" customFormat="1" ht="27.75" customHeight="1" thickBot="1" x14ac:dyDescent="0.25">
      <c r="A58" s="168">
        <f t="shared" si="9"/>
        <v>12</v>
      </c>
      <c r="B58" s="169" t="s">
        <v>209</v>
      </c>
      <c r="C58" s="165"/>
      <c r="D58" s="1049" t="e">
        <f>#REF!</f>
        <v>#REF!</v>
      </c>
      <c r="E58" s="1050"/>
      <c r="F58" s="173"/>
      <c r="G58" s="167" t="e">
        <f t="shared" si="11"/>
        <v>#REF!</v>
      </c>
      <c r="H58" s="1058"/>
      <c r="I58" s="1059"/>
    </row>
    <row r="59" spans="1:16" s="105" customFormat="1" ht="27.75" customHeight="1" thickBot="1" x14ac:dyDescent="0.25">
      <c r="A59" s="168">
        <v>14</v>
      </c>
      <c r="B59" s="169" t="s">
        <v>237</v>
      </c>
      <c r="C59" s="169"/>
      <c r="D59" s="1049" t="e">
        <f>-#REF!</f>
        <v>#REF!</v>
      </c>
      <c r="E59" s="1050"/>
      <c r="F59" s="173"/>
      <c r="G59" s="167" t="e">
        <f t="shared" si="11"/>
        <v>#REF!</v>
      </c>
      <c r="H59" s="1058"/>
      <c r="I59" s="1059"/>
    </row>
    <row r="60" spans="1:16" ht="27" customHeight="1" thickBot="1" x14ac:dyDescent="0.35">
      <c r="A60" s="174"/>
      <c r="B60" s="175" t="s">
        <v>4</v>
      </c>
      <c r="C60" s="176" t="e">
        <f>SUM(C46:C59)</f>
        <v>#REF!</v>
      </c>
      <c r="D60" s="1052" t="e">
        <f>SUM(D46:E59)</f>
        <v>#REF!</v>
      </c>
      <c r="E60" s="1053"/>
      <c r="F60" s="177"/>
      <c r="G60" s="178" t="e">
        <f>SUM(G46:G59)</f>
        <v>#REF!</v>
      </c>
      <c r="H60" s="1054"/>
      <c r="I60" s="1055"/>
      <c r="J60" s="159"/>
      <c r="K60" s="159"/>
      <c r="L60" s="159"/>
      <c r="M60" s="159"/>
      <c r="N60" s="159"/>
    </row>
    <row r="61" spans="1:16" ht="21" customHeight="1" x14ac:dyDescent="0.3">
      <c r="A61" s="157"/>
      <c r="D61" s="158"/>
      <c r="E61" s="158"/>
      <c r="F61" s="158"/>
      <c r="G61" s="158"/>
      <c r="H61" s="158"/>
      <c r="I61" s="159"/>
      <c r="J61" s="159"/>
      <c r="K61" s="159"/>
      <c r="L61" s="159"/>
      <c r="M61" s="159"/>
      <c r="N61" s="159"/>
    </row>
    <row r="62" spans="1:16" x14ac:dyDescent="0.3">
      <c r="A62" s="179" t="s">
        <v>316</v>
      </c>
      <c r="N62" s="159"/>
    </row>
    <row r="63" spans="1:16" x14ac:dyDescent="0.3">
      <c r="A63" s="179" t="s">
        <v>779</v>
      </c>
      <c r="N63" s="159"/>
    </row>
    <row r="64" spans="1:16" ht="21" thickBot="1" x14ac:dyDescent="0.35">
      <c r="A64" s="127" t="s">
        <v>796</v>
      </c>
      <c r="F64" s="123" t="s">
        <v>183</v>
      </c>
      <c r="P64" s="123" t="s">
        <v>762</v>
      </c>
    </row>
    <row r="65" spans="1:17" ht="42" customHeight="1" thickBot="1" x14ac:dyDescent="0.35">
      <c r="A65" s="1056" t="s">
        <v>247</v>
      </c>
      <c r="B65" s="1056"/>
      <c r="C65" s="1056"/>
      <c r="D65" s="1056"/>
      <c r="E65" s="1057"/>
      <c r="F65" s="180" t="e">
        <f>G60</f>
        <v>#REF!</v>
      </c>
      <c r="I65" s="1069" t="s">
        <v>761</v>
      </c>
      <c r="J65" s="1069"/>
      <c r="K65" s="1069"/>
      <c r="L65" s="1069"/>
      <c r="M65" s="1069"/>
      <c r="N65" s="1069"/>
      <c r="O65" s="1070"/>
      <c r="P65" s="1071">
        <v>390.46164842492198</v>
      </c>
      <c r="Q65" s="1072"/>
    </row>
    <row r="66" spans="1:17" x14ac:dyDescent="0.3">
      <c r="A66" s="105" t="s">
        <v>196</v>
      </c>
    </row>
    <row r="67" spans="1:17" x14ac:dyDescent="0.3">
      <c r="A67" s="181"/>
    </row>
    <row r="68" spans="1:17" x14ac:dyDescent="0.3">
      <c r="A68" s="125" t="s">
        <v>245</v>
      </c>
    </row>
    <row r="69" spans="1:17" ht="27.95" customHeight="1" x14ac:dyDescent="0.3">
      <c r="A69" s="760" t="s">
        <v>138</v>
      </c>
      <c r="B69" s="760" t="s">
        <v>161</v>
      </c>
      <c r="C69" s="760" t="s">
        <v>162</v>
      </c>
      <c r="D69" s="1062" t="s">
        <v>163</v>
      </c>
      <c r="E69" s="1062"/>
      <c r="F69" s="1062"/>
      <c r="G69" s="1062"/>
    </row>
    <row r="70" spans="1:17" ht="45" customHeight="1" x14ac:dyDescent="0.3">
      <c r="A70" s="407" t="s">
        <v>126</v>
      </c>
      <c r="B70" s="408" t="s">
        <v>368</v>
      </c>
      <c r="C70" s="408" t="s">
        <v>742</v>
      </c>
      <c r="D70" s="1051"/>
      <c r="E70" s="1051"/>
      <c r="F70" s="1051"/>
      <c r="G70" s="1051"/>
    </row>
    <row r="71" spans="1:17" ht="41.25" customHeight="1" x14ac:dyDescent="0.3">
      <c r="A71" s="407" t="s">
        <v>164</v>
      </c>
      <c r="B71" s="408" t="s">
        <v>745</v>
      </c>
      <c r="C71" s="408" t="s">
        <v>746</v>
      </c>
      <c r="D71" s="1051"/>
      <c r="E71" s="1051"/>
      <c r="F71" s="1051"/>
      <c r="G71" s="1051"/>
    </row>
    <row r="72" spans="1:17" ht="41.25" customHeight="1" x14ac:dyDescent="0.3">
      <c r="A72" s="407" t="s">
        <v>165</v>
      </c>
      <c r="B72" s="408" t="s">
        <v>798</v>
      </c>
      <c r="C72" s="408" t="s">
        <v>799</v>
      </c>
      <c r="D72" s="1046"/>
      <c r="E72" s="1047"/>
      <c r="F72" s="1047"/>
      <c r="G72" s="1048"/>
    </row>
    <row r="73" spans="1:17" ht="41.25" customHeight="1" x14ac:dyDescent="0.3">
      <c r="A73" s="407" t="s">
        <v>166</v>
      </c>
      <c r="B73" s="408" t="s">
        <v>747</v>
      </c>
      <c r="C73" s="408" t="s">
        <v>748</v>
      </c>
      <c r="D73" s="1051"/>
      <c r="E73" s="1051"/>
      <c r="F73" s="1051"/>
      <c r="G73" s="1051"/>
    </row>
    <row r="74" spans="1:17" ht="41.25" customHeight="1" x14ac:dyDescent="0.3">
      <c r="A74" s="407" t="s">
        <v>21</v>
      </c>
      <c r="B74" s="408" t="s">
        <v>508</v>
      </c>
      <c r="C74" s="408" t="s">
        <v>743</v>
      </c>
      <c r="D74" s="1051"/>
      <c r="E74" s="1051"/>
      <c r="F74" s="1051"/>
      <c r="G74" s="1051"/>
    </row>
    <row r="75" spans="1:17" ht="36.75" customHeight="1" x14ac:dyDescent="0.3">
      <c r="A75" s="409" t="s">
        <v>167</v>
      </c>
      <c r="B75" s="408" t="s">
        <v>320</v>
      </c>
      <c r="C75" s="408" t="s">
        <v>666</v>
      </c>
      <c r="D75" s="1051"/>
      <c r="E75" s="1051"/>
      <c r="F75" s="1051"/>
      <c r="G75" s="1051"/>
    </row>
    <row r="76" spans="1:17" ht="33.75" customHeight="1" x14ac:dyDescent="0.3">
      <c r="A76" s="409" t="s">
        <v>168</v>
      </c>
      <c r="B76" s="408" t="s">
        <v>749</v>
      </c>
      <c r="C76" s="408" t="s">
        <v>750</v>
      </c>
      <c r="D76" s="1073"/>
      <c r="E76" s="1073"/>
      <c r="F76" s="1073"/>
      <c r="G76" s="1073"/>
    </row>
    <row r="77" spans="1:17" ht="32.25" customHeight="1" x14ac:dyDescent="0.3">
      <c r="A77" s="409" t="s">
        <v>323</v>
      </c>
      <c r="B77" s="408" t="s">
        <v>751</v>
      </c>
      <c r="C77" s="408" t="s">
        <v>752</v>
      </c>
      <c r="D77" s="1073"/>
      <c r="E77" s="1073"/>
      <c r="F77" s="1073"/>
      <c r="G77" s="1073"/>
    </row>
    <row r="78" spans="1:17" ht="32.25" customHeight="1" x14ac:dyDescent="0.3">
      <c r="A78" s="409" t="s">
        <v>667</v>
      </c>
      <c r="B78" s="408" t="s">
        <v>744</v>
      </c>
      <c r="C78" s="408" t="s">
        <v>753</v>
      </c>
      <c r="D78" s="1073"/>
      <c r="E78" s="1073"/>
      <c r="F78" s="1073"/>
      <c r="G78" s="1073"/>
    </row>
    <row r="79" spans="1:17" ht="27.75" customHeight="1" x14ac:dyDescent="0.3">
      <c r="A79" s="409" t="s">
        <v>22</v>
      </c>
      <c r="B79" s="408" t="s">
        <v>668</v>
      </c>
      <c r="C79" s="408" t="s">
        <v>669</v>
      </c>
      <c r="D79" s="1067"/>
      <c r="E79" s="1067"/>
      <c r="F79" s="1067"/>
      <c r="G79" s="1067"/>
    </row>
    <row r="83" spans="2:2" x14ac:dyDescent="0.3">
      <c r="B83" s="123" t="s">
        <v>501</v>
      </c>
    </row>
  </sheetData>
  <mergeCells count="79">
    <mergeCell ref="Q9:Q11"/>
    <mergeCell ref="J26:K26"/>
    <mergeCell ref="B36:Q36"/>
    <mergeCell ref="B37:Q37"/>
    <mergeCell ref="M9:N10"/>
    <mergeCell ref="I9:L9"/>
    <mergeCell ref="B32:Q32"/>
    <mergeCell ref="B31:Q31"/>
    <mergeCell ref="B34:Q34"/>
    <mergeCell ref="H48:I48"/>
    <mergeCell ref="D47:E47"/>
    <mergeCell ref="D46:E46"/>
    <mergeCell ref="H46:I46"/>
    <mergeCell ref="B35:Q35"/>
    <mergeCell ref="H44:I45"/>
    <mergeCell ref="D45:E45"/>
    <mergeCell ref="H47:I47"/>
    <mergeCell ref="B42:Q42"/>
    <mergeCell ref="B38:Q38"/>
    <mergeCell ref="B41:Q41"/>
    <mergeCell ref="B39:Q39"/>
    <mergeCell ref="B40:Q40"/>
    <mergeCell ref="G44:G45"/>
    <mergeCell ref="D48:E48"/>
    <mergeCell ref="A7:C7"/>
    <mergeCell ref="A9:A11"/>
    <mergeCell ref="B9:B11"/>
    <mergeCell ref="C9:C11"/>
    <mergeCell ref="A44:A45"/>
    <mergeCell ref="B44:B45"/>
    <mergeCell ref="B33:Q33"/>
    <mergeCell ref="O9:P10"/>
    <mergeCell ref="D9:H9"/>
    <mergeCell ref="D10:E10"/>
    <mergeCell ref="B27:C27"/>
    <mergeCell ref="B28:C28"/>
    <mergeCell ref="B30:Q30"/>
    <mergeCell ref="A24:Q24"/>
    <mergeCell ref="C44:E44"/>
    <mergeCell ref="F27:O27"/>
    <mergeCell ref="D79:G79"/>
    <mergeCell ref="B29:Q29"/>
    <mergeCell ref="I65:O65"/>
    <mergeCell ref="P65:Q65"/>
    <mergeCell ref="D73:G73"/>
    <mergeCell ref="D74:G74"/>
    <mergeCell ref="D75:G75"/>
    <mergeCell ref="D76:G76"/>
    <mergeCell ref="D77:G77"/>
    <mergeCell ref="H56:I56"/>
    <mergeCell ref="H55:I55"/>
    <mergeCell ref="H54:I54"/>
    <mergeCell ref="D57:E57"/>
    <mergeCell ref="D56:E56"/>
    <mergeCell ref="D52:E52"/>
    <mergeCell ref="D78:G78"/>
    <mergeCell ref="H51:I51"/>
    <mergeCell ref="D69:G69"/>
    <mergeCell ref="D54:E54"/>
    <mergeCell ref="D55:E55"/>
    <mergeCell ref="D51:E51"/>
    <mergeCell ref="H58:I58"/>
    <mergeCell ref="D58:E58"/>
    <mergeCell ref="H49:I49"/>
    <mergeCell ref="H52:I52"/>
    <mergeCell ref="D72:G72"/>
    <mergeCell ref="D49:E49"/>
    <mergeCell ref="D50:E50"/>
    <mergeCell ref="D53:E53"/>
    <mergeCell ref="D70:G70"/>
    <mergeCell ref="D71:G71"/>
    <mergeCell ref="D60:E60"/>
    <mergeCell ref="D59:E59"/>
    <mergeCell ref="H60:I60"/>
    <mergeCell ref="A65:E65"/>
    <mergeCell ref="H59:I59"/>
    <mergeCell ref="H57:I57"/>
    <mergeCell ref="H53:I53"/>
    <mergeCell ref="H50:I50"/>
  </mergeCells>
  <pageMargins left="0.70866141732283472" right="0.70866141732283472" top="0.74803149606299213" bottom="0.74803149606299213" header="0.31496062992125984" footer="0.31496062992125984"/>
  <pageSetup paperSize="9" scale="40" fitToHeight="2" orientation="landscape" r:id="rId1"/>
  <headerFooter>
    <oddFooter>&amp;CPage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J130"/>
  <sheetViews>
    <sheetView topLeftCell="A31" workbookViewId="0">
      <selection activeCell="G15" sqref="G15"/>
    </sheetView>
  </sheetViews>
  <sheetFormatPr defaultRowHeight="15" x14ac:dyDescent="0.25"/>
  <cols>
    <col min="1" max="1" width="6.44140625" style="186" customWidth="1"/>
    <col min="2" max="2" width="43.33203125" style="186" customWidth="1"/>
    <col min="3" max="3" width="11.109375" style="186" customWidth="1"/>
    <col min="4" max="4" width="13.109375" style="186" customWidth="1"/>
    <col min="5" max="5" width="13.88671875" style="186" customWidth="1"/>
    <col min="6" max="6" width="12.44140625" style="186" customWidth="1"/>
    <col min="7" max="7" width="13" style="186" customWidth="1"/>
    <col min="8" max="8" width="11" style="186" customWidth="1"/>
    <col min="9" max="9" width="9.88671875" style="186" customWidth="1"/>
    <col min="10" max="10" width="11.109375" style="186" customWidth="1"/>
    <col min="11" max="11" width="9.44140625" style="186" customWidth="1"/>
    <col min="12" max="12" width="9.5546875" style="186" customWidth="1"/>
    <col min="13" max="13" width="10.77734375" style="186" customWidth="1"/>
    <col min="14" max="14" width="6.5546875" style="186" customWidth="1"/>
    <col min="15" max="15" width="7.5546875" style="186" customWidth="1"/>
    <col min="16" max="16" width="10.109375" style="186" customWidth="1"/>
    <col min="17" max="17" width="9.44140625" style="186" customWidth="1"/>
    <col min="18" max="18" width="11" style="186" customWidth="1"/>
    <col min="19" max="19" width="14" style="186" customWidth="1"/>
    <col min="20" max="20" width="9.88671875" style="186" customWidth="1"/>
    <col min="21" max="24" width="8.88671875" style="186"/>
    <col min="25" max="25" width="15" style="186" customWidth="1"/>
    <col min="26" max="26" width="6.44140625" style="186" customWidth="1"/>
    <col min="27" max="27" width="5.6640625" style="186" customWidth="1"/>
    <col min="28" max="28" width="9.109375" style="186" customWidth="1"/>
    <col min="29" max="31" width="8.88671875" style="186"/>
    <col min="32" max="32" width="11.6640625" style="186" customWidth="1"/>
    <col min="33" max="256" width="8.88671875" style="186"/>
    <col min="257" max="257" width="6.44140625" style="186" customWidth="1"/>
    <col min="258" max="258" width="43.33203125" style="186" customWidth="1"/>
    <col min="259" max="259" width="11.109375" style="186" customWidth="1"/>
    <col min="260" max="260" width="13.109375" style="186" customWidth="1"/>
    <col min="261" max="261" width="13.88671875" style="186" customWidth="1"/>
    <col min="262" max="262" width="8.33203125" style="186" customWidth="1"/>
    <col min="263" max="263" width="13" style="186" customWidth="1"/>
    <col min="264" max="264" width="8.109375" style="186" customWidth="1"/>
    <col min="265" max="265" width="7.88671875" style="186" customWidth="1"/>
    <col min="266" max="266" width="11.109375" style="186" customWidth="1"/>
    <col min="267" max="267" width="9.44140625" style="186" customWidth="1"/>
    <col min="268" max="268" width="9.5546875" style="186" customWidth="1"/>
    <col min="269" max="269" width="10.77734375" style="186" customWidth="1"/>
    <col min="270" max="270" width="6.5546875" style="186" customWidth="1"/>
    <col min="271" max="271" width="7.5546875" style="186" customWidth="1"/>
    <col min="272" max="272" width="10.109375" style="186" customWidth="1"/>
    <col min="273" max="273" width="9.44140625" style="186" customWidth="1"/>
    <col min="274" max="274" width="11" style="186" customWidth="1"/>
    <col min="275" max="275" width="14" style="186" customWidth="1"/>
    <col min="276" max="276" width="9.88671875" style="186" customWidth="1"/>
    <col min="277" max="280" width="8.88671875" style="186"/>
    <col min="281" max="281" width="15" style="186" customWidth="1"/>
    <col min="282" max="282" width="6.44140625" style="186" customWidth="1"/>
    <col min="283" max="283" width="5.6640625" style="186" customWidth="1"/>
    <col min="284" max="284" width="9.109375" style="186" customWidth="1"/>
    <col min="285" max="287" width="8.88671875" style="186"/>
    <col min="288" max="288" width="11.6640625" style="186" customWidth="1"/>
    <col min="289" max="512" width="8.88671875" style="186"/>
    <col min="513" max="513" width="6.44140625" style="186" customWidth="1"/>
    <col min="514" max="514" width="43.33203125" style="186" customWidth="1"/>
    <col min="515" max="515" width="11.109375" style="186" customWidth="1"/>
    <col min="516" max="516" width="13.109375" style="186" customWidth="1"/>
    <col min="517" max="517" width="13.88671875" style="186" customWidth="1"/>
    <col min="518" max="518" width="8.33203125" style="186" customWidth="1"/>
    <col min="519" max="519" width="13" style="186" customWidth="1"/>
    <col min="520" max="520" width="8.109375" style="186" customWidth="1"/>
    <col min="521" max="521" width="7.88671875" style="186" customWidth="1"/>
    <col min="522" max="522" width="11.109375" style="186" customWidth="1"/>
    <col min="523" max="523" width="9.44140625" style="186" customWidth="1"/>
    <col min="524" max="524" width="9.5546875" style="186" customWidth="1"/>
    <col min="525" max="525" width="10.77734375" style="186" customWidth="1"/>
    <col min="526" max="526" width="6.5546875" style="186" customWidth="1"/>
    <col min="527" max="527" width="7.5546875" style="186" customWidth="1"/>
    <col min="528" max="528" width="10.109375" style="186" customWidth="1"/>
    <col min="529" max="529" width="9.44140625" style="186" customWidth="1"/>
    <col min="530" max="530" width="11" style="186" customWidth="1"/>
    <col min="531" max="531" width="14" style="186" customWidth="1"/>
    <col min="532" max="532" width="9.88671875" style="186" customWidth="1"/>
    <col min="533" max="536" width="8.88671875" style="186"/>
    <col min="537" max="537" width="15" style="186" customWidth="1"/>
    <col min="538" max="538" width="6.44140625" style="186" customWidth="1"/>
    <col min="539" max="539" width="5.6640625" style="186" customWidth="1"/>
    <col min="540" max="540" width="9.109375" style="186" customWidth="1"/>
    <col min="541" max="543" width="8.88671875" style="186"/>
    <col min="544" max="544" width="11.6640625" style="186" customWidth="1"/>
    <col min="545" max="768" width="8.88671875" style="186"/>
    <col min="769" max="769" width="6.44140625" style="186" customWidth="1"/>
    <col min="770" max="770" width="43.33203125" style="186" customWidth="1"/>
    <col min="771" max="771" width="11.109375" style="186" customWidth="1"/>
    <col min="772" max="772" width="13.109375" style="186" customWidth="1"/>
    <col min="773" max="773" width="13.88671875" style="186" customWidth="1"/>
    <col min="774" max="774" width="8.33203125" style="186" customWidth="1"/>
    <col min="775" max="775" width="13" style="186" customWidth="1"/>
    <col min="776" max="776" width="8.109375" style="186" customWidth="1"/>
    <col min="777" max="777" width="7.88671875" style="186" customWidth="1"/>
    <col min="778" max="778" width="11.109375" style="186" customWidth="1"/>
    <col min="779" max="779" width="9.44140625" style="186" customWidth="1"/>
    <col min="780" max="780" width="9.5546875" style="186" customWidth="1"/>
    <col min="781" max="781" width="10.77734375" style="186" customWidth="1"/>
    <col min="782" max="782" width="6.5546875" style="186" customWidth="1"/>
    <col min="783" max="783" width="7.5546875" style="186" customWidth="1"/>
    <col min="784" max="784" width="10.109375" style="186" customWidth="1"/>
    <col min="785" max="785" width="9.44140625" style="186" customWidth="1"/>
    <col min="786" max="786" width="11" style="186" customWidth="1"/>
    <col min="787" max="787" width="14" style="186" customWidth="1"/>
    <col min="788" max="788" width="9.88671875" style="186" customWidth="1"/>
    <col min="789" max="792" width="8.88671875" style="186"/>
    <col min="793" max="793" width="15" style="186" customWidth="1"/>
    <col min="794" max="794" width="6.44140625" style="186" customWidth="1"/>
    <col min="795" max="795" width="5.6640625" style="186" customWidth="1"/>
    <col min="796" max="796" width="9.109375" style="186" customWidth="1"/>
    <col min="797" max="799" width="8.88671875" style="186"/>
    <col min="800" max="800" width="11.6640625" style="186" customWidth="1"/>
    <col min="801" max="1024" width="8.88671875" style="186"/>
    <col min="1025" max="1025" width="6.44140625" style="186" customWidth="1"/>
    <col min="1026" max="1026" width="43.33203125" style="186" customWidth="1"/>
    <col min="1027" max="1027" width="11.109375" style="186" customWidth="1"/>
    <col min="1028" max="1028" width="13.109375" style="186" customWidth="1"/>
    <col min="1029" max="1029" width="13.88671875" style="186" customWidth="1"/>
    <col min="1030" max="1030" width="8.33203125" style="186" customWidth="1"/>
    <col min="1031" max="1031" width="13" style="186" customWidth="1"/>
    <col min="1032" max="1032" width="8.109375" style="186" customWidth="1"/>
    <col min="1033" max="1033" width="7.88671875" style="186" customWidth="1"/>
    <col min="1034" max="1034" width="11.109375" style="186" customWidth="1"/>
    <col min="1035" max="1035" width="9.44140625" style="186" customWidth="1"/>
    <col min="1036" max="1036" width="9.5546875" style="186" customWidth="1"/>
    <col min="1037" max="1037" width="10.77734375" style="186" customWidth="1"/>
    <col min="1038" max="1038" width="6.5546875" style="186" customWidth="1"/>
    <col min="1039" max="1039" width="7.5546875" style="186" customWidth="1"/>
    <col min="1040" max="1040" width="10.109375" style="186" customWidth="1"/>
    <col min="1041" max="1041" width="9.44140625" style="186" customWidth="1"/>
    <col min="1042" max="1042" width="11" style="186" customWidth="1"/>
    <col min="1043" max="1043" width="14" style="186" customWidth="1"/>
    <col min="1044" max="1044" width="9.88671875" style="186" customWidth="1"/>
    <col min="1045" max="1048" width="8.88671875" style="186"/>
    <col min="1049" max="1049" width="15" style="186" customWidth="1"/>
    <col min="1050" max="1050" width="6.44140625" style="186" customWidth="1"/>
    <col min="1051" max="1051" width="5.6640625" style="186" customWidth="1"/>
    <col min="1052" max="1052" width="9.109375" style="186" customWidth="1"/>
    <col min="1053" max="1055" width="8.88671875" style="186"/>
    <col min="1056" max="1056" width="11.6640625" style="186" customWidth="1"/>
    <col min="1057" max="1280" width="8.88671875" style="186"/>
    <col min="1281" max="1281" width="6.44140625" style="186" customWidth="1"/>
    <col min="1282" max="1282" width="43.33203125" style="186" customWidth="1"/>
    <col min="1283" max="1283" width="11.109375" style="186" customWidth="1"/>
    <col min="1284" max="1284" width="13.109375" style="186" customWidth="1"/>
    <col min="1285" max="1285" width="13.88671875" style="186" customWidth="1"/>
    <col min="1286" max="1286" width="8.33203125" style="186" customWidth="1"/>
    <col min="1287" max="1287" width="13" style="186" customWidth="1"/>
    <col min="1288" max="1288" width="8.109375" style="186" customWidth="1"/>
    <col min="1289" max="1289" width="7.88671875" style="186" customWidth="1"/>
    <col min="1290" max="1290" width="11.109375" style="186" customWidth="1"/>
    <col min="1291" max="1291" width="9.44140625" style="186" customWidth="1"/>
    <col min="1292" max="1292" width="9.5546875" style="186" customWidth="1"/>
    <col min="1293" max="1293" width="10.77734375" style="186" customWidth="1"/>
    <col min="1294" max="1294" width="6.5546875" style="186" customWidth="1"/>
    <col min="1295" max="1295" width="7.5546875" style="186" customWidth="1"/>
    <col min="1296" max="1296" width="10.109375" style="186" customWidth="1"/>
    <col min="1297" max="1297" width="9.44140625" style="186" customWidth="1"/>
    <col min="1298" max="1298" width="11" style="186" customWidth="1"/>
    <col min="1299" max="1299" width="14" style="186" customWidth="1"/>
    <col min="1300" max="1300" width="9.88671875" style="186" customWidth="1"/>
    <col min="1301" max="1304" width="8.88671875" style="186"/>
    <col min="1305" max="1305" width="15" style="186" customWidth="1"/>
    <col min="1306" max="1306" width="6.44140625" style="186" customWidth="1"/>
    <col min="1307" max="1307" width="5.6640625" style="186" customWidth="1"/>
    <col min="1308" max="1308" width="9.109375" style="186" customWidth="1"/>
    <col min="1309" max="1311" width="8.88671875" style="186"/>
    <col min="1312" max="1312" width="11.6640625" style="186" customWidth="1"/>
    <col min="1313" max="1536" width="8.88671875" style="186"/>
    <col min="1537" max="1537" width="6.44140625" style="186" customWidth="1"/>
    <col min="1538" max="1538" width="43.33203125" style="186" customWidth="1"/>
    <col min="1539" max="1539" width="11.109375" style="186" customWidth="1"/>
    <col min="1540" max="1540" width="13.109375" style="186" customWidth="1"/>
    <col min="1541" max="1541" width="13.88671875" style="186" customWidth="1"/>
    <col min="1542" max="1542" width="8.33203125" style="186" customWidth="1"/>
    <col min="1543" max="1543" width="13" style="186" customWidth="1"/>
    <col min="1544" max="1544" width="8.109375" style="186" customWidth="1"/>
    <col min="1545" max="1545" width="7.88671875" style="186" customWidth="1"/>
    <col min="1546" max="1546" width="11.109375" style="186" customWidth="1"/>
    <col min="1547" max="1547" width="9.44140625" style="186" customWidth="1"/>
    <col min="1548" max="1548" width="9.5546875" style="186" customWidth="1"/>
    <col min="1549" max="1549" width="10.77734375" style="186" customWidth="1"/>
    <col min="1550" max="1550" width="6.5546875" style="186" customWidth="1"/>
    <col min="1551" max="1551" width="7.5546875" style="186" customWidth="1"/>
    <col min="1552" max="1552" width="10.109375" style="186" customWidth="1"/>
    <col min="1553" max="1553" width="9.44140625" style="186" customWidth="1"/>
    <col min="1554" max="1554" width="11" style="186" customWidth="1"/>
    <col min="1555" max="1555" width="14" style="186" customWidth="1"/>
    <col min="1556" max="1556" width="9.88671875" style="186" customWidth="1"/>
    <col min="1557" max="1560" width="8.88671875" style="186"/>
    <col min="1561" max="1561" width="15" style="186" customWidth="1"/>
    <col min="1562" max="1562" width="6.44140625" style="186" customWidth="1"/>
    <col min="1563" max="1563" width="5.6640625" style="186" customWidth="1"/>
    <col min="1564" max="1564" width="9.109375" style="186" customWidth="1"/>
    <col min="1565" max="1567" width="8.88671875" style="186"/>
    <col min="1568" max="1568" width="11.6640625" style="186" customWidth="1"/>
    <col min="1569" max="1792" width="8.88671875" style="186"/>
    <col min="1793" max="1793" width="6.44140625" style="186" customWidth="1"/>
    <col min="1794" max="1794" width="43.33203125" style="186" customWidth="1"/>
    <col min="1795" max="1795" width="11.109375" style="186" customWidth="1"/>
    <col min="1796" max="1796" width="13.109375" style="186" customWidth="1"/>
    <col min="1797" max="1797" width="13.88671875" style="186" customWidth="1"/>
    <col min="1798" max="1798" width="8.33203125" style="186" customWidth="1"/>
    <col min="1799" max="1799" width="13" style="186" customWidth="1"/>
    <col min="1800" max="1800" width="8.109375" style="186" customWidth="1"/>
    <col min="1801" max="1801" width="7.88671875" style="186" customWidth="1"/>
    <col min="1802" max="1802" width="11.109375" style="186" customWidth="1"/>
    <col min="1803" max="1803" width="9.44140625" style="186" customWidth="1"/>
    <col min="1804" max="1804" width="9.5546875" style="186" customWidth="1"/>
    <col min="1805" max="1805" width="10.77734375" style="186" customWidth="1"/>
    <col min="1806" max="1806" width="6.5546875" style="186" customWidth="1"/>
    <col min="1807" max="1807" width="7.5546875" style="186" customWidth="1"/>
    <col min="1808" max="1808" width="10.109375" style="186" customWidth="1"/>
    <col min="1809" max="1809" width="9.44140625" style="186" customWidth="1"/>
    <col min="1810" max="1810" width="11" style="186" customWidth="1"/>
    <col min="1811" max="1811" width="14" style="186" customWidth="1"/>
    <col min="1812" max="1812" width="9.88671875" style="186" customWidth="1"/>
    <col min="1813" max="1816" width="8.88671875" style="186"/>
    <col min="1817" max="1817" width="15" style="186" customWidth="1"/>
    <col min="1818" max="1818" width="6.44140625" style="186" customWidth="1"/>
    <col min="1819" max="1819" width="5.6640625" style="186" customWidth="1"/>
    <col min="1820" max="1820" width="9.109375" style="186" customWidth="1"/>
    <col min="1821" max="1823" width="8.88671875" style="186"/>
    <col min="1824" max="1824" width="11.6640625" style="186" customWidth="1"/>
    <col min="1825" max="2048" width="8.88671875" style="186"/>
    <col min="2049" max="2049" width="6.44140625" style="186" customWidth="1"/>
    <col min="2050" max="2050" width="43.33203125" style="186" customWidth="1"/>
    <col min="2051" max="2051" width="11.109375" style="186" customWidth="1"/>
    <col min="2052" max="2052" width="13.109375" style="186" customWidth="1"/>
    <col min="2053" max="2053" width="13.88671875" style="186" customWidth="1"/>
    <col min="2054" max="2054" width="8.33203125" style="186" customWidth="1"/>
    <col min="2055" max="2055" width="13" style="186" customWidth="1"/>
    <col min="2056" max="2056" width="8.109375" style="186" customWidth="1"/>
    <col min="2057" max="2057" width="7.88671875" style="186" customWidth="1"/>
    <col min="2058" max="2058" width="11.109375" style="186" customWidth="1"/>
    <col min="2059" max="2059" width="9.44140625" style="186" customWidth="1"/>
    <col min="2060" max="2060" width="9.5546875" style="186" customWidth="1"/>
    <col min="2061" max="2061" width="10.77734375" style="186" customWidth="1"/>
    <col min="2062" max="2062" width="6.5546875" style="186" customWidth="1"/>
    <col min="2063" max="2063" width="7.5546875" style="186" customWidth="1"/>
    <col min="2064" max="2064" width="10.109375" style="186" customWidth="1"/>
    <col min="2065" max="2065" width="9.44140625" style="186" customWidth="1"/>
    <col min="2066" max="2066" width="11" style="186" customWidth="1"/>
    <col min="2067" max="2067" width="14" style="186" customWidth="1"/>
    <col min="2068" max="2068" width="9.88671875" style="186" customWidth="1"/>
    <col min="2069" max="2072" width="8.88671875" style="186"/>
    <col min="2073" max="2073" width="15" style="186" customWidth="1"/>
    <col min="2074" max="2074" width="6.44140625" style="186" customWidth="1"/>
    <col min="2075" max="2075" width="5.6640625" style="186" customWidth="1"/>
    <col min="2076" max="2076" width="9.109375" style="186" customWidth="1"/>
    <col min="2077" max="2079" width="8.88671875" style="186"/>
    <col min="2080" max="2080" width="11.6640625" style="186" customWidth="1"/>
    <col min="2081" max="2304" width="8.88671875" style="186"/>
    <col min="2305" max="2305" width="6.44140625" style="186" customWidth="1"/>
    <col min="2306" max="2306" width="43.33203125" style="186" customWidth="1"/>
    <col min="2307" max="2307" width="11.109375" style="186" customWidth="1"/>
    <col min="2308" max="2308" width="13.109375" style="186" customWidth="1"/>
    <col min="2309" max="2309" width="13.88671875" style="186" customWidth="1"/>
    <col min="2310" max="2310" width="8.33203125" style="186" customWidth="1"/>
    <col min="2311" max="2311" width="13" style="186" customWidth="1"/>
    <col min="2312" max="2312" width="8.109375" style="186" customWidth="1"/>
    <col min="2313" max="2313" width="7.88671875" style="186" customWidth="1"/>
    <col min="2314" max="2314" width="11.109375" style="186" customWidth="1"/>
    <col min="2315" max="2315" width="9.44140625" style="186" customWidth="1"/>
    <col min="2316" max="2316" width="9.5546875" style="186" customWidth="1"/>
    <col min="2317" max="2317" width="10.77734375" style="186" customWidth="1"/>
    <col min="2318" max="2318" width="6.5546875" style="186" customWidth="1"/>
    <col min="2319" max="2319" width="7.5546875" style="186" customWidth="1"/>
    <col min="2320" max="2320" width="10.109375" style="186" customWidth="1"/>
    <col min="2321" max="2321" width="9.44140625" style="186" customWidth="1"/>
    <col min="2322" max="2322" width="11" style="186" customWidth="1"/>
    <col min="2323" max="2323" width="14" style="186" customWidth="1"/>
    <col min="2324" max="2324" width="9.88671875" style="186" customWidth="1"/>
    <col min="2325" max="2328" width="8.88671875" style="186"/>
    <col min="2329" max="2329" width="15" style="186" customWidth="1"/>
    <col min="2330" max="2330" width="6.44140625" style="186" customWidth="1"/>
    <col min="2331" max="2331" width="5.6640625" style="186" customWidth="1"/>
    <col min="2332" max="2332" width="9.109375" style="186" customWidth="1"/>
    <col min="2333" max="2335" width="8.88671875" style="186"/>
    <col min="2336" max="2336" width="11.6640625" style="186" customWidth="1"/>
    <col min="2337" max="2560" width="8.88671875" style="186"/>
    <col min="2561" max="2561" width="6.44140625" style="186" customWidth="1"/>
    <col min="2562" max="2562" width="43.33203125" style="186" customWidth="1"/>
    <col min="2563" max="2563" width="11.109375" style="186" customWidth="1"/>
    <col min="2564" max="2564" width="13.109375" style="186" customWidth="1"/>
    <col min="2565" max="2565" width="13.88671875" style="186" customWidth="1"/>
    <col min="2566" max="2566" width="8.33203125" style="186" customWidth="1"/>
    <col min="2567" max="2567" width="13" style="186" customWidth="1"/>
    <col min="2568" max="2568" width="8.109375" style="186" customWidth="1"/>
    <col min="2569" max="2569" width="7.88671875" style="186" customWidth="1"/>
    <col min="2570" max="2570" width="11.109375" style="186" customWidth="1"/>
    <col min="2571" max="2571" width="9.44140625" style="186" customWidth="1"/>
    <col min="2572" max="2572" width="9.5546875" style="186" customWidth="1"/>
    <col min="2573" max="2573" width="10.77734375" style="186" customWidth="1"/>
    <col min="2574" max="2574" width="6.5546875" style="186" customWidth="1"/>
    <col min="2575" max="2575" width="7.5546875" style="186" customWidth="1"/>
    <col min="2576" max="2576" width="10.109375" style="186" customWidth="1"/>
    <col min="2577" max="2577" width="9.44140625" style="186" customWidth="1"/>
    <col min="2578" max="2578" width="11" style="186" customWidth="1"/>
    <col min="2579" max="2579" width="14" style="186" customWidth="1"/>
    <col min="2580" max="2580" width="9.88671875" style="186" customWidth="1"/>
    <col min="2581" max="2584" width="8.88671875" style="186"/>
    <col min="2585" max="2585" width="15" style="186" customWidth="1"/>
    <col min="2586" max="2586" width="6.44140625" style="186" customWidth="1"/>
    <col min="2587" max="2587" width="5.6640625" style="186" customWidth="1"/>
    <col min="2588" max="2588" width="9.109375" style="186" customWidth="1"/>
    <col min="2589" max="2591" width="8.88671875" style="186"/>
    <col min="2592" max="2592" width="11.6640625" style="186" customWidth="1"/>
    <col min="2593" max="2816" width="8.88671875" style="186"/>
    <col min="2817" max="2817" width="6.44140625" style="186" customWidth="1"/>
    <col min="2818" max="2818" width="43.33203125" style="186" customWidth="1"/>
    <col min="2819" max="2819" width="11.109375" style="186" customWidth="1"/>
    <col min="2820" max="2820" width="13.109375" style="186" customWidth="1"/>
    <col min="2821" max="2821" width="13.88671875" style="186" customWidth="1"/>
    <col min="2822" max="2822" width="8.33203125" style="186" customWidth="1"/>
    <col min="2823" max="2823" width="13" style="186" customWidth="1"/>
    <col min="2824" max="2824" width="8.109375" style="186" customWidth="1"/>
    <col min="2825" max="2825" width="7.88671875" style="186" customWidth="1"/>
    <col min="2826" max="2826" width="11.109375" style="186" customWidth="1"/>
    <col min="2827" max="2827" width="9.44140625" style="186" customWidth="1"/>
    <col min="2828" max="2828" width="9.5546875" style="186" customWidth="1"/>
    <col min="2829" max="2829" width="10.77734375" style="186" customWidth="1"/>
    <col min="2830" max="2830" width="6.5546875" style="186" customWidth="1"/>
    <col min="2831" max="2831" width="7.5546875" style="186" customWidth="1"/>
    <col min="2832" max="2832" width="10.109375" style="186" customWidth="1"/>
    <col min="2833" max="2833" width="9.44140625" style="186" customWidth="1"/>
    <col min="2834" max="2834" width="11" style="186" customWidth="1"/>
    <col min="2835" max="2835" width="14" style="186" customWidth="1"/>
    <col min="2836" max="2836" width="9.88671875" style="186" customWidth="1"/>
    <col min="2837" max="2840" width="8.88671875" style="186"/>
    <col min="2841" max="2841" width="15" style="186" customWidth="1"/>
    <col min="2842" max="2842" width="6.44140625" style="186" customWidth="1"/>
    <col min="2843" max="2843" width="5.6640625" style="186" customWidth="1"/>
    <col min="2844" max="2844" width="9.109375" style="186" customWidth="1"/>
    <col min="2845" max="2847" width="8.88671875" style="186"/>
    <col min="2848" max="2848" width="11.6640625" style="186" customWidth="1"/>
    <col min="2849" max="3072" width="8.88671875" style="186"/>
    <col min="3073" max="3073" width="6.44140625" style="186" customWidth="1"/>
    <col min="3074" max="3074" width="43.33203125" style="186" customWidth="1"/>
    <col min="3075" max="3075" width="11.109375" style="186" customWidth="1"/>
    <col min="3076" max="3076" width="13.109375" style="186" customWidth="1"/>
    <col min="3077" max="3077" width="13.88671875" style="186" customWidth="1"/>
    <col min="3078" max="3078" width="8.33203125" style="186" customWidth="1"/>
    <col min="3079" max="3079" width="13" style="186" customWidth="1"/>
    <col min="3080" max="3080" width="8.109375" style="186" customWidth="1"/>
    <col min="3081" max="3081" width="7.88671875" style="186" customWidth="1"/>
    <col min="3082" max="3082" width="11.109375" style="186" customWidth="1"/>
    <col min="3083" max="3083" width="9.44140625" style="186" customWidth="1"/>
    <col min="3084" max="3084" width="9.5546875" style="186" customWidth="1"/>
    <col min="3085" max="3085" width="10.77734375" style="186" customWidth="1"/>
    <col min="3086" max="3086" width="6.5546875" style="186" customWidth="1"/>
    <col min="3087" max="3087" width="7.5546875" style="186" customWidth="1"/>
    <col min="3088" max="3088" width="10.109375" style="186" customWidth="1"/>
    <col min="3089" max="3089" width="9.44140625" style="186" customWidth="1"/>
    <col min="3090" max="3090" width="11" style="186" customWidth="1"/>
    <col min="3091" max="3091" width="14" style="186" customWidth="1"/>
    <col min="3092" max="3092" width="9.88671875" style="186" customWidth="1"/>
    <col min="3093" max="3096" width="8.88671875" style="186"/>
    <col min="3097" max="3097" width="15" style="186" customWidth="1"/>
    <col min="3098" max="3098" width="6.44140625" style="186" customWidth="1"/>
    <col min="3099" max="3099" width="5.6640625" style="186" customWidth="1"/>
    <col min="3100" max="3100" width="9.109375" style="186" customWidth="1"/>
    <col min="3101" max="3103" width="8.88671875" style="186"/>
    <col min="3104" max="3104" width="11.6640625" style="186" customWidth="1"/>
    <col min="3105" max="3328" width="8.88671875" style="186"/>
    <col min="3329" max="3329" width="6.44140625" style="186" customWidth="1"/>
    <col min="3330" max="3330" width="43.33203125" style="186" customWidth="1"/>
    <col min="3331" max="3331" width="11.109375" style="186" customWidth="1"/>
    <col min="3332" max="3332" width="13.109375" style="186" customWidth="1"/>
    <col min="3333" max="3333" width="13.88671875" style="186" customWidth="1"/>
    <col min="3334" max="3334" width="8.33203125" style="186" customWidth="1"/>
    <col min="3335" max="3335" width="13" style="186" customWidth="1"/>
    <col min="3336" max="3336" width="8.109375" style="186" customWidth="1"/>
    <col min="3337" max="3337" width="7.88671875" style="186" customWidth="1"/>
    <col min="3338" max="3338" width="11.109375" style="186" customWidth="1"/>
    <col min="3339" max="3339" width="9.44140625" style="186" customWidth="1"/>
    <col min="3340" max="3340" width="9.5546875" style="186" customWidth="1"/>
    <col min="3341" max="3341" width="10.77734375" style="186" customWidth="1"/>
    <col min="3342" max="3342" width="6.5546875" style="186" customWidth="1"/>
    <col min="3343" max="3343" width="7.5546875" style="186" customWidth="1"/>
    <col min="3344" max="3344" width="10.109375" style="186" customWidth="1"/>
    <col min="3345" max="3345" width="9.44140625" style="186" customWidth="1"/>
    <col min="3346" max="3346" width="11" style="186" customWidth="1"/>
    <col min="3347" max="3347" width="14" style="186" customWidth="1"/>
    <col min="3348" max="3348" width="9.88671875" style="186" customWidth="1"/>
    <col min="3349" max="3352" width="8.88671875" style="186"/>
    <col min="3353" max="3353" width="15" style="186" customWidth="1"/>
    <col min="3354" max="3354" width="6.44140625" style="186" customWidth="1"/>
    <col min="3355" max="3355" width="5.6640625" style="186" customWidth="1"/>
    <col min="3356" max="3356" width="9.109375" style="186" customWidth="1"/>
    <col min="3357" max="3359" width="8.88671875" style="186"/>
    <col min="3360" max="3360" width="11.6640625" style="186" customWidth="1"/>
    <col min="3361" max="3584" width="8.88671875" style="186"/>
    <col min="3585" max="3585" width="6.44140625" style="186" customWidth="1"/>
    <col min="3586" max="3586" width="43.33203125" style="186" customWidth="1"/>
    <col min="3587" max="3587" width="11.109375" style="186" customWidth="1"/>
    <col min="3588" max="3588" width="13.109375" style="186" customWidth="1"/>
    <col min="3589" max="3589" width="13.88671875" style="186" customWidth="1"/>
    <col min="3590" max="3590" width="8.33203125" style="186" customWidth="1"/>
    <col min="3591" max="3591" width="13" style="186" customWidth="1"/>
    <col min="3592" max="3592" width="8.109375" style="186" customWidth="1"/>
    <col min="3593" max="3593" width="7.88671875" style="186" customWidth="1"/>
    <col min="3594" max="3594" width="11.109375" style="186" customWidth="1"/>
    <col min="3595" max="3595" width="9.44140625" style="186" customWidth="1"/>
    <col min="3596" max="3596" width="9.5546875" style="186" customWidth="1"/>
    <col min="3597" max="3597" width="10.77734375" style="186" customWidth="1"/>
    <col min="3598" max="3598" width="6.5546875" style="186" customWidth="1"/>
    <col min="3599" max="3599" width="7.5546875" style="186" customWidth="1"/>
    <col min="3600" max="3600" width="10.109375" style="186" customWidth="1"/>
    <col min="3601" max="3601" width="9.44140625" style="186" customWidth="1"/>
    <col min="3602" max="3602" width="11" style="186" customWidth="1"/>
    <col min="3603" max="3603" width="14" style="186" customWidth="1"/>
    <col min="3604" max="3604" width="9.88671875" style="186" customWidth="1"/>
    <col min="3605" max="3608" width="8.88671875" style="186"/>
    <col min="3609" max="3609" width="15" style="186" customWidth="1"/>
    <col min="3610" max="3610" width="6.44140625" style="186" customWidth="1"/>
    <col min="3611" max="3611" width="5.6640625" style="186" customWidth="1"/>
    <col min="3612" max="3612" width="9.109375" style="186" customWidth="1"/>
    <col min="3613" max="3615" width="8.88671875" style="186"/>
    <col min="3616" max="3616" width="11.6640625" style="186" customWidth="1"/>
    <col min="3617" max="3840" width="8.88671875" style="186"/>
    <col min="3841" max="3841" width="6.44140625" style="186" customWidth="1"/>
    <col min="3842" max="3842" width="43.33203125" style="186" customWidth="1"/>
    <col min="3843" max="3843" width="11.109375" style="186" customWidth="1"/>
    <col min="3844" max="3844" width="13.109375" style="186" customWidth="1"/>
    <col min="3845" max="3845" width="13.88671875" style="186" customWidth="1"/>
    <col min="3846" max="3846" width="8.33203125" style="186" customWidth="1"/>
    <col min="3847" max="3847" width="13" style="186" customWidth="1"/>
    <col min="3848" max="3848" width="8.109375" style="186" customWidth="1"/>
    <col min="3849" max="3849" width="7.88671875" style="186" customWidth="1"/>
    <col min="3850" max="3850" width="11.109375" style="186" customWidth="1"/>
    <col min="3851" max="3851" width="9.44140625" style="186" customWidth="1"/>
    <col min="3852" max="3852" width="9.5546875" style="186" customWidth="1"/>
    <col min="3853" max="3853" width="10.77734375" style="186" customWidth="1"/>
    <col min="3854" max="3854" width="6.5546875" style="186" customWidth="1"/>
    <col min="3855" max="3855" width="7.5546875" style="186" customWidth="1"/>
    <col min="3856" max="3856" width="10.109375" style="186" customWidth="1"/>
    <col min="3857" max="3857" width="9.44140625" style="186" customWidth="1"/>
    <col min="3858" max="3858" width="11" style="186" customWidth="1"/>
    <col min="3859" max="3859" width="14" style="186" customWidth="1"/>
    <col min="3860" max="3860" width="9.88671875" style="186" customWidth="1"/>
    <col min="3861" max="3864" width="8.88671875" style="186"/>
    <col min="3865" max="3865" width="15" style="186" customWidth="1"/>
    <col min="3866" max="3866" width="6.44140625" style="186" customWidth="1"/>
    <col min="3867" max="3867" width="5.6640625" style="186" customWidth="1"/>
    <col min="3868" max="3868" width="9.109375" style="186" customWidth="1"/>
    <col min="3869" max="3871" width="8.88671875" style="186"/>
    <col min="3872" max="3872" width="11.6640625" style="186" customWidth="1"/>
    <col min="3873" max="4096" width="8.88671875" style="186"/>
    <col min="4097" max="4097" width="6.44140625" style="186" customWidth="1"/>
    <col min="4098" max="4098" width="43.33203125" style="186" customWidth="1"/>
    <col min="4099" max="4099" width="11.109375" style="186" customWidth="1"/>
    <col min="4100" max="4100" width="13.109375" style="186" customWidth="1"/>
    <col min="4101" max="4101" width="13.88671875" style="186" customWidth="1"/>
    <col min="4102" max="4102" width="8.33203125" style="186" customWidth="1"/>
    <col min="4103" max="4103" width="13" style="186" customWidth="1"/>
    <col min="4104" max="4104" width="8.109375" style="186" customWidth="1"/>
    <col min="4105" max="4105" width="7.88671875" style="186" customWidth="1"/>
    <col min="4106" max="4106" width="11.109375" style="186" customWidth="1"/>
    <col min="4107" max="4107" width="9.44140625" style="186" customWidth="1"/>
    <col min="4108" max="4108" width="9.5546875" style="186" customWidth="1"/>
    <col min="4109" max="4109" width="10.77734375" style="186" customWidth="1"/>
    <col min="4110" max="4110" width="6.5546875" style="186" customWidth="1"/>
    <col min="4111" max="4111" width="7.5546875" style="186" customWidth="1"/>
    <col min="4112" max="4112" width="10.109375" style="186" customWidth="1"/>
    <col min="4113" max="4113" width="9.44140625" style="186" customWidth="1"/>
    <col min="4114" max="4114" width="11" style="186" customWidth="1"/>
    <col min="4115" max="4115" width="14" style="186" customWidth="1"/>
    <col min="4116" max="4116" width="9.88671875" style="186" customWidth="1"/>
    <col min="4117" max="4120" width="8.88671875" style="186"/>
    <col min="4121" max="4121" width="15" style="186" customWidth="1"/>
    <col min="4122" max="4122" width="6.44140625" style="186" customWidth="1"/>
    <col min="4123" max="4123" width="5.6640625" style="186" customWidth="1"/>
    <col min="4124" max="4124" width="9.109375" style="186" customWidth="1"/>
    <col min="4125" max="4127" width="8.88671875" style="186"/>
    <col min="4128" max="4128" width="11.6640625" style="186" customWidth="1"/>
    <col min="4129" max="4352" width="8.88671875" style="186"/>
    <col min="4353" max="4353" width="6.44140625" style="186" customWidth="1"/>
    <col min="4354" max="4354" width="43.33203125" style="186" customWidth="1"/>
    <col min="4355" max="4355" width="11.109375" style="186" customWidth="1"/>
    <col min="4356" max="4356" width="13.109375" style="186" customWidth="1"/>
    <col min="4357" max="4357" width="13.88671875" style="186" customWidth="1"/>
    <col min="4358" max="4358" width="8.33203125" style="186" customWidth="1"/>
    <col min="4359" max="4359" width="13" style="186" customWidth="1"/>
    <col min="4360" max="4360" width="8.109375" style="186" customWidth="1"/>
    <col min="4361" max="4361" width="7.88671875" style="186" customWidth="1"/>
    <col min="4362" max="4362" width="11.109375" style="186" customWidth="1"/>
    <col min="4363" max="4363" width="9.44140625" style="186" customWidth="1"/>
    <col min="4364" max="4364" width="9.5546875" style="186" customWidth="1"/>
    <col min="4365" max="4365" width="10.77734375" style="186" customWidth="1"/>
    <col min="4366" max="4366" width="6.5546875" style="186" customWidth="1"/>
    <col min="4367" max="4367" width="7.5546875" style="186" customWidth="1"/>
    <col min="4368" max="4368" width="10.109375" style="186" customWidth="1"/>
    <col min="4369" max="4369" width="9.44140625" style="186" customWidth="1"/>
    <col min="4370" max="4370" width="11" style="186" customWidth="1"/>
    <col min="4371" max="4371" width="14" style="186" customWidth="1"/>
    <col min="4372" max="4372" width="9.88671875" style="186" customWidth="1"/>
    <col min="4373" max="4376" width="8.88671875" style="186"/>
    <col min="4377" max="4377" width="15" style="186" customWidth="1"/>
    <col min="4378" max="4378" width="6.44140625" style="186" customWidth="1"/>
    <col min="4379" max="4379" width="5.6640625" style="186" customWidth="1"/>
    <col min="4380" max="4380" width="9.109375" style="186" customWidth="1"/>
    <col min="4381" max="4383" width="8.88671875" style="186"/>
    <col min="4384" max="4384" width="11.6640625" style="186" customWidth="1"/>
    <col min="4385" max="4608" width="8.88671875" style="186"/>
    <col min="4609" max="4609" width="6.44140625" style="186" customWidth="1"/>
    <col min="4610" max="4610" width="43.33203125" style="186" customWidth="1"/>
    <col min="4611" max="4611" width="11.109375" style="186" customWidth="1"/>
    <col min="4612" max="4612" width="13.109375" style="186" customWidth="1"/>
    <col min="4613" max="4613" width="13.88671875" style="186" customWidth="1"/>
    <col min="4614" max="4614" width="8.33203125" style="186" customWidth="1"/>
    <col min="4615" max="4615" width="13" style="186" customWidth="1"/>
    <col min="4616" max="4616" width="8.109375" style="186" customWidth="1"/>
    <col min="4617" max="4617" width="7.88671875" style="186" customWidth="1"/>
    <col min="4618" max="4618" width="11.109375" style="186" customWidth="1"/>
    <col min="4619" max="4619" width="9.44140625" style="186" customWidth="1"/>
    <col min="4620" max="4620" width="9.5546875" style="186" customWidth="1"/>
    <col min="4621" max="4621" width="10.77734375" style="186" customWidth="1"/>
    <col min="4622" max="4622" width="6.5546875" style="186" customWidth="1"/>
    <col min="4623" max="4623" width="7.5546875" style="186" customWidth="1"/>
    <col min="4624" max="4624" width="10.109375" style="186" customWidth="1"/>
    <col min="4625" max="4625" width="9.44140625" style="186" customWidth="1"/>
    <col min="4626" max="4626" width="11" style="186" customWidth="1"/>
    <col min="4627" max="4627" width="14" style="186" customWidth="1"/>
    <col min="4628" max="4628" width="9.88671875" style="186" customWidth="1"/>
    <col min="4629" max="4632" width="8.88671875" style="186"/>
    <col min="4633" max="4633" width="15" style="186" customWidth="1"/>
    <col min="4634" max="4634" width="6.44140625" style="186" customWidth="1"/>
    <col min="4635" max="4635" width="5.6640625" style="186" customWidth="1"/>
    <col min="4636" max="4636" width="9.109375" style="186" customWidth="1"/>
    <col min="4637" max="4639" width="8.88671875" style="186"/>
    <col min="4640" max="4640" width="11.6640625" style="186" customWidth="1"/>
    <col min="4641" max="4864" width="8.88671875" style="186"/>
    <col min="4865" max="4865" width="6.44140625" style="186" customWidth="1"/>
    <col min="4866" max="4866" width="43.33203125" style="186" customWidth="1"/>
    <col min="4867" max="4867" width="11.109375" style="186" customWidth="1"/>
    <col min="4868" max="4868" width="13.109375" style="186" customWidth="1"/>
    <col min="4869" max="4869" width="13.88671875" style="186" customWidth="1"/>
    <col min="4870" max="4870" width="8.33203125" style="186" customWidth="1"/>
    <col min="4871" max="4871" width="13" style="186" customWidth="1"/>
    <col min="4872" max="4872" width="8.109375" style="186" customWidth="1"/>
    <col min="4873" max="4873" width="7.88671875" style="186" customWidth="1"/>
    <col min="4874" max="4874" width="11.109375" style="186" customWidth="1"/>
    <col min="4875" max="4875" width="9.44140625" style="186" customWidth="1"/>
    <col min="4876" max="4876" width="9.5546875" style="186" customWidth="1"/>
    <col min="4877" max="4877" width="10.77734375" style="186" customWidth="1"/>
    <col min="4878" max="4878" width="6.5546875" style="186" customWidth="1"/>
    <col min="4879" max="4879" width="7.5546875" style="186" customWidth="1"/>
    <col min="4880" max="4880" width="10.109375" style="186" customWidth="1"/>
    <col min="4881" max="4881" width="9.44140625" style="186" customWidth="1"/>
    <col min="4882" max="4882" width="11" style="186" customWidth="1"/>
    <col min="4883" max="4883" width="14" style="186" customWidth="1"/>
    <col min="4884" max="4884" width="9.88671875" style="186" customWidth="1"/>
    <col min="4885" max="4888" width="8.88671875" style="186"/>
    <col min="4889" max="4889" width="15" style="186" customWidth="1"/>
    <col min="4890" max="4890" width="6.44140625" style="186" customWidth="1"/>
    <col min="4891" max="4891" width="5.6640625" style="186" customWidth="1"/>
    <col min="4892" max="4892" width="9.109375" style="186" customWidth="1"/>
    <col min="4893" max="4895" width="8.88671875" style="186"/>
    <col min="4896" max="4896" width="11.6640625" style="186" customWidth="1"/>
    <col min="4897" max="5120" width="8.88671875" style="186"/>
    <col min="5121" max="5121" width="6.44140625" style="186" customWidth="1"/>
    <col min="5122" max="5122" width="43.33203125" style="186" customWidth="1"/>
    <col min="5123" max="5123" width="11.109375" style="186" customWidth="1"/>
    <col min="5124" max="5124" width="13.109375" style="186" customWidth="1"/>
    <col min="5125" max="5125" width="13.88671875" style="186" customWidth="1"/>
    <col min="5126" max="5126" width="8.33203125" style="186" customWidth="1"/>
    <col min="5127" max="5127" width="13" style="186" customWidth="1"/>
    <col min="5128" max="5128" width="8.109375" style="186" customWidth="1"/>
    <col min="5129" max="5129" width="7.88671875" style="186" customWidth="1"/>
    <col min="5130" max="5130" width="11.109375" style="186" customWidth="1"/>
    <col min="5131" max="5131" width="9.44140625" style="186" customWidth="1"/>
    <col min="5132" max="5132" width="9.5546875" style="186" customWidth="1"/>
    <col min="5133" max="5133" width="10.77734375" style="186" customWidth="1"/>
    <col min="5134" max="5134" width="6.5546875" style="186" customWidth="1"/>
    <col min="5135" max="5135" width="7.5546875" style="186" customWidth="1"/>
    <col min="5136" max="5136" width="10.109375" style="186" customWidth="1"/>
    <col min="5137" max="5137" width="9.44140625" style="186" customWidth="1"/>
    <col min="5138" max="5138" width="11" style="186" customWidth="1"/>
    <col min="5139" max="5139" width="14" style="186" customWidth="1"/>
    <col min="5140" max="5140" width="9.88671875" style="186" customWidth="1"/>
    <col min="5141" max="5144" width="8.88671875" style="186"/>
    <col min="5145" max="5145" width="15" style="186" customWidth="1"/>
    <col min="5146" max="5146" width="6.44140625" style="186" customWidth="1"/>
    <col min="5147" max="5147" width="5.6640625" style="186" customWidth="1"/>
    <col min="5148" max="5148" width="9.109375" style="186" customWidth="1"/>
    <col min="5149" max="5151" width="8.88671875" style="186"/>
    <col min="5152" max="5152" width="11.6640625" style="186" customWidth="1"/>
    <col min="5153" max="5376" width="8.88671875" style="186"/>
    <col min="5377" max="5377" width="6.44140625" style="186" customWidth="1"/>
    <col min="5378" max="5378" width="43.33203125" style="186" customWidth="1"/>
    <col min="5379" max="5379" width="11.109375" style="186" customWidth="1"/>
    <col min="5380" max="5380" width="13.109375" style="186" customWidth="1"/>
    <col min="5381" max="5381" width="13.88671875" style="186" customWidth="1"/>
    <col min="5382" max="5382" width="8.33203125" style="186" customWidth="1"/>
    <col min="5383" max="5383" width="13" style="186" customWidth="1"/>
    <col min="5384" max="5384" width="8.109375" style="186" customWidth="1"/>
    <col min="5385" max="5385" width="7.88671875" style="186" customWidth="1"/>
    <col min="5386" max="5386" width="11.109375" style="186" customWidth="1"/>
    <col min="5387" max="5387" width="9.44140625" style="186" customWidth="1"/>
    <col min="5388" max="5388" width="9.5546875" style="186" customWidth="1"/>
    <col min="5389" max="5389" width="10.77734375" style="186" customWidth="1"/>
    <col min="5390" max="5390" width="6.5546875" style="186" customWidth="1"/>
    <col min="5391" max="5391" width="7.5546875" style="186" customWidth="1"/>
    <col min="5392" max="5392" width="10.109375" style="186" customWidth="1"/>
    <col min="5393" max="5393" width="9.44140625" style="186" customWidth="1"/>
    <col min="5394" max="5394" width="11" style="186" customWidth="1"/>
    <col min="5395" max="5395" width="14" style="186" customWidth="1"/>
    <col min="5396" max="5396" width="9.88671875" style="186" customWidth="1"/>
    <col min="5397" max="5400" width="8.88671875" style="186"/>
    <col min="5401" max="5401" width="15" style="186" customWidth="1"/>
    <col min="5402" max="5402" width="6.44140625" style="186" customWidth="1"/>
    <col min="5403" max="5403" width="5.6640625" style="186" customWidth="1"/>
    <col min="5404" max="5404" width="9.109375" style="186" customWidth="1"/>
    <col min="5405" max="5407" width="8.88671875" style="186"/>
    <col min="5408" max="5408" width="11.6640625" style="186" customWidth="1"/>
    <col min="5409" max="5632" width="8.88671875" style="186"/>
    <col min="5633" max="5633" width="6.44140625" style="186" customWidth="1"/>
    <col min="5634" max="5634" width="43.33203125" style="186" customWidth="1"/>
    <col min="5635" max="5635" width="11.109375" style="186" customWidth="1"/>
    <col min="5636" max="5636" width="13.109375" style="186" customWidth="1"/>
    <col min="5637" max="5637" width="13.88671875" style="186" customWidth="1"/>
    <col min="5638" max="5638" width="8.33203125" style="186" customWidth="1"/>
    <col min="5639" max="5639" width="13" style="186" customWidth="1"/>
    <col min="5640" max="5640" width="8.109375" style="186" customWidth="1"/>
    <col min="5641" max="5641" width="7.88671875" style="186" customWidth="1"/>
    <col min="5642" max="5642" width="11.109375" style="186" customWidth="1"/>
    <col min="5643" max="5643" width="9.44140625" style="186" customWidth="1"/>
    <col min="5644" max="5644" width="9.5546875" style="186" customWidth="1"/>
    <col min="5645" max="5645" width="10.77734375" style="186" customWidth="1"/>
    <col min="5646" max="5646" width="6.5546875" style="186" customWidth="1"/>
    <col min="5647" max="5647" width="7.5546875" style="186" customWidth="1"/>
    <col min="5648" max="5648" width="10.109375" style="186" customWidth="1"/>
    <col min="5649" max="5649" width="9.44140625" style="186" customWidth="1"/>
    <col min="5650" max="5650" width="11" style="186" customWidth="1"/>
    <col min="5651" max="5651" width="14" style="186" customWidth="1"/>
    <col min="5652" max="5652" width="9.88671875" style="186" customWidth="1"/>
    <col min="5653" max="5656" width="8.88671875" style="186"/>
    <col min="5657" max="5657" width="15" style="186" customWidth="1"/>
    <col min="5658" max="5658" width="6.44140625" style="186" customWidth="1"/>
    <col min="5659" max="5659" width="5.6640625" style="186" customWidth="1"/>
    <col min="5660" max="5660" width="9.109375" style="186" customWidth="1"/>
    <col min="5661" max="5663" width="8.88671875" style="186"/>
    <col min="5664" max="5664" width="11.6640625" style="186" customWidth="1"/>
    <col min="5665" max="5888" width="8.88671875" style="186"/>
    <col min="5889" max="5889" width="6.44140625" style="186" customWidth="1"/>
    <col min="5890" max="5890" width="43.33203125" style="186" customWidth="1"/>
    <col min="5891" max="5891" width="11.109375" style="186" customWidth="1"/>
    <col min="5892" max="5892" width="13.109375" style="186" customWidth="1"/>
    <col min="5893" max="5893" width="13.88671875" style="186" customWidth="1"/>
    <col min="5894" max="5894" width="8.33203125" style="186" customWidth="1"/>
    <col min="5895" max="5895" width="13" style="186" customWidth="1"/>
    <col min="5896" max="5896" width="8.109375" style="186" customWidth="1"/>
    <col min="5897" max="5897" width="7.88671875" style="186" customWidth="1"/>
    <col min="5898" max="5898" width="11.109375" style="186" customWidth="1"/>
    <col min="5899" max="5899" width="9.44140625" style="186" customWidth="1"/>
    <col min="5900" max="5900" width="9.5546875" style="186" customWidth="1"/>
    <col min="5901" max="5901" width="10.77734375" style="186" customWidth="1"/>
    <col min="5902" max="5902" width="6.5546875" style="186" customWidth="1"/>
    <col min="5903" max="5903" width="7.5546875" style="186" customWidth="1"/>
    <col min="5904" max="5904" width="10.109375" style="186" customWidth="1"/>
    <col min="5905" max="5905" width="9.44140625" style="186" customWidth="1"/>
    <col min="5906" max="5906" width="11" style="186" customWidth="1"/>
    <col min="5907" max="5907" width="14" style="186" customWidth="1"/>
    <col min="5908" max="5908" width="9.88671875" style="186" customWidth="1"/>
    <col min="5909" max="5912" width="8.88671875" style="186"/>
    <col min="5913" max="5913" width="15" style="186" customWidth="1"/>
    <col min="5914" max="5914" width="6.44140625" style="186" customWidth="1"/>
    <col min="5915" max="5915" width="5.6640625" style="186" customWidth="1"/>
    <col min="5916" max="5916" width="9.109375" style="186" customWidth="1"/>
    <col min="5917" max="5919" width="8.88671875" style="186"/>
    <col min="5920" max="5920" width="11.6640625" style="186" customWidth="1"/>
    <col min="5921" max="6144" width="8.88671875" style="186"/>
    <col min="6145" max="6145" width="6.44140625" style="186" customWidth="1"/>
    <col min="6146" max="6146" width="43.33203125" style="186" customWidth="1"/>
    <col min="6147" max="6147" width="11.109375" style="186" customWidth="1"/>
    <col min="6148" max="6148" width="13.109375" style="186" customWidth="1"/>
    <col min="6149" max="6149" width="13.88671875" style="186" customWidth="1"/>
    <col min="6150" max="6150" width="8.33203125" style="186" customWidth="1"/>
    <col min="6151" max="6151" width="13" style="186" customWidth="1"/>
    <col min="6152" max="6152" width="8.109375" style="186" customWidth="1"/>
    <col min="6153" max="6153" width="7.88671875" style="186" customWidth="1"/>
    <col min="6154" max="6154" width="11.109375" style="186" customWidth="1"/>
    <col min="6155" max="6155" width="9.44140625" style="186" customWidth="1"/>
    <col min="6156" max="6156" width="9.5546875" style="186" customWidth="1"/>
    <col min="6157" max="6157" width="10.77734375" style="186" customWidth="1"/>
    <col min="6158" max="6158" width="6.5546875" style="186" customWidth="1"/>
    <col min="6159" max="6159" width="7.5546875" style="186" customWidth="1"/>
    <col min="6160" max="6160" width="10.109375" style="186" customWidth="1"/>
    <col min="6161" max="6161" width="9.44140625" style="186" customWidth="1"/>
    <col min="6162" max="6162" width="11" style="186" customWidth="1"/>
    <col min="6163" max="6163" width="14" style="186" customWidth="1"/>
    <col min="6164" max="6164" width="9.88671875" style="186" customWidth="1"/>
    <col min="6165" max="6168" width="8.88671875" style="186"/>
    <col min="6169" max="6169" width="15" style="186" customWidth="1"/>
    <col min="6170" max="6170" width="6.44140625" style="186" customWidth="1"/>
    <col min="6171" max="6171" width="5.6640625" style="186" customWidth="1"/>
    <col min="6172" max="6172" width="9.109375" style="186" customWidth="1"/>
    <col min="6173" max="6175" width="8.88671875" style="186"/>
    <col min="6176" max="6176" width="11.6640625" style="186" customWidth="1"/>
    <col min="6177" max="6400" width="8.88671875" style="186"/>
    <col min="6401" max="6401" width="6.44140625" style="186" customWidth="1"/>
    <col min="6402" max="6402" width="43.33203125" style="186" customWidth="1"/>
    <col min="6403" max="6403" width="11.109375" style="186" customWidth="1"/>
    <col min="6404" max="6404" width="13.109375" style="186" customWidth="1"/>
    <col min="6405" max="6405" width="13.88671875" style="186" customWidth="1"/>
    <col min="6406" max="6406" width="8.33203125" style="186" customWidth="1"/>
    <col min="6407" max="6407" width="13" style="186" customWidth="1"/>
    <col min="6408" max="6408" width="8.109375" style="186" customWidth="1"/>
    <col min="6409" max="6409" width="7.88671875" style="186" customWidth="1"/>
    <col min="6410" max="6410" width="11.109375" style="186" customWidth="1"/>
    <col min="6411" max="6411" width="9.44140625" style="186" customWidth="1"/>
    <col min="6412" max="6412" width="9.5546875" style="186" customWidth="1"/>
    <col min="6413" max="6413" width="10.77734375" style="186" customWidth="1"/>
    <col min="6414" max="6414" width="6.5546875" style="186" customWidth="1"/>
    <col min="6415" max="6415" width="7.5546875" style="186" customWidth="1"/>
    <col min="6416" max="6416" width="10.109375" style="186" customWidth="1"/>
    <col min="6417" max="6417" width="9.44140625" style="186" customWidth="1"/>
    <col min="6418" max="6418" width="11" style="186" customWidth="1"/>
    <col min="6419" max="6419" width="14" style="186" customWidth="1"/>
    <col min="6420" max="6420" width="9.88671875" style="186" customWidth="1"/>
    <col min="6421" max="6424" width="8.88671875" style="186"/>
    <col min="6425" max="6425" width="15" style="186" customWidth="1"/>
    <col min="6426" max="6426" width="6.44140625" style="186" customWidth="1"/>
    <col min="6427" max="6427" width="5.6640625" style="186" customWidth="1"/>
    <col min="6428" max="6428" width="9.109375" style="186" customWidth="1"/>
    <col min="6429" max="6431" width="8.88671875" style="186"/>
    <col min="6432" max="6432" width="11.6640625" style="186" customWidth="1"/>
    <col min="6433" max="6656" width="8.88671875" style="186"/>
    <col min="6657" max="6657" width="6.44140625" style="186" customWidth="1"/>
    <col min="6658" max="6658" width="43.33203125" style="186" customWidth="1"/>
    <col min="6659" max="6659" width="11.109375" style="186" customWidth="1"/>
    <col min="6660" max="6660" width="13.109375" style="186" customWidth="1"/>
    <col min="6661" max="6661" width="13.88671875" style="186" customWidth="1"/>
    <col min="6662" max="6662" width="8.33203125" style="186" customWidth="1"/>
    <col min="6663" max="6663" width="13" style="186" customWidth="1"/>
    <col min="6664" max="6664" width="8.109375" style="186" customWidth="1"/>
    <col min="6665" max="6665" width="7.88671875" style="186" customWidth="1"/>
    <col min="6666" max="6666" width="11.109375" style="186" customWidth="1"/>
    <col min="6667" max="6667" width="9.44140625" style="186" customWidth="1"/>
    <col min="6668" max="6668" width="9.5546875" style="186" customWidth="1"/>
    <col min="6669" max="6669" width="10.77734375" style="186" customWidth="1"/>
    <col min="6670" max="6670" width="6.5546875" style="186" customWidth="1"/>
    <col min="6671" max="6671" width="7.5546875" style="186" customWidth="1"/>
    <col min="6672" max="6672" width="10.109375" style="186" customWidth="1"/>
    <col min="6673" max="6673" width="9.44140625" style="186" customWidth="1"/>
    <col min="6674" max="6674" width="11" style="186" customWidth="1"/>
    <col min="6675" max="6675" width="14" style="186" customWidth="1"/>
    <col min="6676" max="6676" width="9.88671875" style="186" customWidth="1"/>
    <col min="6677" max="6680" width="8.88671875" style="186"/>
    <col min="6681" max="6681" width="15" style="186" customWidth="1"/>
    <col min="6682" max="6682" width="6.44140625" style="186" customWidth="1"/>
    <col min="6683" max="6683" width="5.6640625" style="186" customWidth="1"/>
    <col min="6684" max="6684" width="9.109375" style="186" customWidth="1"/>
    <col min="6685" max="6687" width="8.88671875" style="186"/>
    <col min="6688" max="6688" width="11.6640625" style="186" customWidth="1"/>
    <col min="6689" max="6912" width="8.88671875" style="186"/>
    <col min="6913" max="6913" width="6.44140625" style="186" customWidth="1"/>
    <col min="6914" max="6914" width="43.33203125" style="186" customWidth="1"/>
    <col min="6915" max="6915" width="11.109375" style="186" customWidth="1"/>
    <col min="6916" max="6916" width="13.109375" style="186" customWidth="1"/>
    <col min="6917" max="6917" width="13.88671875" style="186" customWidth="1"/>
    <col min="6918" max="6918" width="8.33203125" style="186" customWidth="1"/>
    <col min="6919" max="6919" width="13" style="186" customWidth="1"/>
    <col min="6920" max="6920" width="8.109375" style="186" customWidth="1"/>
    <col min="6921" max="6921" width="7.88671875" style="186" customWidth="1"/>
    <col min="6922" max="6922" width="11.109375" style="186" customWidth="1"/>
    <col min="6923" max="6923" width="9.44140625" style="186" customWidth="1"/>
    <col min="6924" max="6924" width="9.5546875" style="186" customWidth="1"/>
    <col min="6925" max="6925" width="10.77734375" style="186" customWidth="1"/>
    <col min="6926" max="6926" width="6.5546875" style="186" customWidth="1"/>
    <col min="6927" max="6927" width="7.5546875" style="186" customWidth="1"/>
    <col min="6928" max="6928" width="10.109375" style="186" customWidth="1"/>
    <col min="6929" max="6929" width="9.44140625" style="186" customWidth="1"/>
    <col min="6930" max="6930" width="11" style="186" customWidth="1"/>
    <col min="6931" max="6931" width="14" style="186" customWidth="1"/>
    <col min="6932" max="6932" width="9.88671875" style="186" customWidth="1"/>
    <col min="6933" max="6936" width="8.88671875" style="186"/>
    <col min="6937" max="6937" width="15" style="186" customWidth="1"/>
    <col min="6938" max="6938" width="6.44140625" style="186" customWidth="1"/>
    <col min="6939" max="6939" width="5.6640625" style="186" customWidth="1"/>
    <col min="6940" max="6940" width="9.109375" style="186" customWidth="1"/>
    <col min="6941" max="6943" width="8.88671875" style="186"/>
    <col min="6944" max="6944" width="11.6640625" style="186" customWidth="1"/>
    <col min="6945" max="7168" width="8.88671875" style="186"/>
    <col min="7169" max="7169" width="6.44140625" style="186" customWidth="1"/>
    <col min="7170" max="7170" width="43.33203125" style="186" customWidth="1"/>
    <col min="7171" max="7171" width="11.109375" style="186" customWidth="1"/>
    <col min="7172" max="7172" width="13.109375" style="186" customWidth="1"/>
    <col min="7173" max="7173" width="13.88671875" style="186" customWidth="1"/>
    <col min="7174" max="7174" width="8.33203125" style="186" customWidth="1"/>
    <col min="7175" max="7175" width="13" style="186" customWidth="1"/>
    <col min="7176" max="7176" width="8.109375" style="186" customWidth="1"/>
    <col min="7177" max="7177" width="7.88671875" style="186" customWidth="1"/>
    <col min="7178" max="7178" width="11.109375" style="186" customWidth="1"/>
    <col min="7179" max="7179" width="9.44140625" style="186" customWidth="1"/>
    <col min="7180" max="7180" width="9.5546875" style="186" customWidth="1"/>
    <col min="7181" max="7181" width="10.77734375" style="186" customWidth="1"/>
    <col min="7182" max="7182" width="6.5546875" style="186" customWidth="1"/>
    <col min="7183" max="7183" width="7.5546875" style="186" customWidth="1"/>
    <col min="7184" max="7184" width="10.109375" style="186" customWidth="1"/>
    <col min="7185" max="7185" width="9.44140625" style="186" customWidth="1"/>
    <col min="7186" max="7186" width="11" style="186" customWidth="1"/>
    <col min="7187" max="7187" width="14" style="186" customWidth="1"/>
    <col min="7188" max="7188" width="9.88671875" style="186" customWidth="1"/>
    <col min="7189" max="7192" width="8.88671875" style="186"/>
    <col min="7193" max="7193" width="15" style="186" customWidth="1"/>
    <col min="7194" max="7194" width="6.44140625" style="186" customWidth="1"/>
    <col min="7195" max="7195" width="5.6640625" style="186" customWidth="1"/>
    <col min="7196" max="7196" width="9.109375" style="186" customWidth="1"/>
    <col min="7197" max="7199" width="8.88671875" style="186"/>
    <col min="7200" max="7200" width="11.6640625" style="186" customWidth="1"/>
    <col min="7201" max="7424" width="8.88671875" style="186"/>
    <col min="7425" max="7425" width="6.44140625" style="186" customWidth="1"/>
    <col min="7426" max="7426" width="43.33203125" style="186" customWidth="1"/>
    <col min="7427" max="7427" width="11.109375" style="186" customWidth="1"/>
    <col min="7428" max="7428" width="13.109375" style="186" customWidth="1"/>
    <col min="7429" max="7429" width="13.88671875" style="186" customWidth="1"/>
    <col min="7430" max="7430" width="8.33203125" style="186" customWidth="1"/>
    <col min="7431" max="7431" width="13" style="186" customWidth="1"/>
    <col min="7432" max="7432" width="8.109375" style="186" customWidth="1"/>
    <col min="7433" max="7433" width="7.88671875" style="186" customWidth="1"/>
    <col min="7434" max="7434" width="11.109375" style="186" customWidth="1"/>
    <col min="7435" max="7435" width="9.44140625" style="186" customWidth="1"/>
    <col min="7436" max="7436" width="9.5546875" style="186" customWidth="1"/>
    <col min="7437" max="7437" width="10.77734375" style="186" customWidth="1"/>
    <col min="7438" max="7438" width="6.5546875" style="186" customWidth="1"/>
    <col min="7439" max="7439" width="7.5546875" style="186" customWidth="1"/>
    <col min="7440" max="7440" width="10.109375" style="186" customWidth="1"/>
    <col min="7441" max="7441" width="9.44140625" style="186" customWidth="1"/>
    <col min="7442" max="7442" width="11" style="186" customWidth="1"/>
    <col min="7443" max="7443" width="14" style="186" customWidth="1"/>
    <col min="7444" max="7444" width="9.88671875" style="186" customWidth="1"/>
    <col min="7445" max="7448" width="8.88671875" style="186"/>
    <col min="7449" max="7449" width="15" style="186" customWidth="1"/>
    <col min="7450" max="7450" width="6.44140625" style="186" customWidth="1"/>
    <col min="7451" max="7451" width="5.6640625" style="186" customWidth="1"/>
    <col min="7452" max="7452" width="9.109375" style="186" customWidth="1"/>
    <col min="7453" max="7455" width="8.88671875" style="186"/>
    <col min="7456" max="7456" width="11.6640625" style="186" customWidth="1"/>
    <col min="7457" max="7680" width="8.88671875" style="186"/>
    <col min="7681" max="7681" width="6.44140625" style="186" customWidth="1"/>
    <col min="7682" max="7682" width="43.33203125" style="186" customWidth="1"/>
    <col min="7683" max="7683" width="11.109375" style="186" customWidth="1"/>
    <col min="7684" max="7684" width="13.109375" style="186" customWidth="1"/>
    <col min="7685" max="7685" width="13.88671875" style="186" customWidth="1"/>
    <col min="7686" max="7686" width="8.33203125" style="186" customWidth="1"/>
    <col min="7687" max="7687" width="13" style="186" customWidth="1"/>
    <col min="7688" max="7688" width="8.109375" style="186" customWidth="1"/>
    <col min="7689" max="7689" width="7.88671875" style="186" customWidth="1"/>
    <col min="7690" max="7690" width="11.109375" style="186" customWidth="1"/>
    <col min="7691" max="7691" width="9.44140625" style="186" customWidth="1"/>
    <col min="7692" max="7692" width="9.5546875" style="186" customWidth="1"/>
    <col min="7693" max="7693" width="10.77734375" style="186" customWidth="1"/>
    <col min="7694" max="7694" width="6.5546875" style="186" customWidth="1"/>
    <col min="7695" max="7695" width="7.5546875" style="186" customWidth="1"/>
    <col min="7696" max="7696" width="10.109375" style="186" customWidth="1"/>
    <col min="7697" max="7697" width="9.44140625" style="186" customWidth="1"/>
    <col min="7698" max="7698" width="11" style="186" customWidth="1"/>
    <col min="7699" max="7699" width="14" style="186" customWidth="1"/>
    <col min="7700" max="7700" width="9.88671875" style="186" customWidth="1"/>
    <col min="7701" max="7704" width="8.88671875" style="186"/>
    <col min="7705" max="7705" width="15" style="186" customWidth="1"/>
    <col min="7706" max="7706" width="6.44140625" style="186" customWidth="1"/>
    <col min="7707" max="7707" width="5.6640625" style="186" customWidth="1"/>
    <col min="7708" max="7708" width="9.109375" style="186" customWidth="1"/>
    <col min="7709" max="7711" width="8.88671875" style="186"/>
    <col min="7712" max="7712" width="11.6640625" style="186" customWidth="1"/>
    <col min="7713" max="7936" width="8.88671875" style="186"/>
    <col min="7937" max="7937" width="6.44140625" style="186" customWidth="1"/>
    <col min="7938" max="7938" width="43.33203125" style="186" customWidth="1"/>
    <col min="7939" max="7939" width="11.109375" style="186" customWidth="1"/>
    <col min="7940" max="7940" width="13.109375" style="186" customWidth="1"/>
    <col min="7941" max="7941" width="13.88671875" style="186" customWidth="1"/>
    <col min="7942" max="7942" width="8.33203125" style="186" customWidth="1"/>
    <col min="7943" max="7943" width="13" style="186" customWidth="1"/>
    <col min="7944" max="7944" width="8.109375" style="186" customWidth="1"/>
    <col min="7945" max="7945" width="7.88671875" style="186" customWidth="1"/>
    <col min="7946" max="7946" width="11.109375" style="186" customWidth="1"/>
    <col min="7947" max="7947" width="9.44140625" style="186" customWidth="1"/>
    <col min="7948" max="7948" width="9.5546875" style="186" customWidth="1"/>
    <col min="7949" max="7949" width="10.77734375" style="186" customWidth="1"/>
    <col min="7950" max="7950" width="6.5546875" style="186" customWidth="1"/>
    <col min="7951" max="7951" width="7.5546875" style="186" customWidth="1"/>
    <col min="7952" max="7952" width="10.109375" style="186" customWidth="1"/>
    <col min="7953" max="7953" width="9.44140625" style="186" customWidth="1"/>
    <col min="7954" max="7954" width="11" style="186" customWidth="1"/>
    <col min="7955" max="7955" width="14" style="186" customWidth="1"/>
    <col min="7956" max="7956" width="9.88671875" style="186" customWidth="1"/>
    <col min="7957" max="7960" width="8.88671875" style="186"/>
    <col min="7961" max="7961" width="15" style="186" customWidth="1"/>
    <col min="7962" max="7962" width="6.44140625" style="186" customWidth="1"/>
    <col min="7963" max="7963" width="5.6640625" style="186" customWidth="1"/>
    <col min="7964" max="7964" width="9.109375" style="186" customWidth="1"/>
    <col min="7965" max="7967" width="8.88671875" style="186"/>
    <col min="7968" max="7968" width="11.6640625" style="186" customWidth="1"/>
    <col min="7969" max="8192" width="8.88671875" style="186"/>
    <col min="8193" max="8193" width="6.44140625" style="186" customWidth="1"/>
    <col min="8194" max="8194" width="43.33203125" style="186" customWidth="1"/>
    <col min="8195" max="8195" width="11.109375" style="186" customWidth="1"/>
    <col min="8196" max="8196" width="13.109375" style="186" customWidth="1"/>
    <col min="8197" max="8197" width="13.88671875" style="186" customWidth="1"/>
    <col min="8198" max="8198" width="8.33203125" style="186" customWidth="1"/>
    <col min="8199" max="8199" width="13" style="186" customWidth="1"/>
    <col min="8200" max="8200" width="8.109375" style="186" customWidth="1"/>
    <col min="8201" max="8201" width="7.88671875" style="186" customWidth="1"/>
    <col min="8202" max="8202" width="11.109375" style="186" customWidth="1"/>
    <col min="8203" max="8203" width="9.44140625" style="186" customWidth="1"/>
    <col min="8204" max="8204" width="9.5546875" style="186" customWidth="1"/>
    <col min="8205" max="8205" width="10.77734375" style="186" customWidth="1"/>
    <col min="8206" max="8206" width="6.5546875" style="186" customWidth="1"/>
    <col min="8207" max="8207" width="7.5546875" style="186" customWidth="1"/>
    <col min="8208" max="8208" width="10.109375" style="186" customWidth="1"/>
    <col min="8209" max="8209" width="9.44140625" style="186" customWidth="1"/>
    <col min="8210" max="8210" width="11" style="186" customWidth="1"/>
    <col min="8211" max="8211" width="14" style="186" customWidth="1"/>
    <col min="8212" max="8212" width="9.88671875" style="186" customWidth="1"/>
    <col min="8213" max="8216" width="8.88671875" style="186"/>
    <col min="8217" max="8217" width="15" style="186" customWidth="1"/>
    <col min="8218" max="8218" width="6.44140625" style="186" customWidth="1"/>
    <col min="8219" max="8219" width="5.6640625" style="186" customWidth="1"/>
    <col min="8220" max="8220" width="9.109375" style="186" customWidth="1"/>
    <col min="8221" max="8223" width="8.88671875" style="186"/>
    <col min="8224" max="8224" width="11.6640625" style="186" customWidth="1"/>
    <col min="8225" max="8448" width="8.88671875" style="186"/>
    <col min="8449" max="8449" width="6.44140625" style="186" customWidth="1"/>
    <col min="8450" max="8450" width="43.33203125" style="186" customWidth="1"/>
    <col min="8451" max="8451" width="11.109375" style="186" customWidth="1"/>
    <col min="8452" max="8452" width="13.109375" style="186" customWidth="1"/>
    <col min="8453" max="8453" width="13.88671875" style="186" customWidth="1"/>
    <col min="8454" max="8454" width="8.33203125" style="186" customWidth="1"/>
    <col min="8455" max="8455" width="13" style="186" customWidth="1"/>
    <col min="8456" max="8456" width="8.109375" style="186" customWidth="1"/>
    <col min="8457" max="8457" width="7.88671875" style="186" customWidth="1"/>
    <col min="8458" max="8458" width="11.109375" style="186" customWidth="1"/>
    <col min="8459" max="8459" width="9.44140625" style="186" customWidth="1"/>
    <col min="8460" max="8460" width="9.5546875" style="186" customWidth="1"/>
    <col min="8461" max="8461" width="10.77734375" style="186" customWidth="1"/>
    <col min="8462" max="8462" width="6.5546875" style="186" customWidth="1"/>
    <col min="8463" max="8463" width="7.5546875" style="186" customWidth="1"/>
    <col min="8464" max="8464" width="10.109375" style="186" customWidth="1"/>
    <col min="8465" max="8465" width="9.44140625" style="186" customWidth="1"/>
    <col min="8466" max="8466" width="11" style="186" customWidth="1"/>
    <col min="8467" max="8467" width="14" style="186" customWidth="1"/>
    <col min="8468" max="8468" width="9.88671875" style="186" customWidth="1"/>
    <col min="8469" max="8472" width="8.88671875" style="186"/>
    <col min="8473" max="8473" width="15" style="186" customWidth="1"/>
    <col min="8474" max="8474" width="6.44140625" style="186" customWidth="1"/>
    <col min="8475" max="8475" width="5.6640625" style="186" customWidth="1"/>
    <col min="8476" max="8476" width="9.109375" style="186" customWidth="1"/>
    <col min="8477" max="8479" width="8.88671875" style="186"/>
    <col min="8480" max="8480" width="11.6640625" style="186" customWidth="1"/>
    <col min="8481" max="8704" width="8.88671875" style="186"/>
    <col min="8705" max="8705" width="6.44140625" style="186" customWidth="1"/>
    <col min="8706" max="8706" width="43.33203125" style="186" customWidth="1"/>
    <col min="8707" max="8707" width="11.109375" style="186" customWidth="1"/>
    <col min="8708" max="8708" width="13.109375" style="186" customWidth="1"/>
    <col min="8709" max="8709" width="13.88671875" style="186" customWidth="1"/>
    <col min="8710" max="8710" width="8.33203125" style="186" customWidth="1"/>
    <col min="8711" max="8711" width="13" style="186" customWidth="1"/>
    <col min="8712" max="8712" width="8.109375" style="186" customWidth="1"/>
    <col min="8713" max="8713" width="7.88671875" style="186" customWidth="1"/>
    <col min="8714" max="8714" width="11.109375" style="186" customWidth="1"/>
    <col min="8715" max="8715" width="9.44140625" style="186" customWidth="1"/>
    <col min="8716" max="8716" width="9.5546875" style="186" customWidth="1"/>
    <col min="8717" max="8717" width="10.77734375" style="186" customWidth="1"/>
    <col min="8718" max="8718" width="6.5546875" style="186" customWidth="1"/>
    <col min="8719" max="8719" width="7.5546875" style="186" customWidth="1"/>
    <col min="8720" max="8720" width="10.109375" style="186" customWidth="1"/>
    <col min="8721" max="8721" width="9.44140625" style="186" customWidth="1"/>
    <col min="8722" max="8722" width="11" style="186" customWidth="1"/>
    <col min="8723" max="8723" width="14" style="186" customWidth="1"/>
    <col min="8724" max="8724" width="9.88671875" style="186" customWidth="1"/>
    <col min="8725" max="8728" width="8.88671875" style="186"/>
    <col min="8729" max="8729" width="15" style="186" customWidth="1"/>
    <col min="8730" max="8730" width="6.44140625" style="186" customWidth="1"/>
    <col min="8731" max="8731" width="5.6640625" style="186" customWidth="1"/>
    <col min="8732" max="8732" width="9.109375" style="186" customWidth="1"/>
    <col min="8733" max="8735" width="8.88671875" style="186"/>
    <col min="8736" max="8736" width="11.6640625" style="186" customWidth="1"/>
    <col min="8737" max="8960" width="8.88671875" style="186"/>
    <col min="8961" max="8961" width="6.44140625" style="186" customWidth="1"/>
    <col min="8962" max="8962" width="43.33203125" style="186" customWidth="1"/>
    <col min="8963" max="8963" width="11.109375" style="186" customWidth="1"/>
    <col min="8964" max="8964" width="13.109375" style="186" customWidth="1"/>
    <col min="8965" max="8965" width="13.88671875" style="186" customWidth="1"/>
    <col min="8966" max="8966" width="8.33203125" style="186" customWidth="1"/>
    <col min="8967" max="8967" width="13" style="186" customWidth="1"/>
    <col min="8968" max="8968" width="8.109375" style="186" customWidth="1"/>
    <col min="8969" max="8969" width="7.88671875" style="186" customWidth="1"/>
    <col min="8970" max="8970" width="11.109375" style="186" customWidth="1"/>
    <col min="8971" max="8971" width="9.44140625" style="186" customWidth="1"/>
    <col min="8972" max="8972" width="9.5546875" style="186" customWidth="1"/>
    <col min="8973" max="8973" width="10.77734375" style="186" customWidth="1"/>
    <col min="8974" max="8974" width="6.5546875" style="186" customWidth="1"/>
    <col min="8975" max="8975" width="7.5546875" style="186" customWidth="1"/>
    <col min="8976" max="8976" width="10.109375" style="186" customWidth="1"/>
    <col min="8977" max="8977" width="9.44140625" style="186" customWidth="1"/>
    <col min="8978" max="8978" width="11" style="186" customWidth="1"/>
    <col min="8979" max="8979" width="14" style="186" customWidth="1"/>
    <col min="8980" max="8980" width="9.88671875" style="186" customWidth="1"/>
    <col min="8981" max="8984" width="8.88671875" style="186"/>
    <col min="8985" max="8985" width="15" style="186" customWidth="1"/>
    <col min="8986" max="8986" width="6.44140625" style="186" customWidth="1"/>
    <col min="8987" max="8987" width="5.6640625" style="186" customWidth="1"/>
    <col min="8988" max="8988" width="9.109375" style="186" customWidth="1"/>
    <col min="8989" max="8991" width="8.88671875" style="186"/>
    <col min="8992" max="8992" width="11.6640625" style="186" customWidth="1"/>
    <col min="8993" max="9216" width="8.88671875" style="186"/>
    <col min="9217" max="9217" width="6.44140625" style="186" customWidth="1"/>
    <col min="9218" max="9218" width="43.33203125" style="186" customWidth="1"/>
    <col min="9219" max="9219" width="11.109375" style="186" customWidth="1"/>
    <col min="9220" max="9220" width="13.109375" style="186" customWidth="1"/>
    <col min="9221" max="9221" width="13.88671875" style="186" customWidth="1"/>
    <col min="9222" max="9222" width="8.33203125" style="186" customWidth="1"/>
    <col min="9223" max="9223" width="13" style="186" customWidth="1"/>
    <col min="9224" max="9224" width="8.109375" style="186" customWidth="1"/>
    <col min="9225" max="9225" width="7.88671875" style="186" customWidth="1"/>
    <col min="9226" max="9226" width="11.109375" style="186" customWidth="1"/>
    <col min="9227" max="9227" width="9.44140625" style="186" customWidth="1"/>
    <col min="9228" max="9228" width="9.5546875" style="186" customWidth="1"/>
    <col min="9229" max="9229" width="10.77734375" style="186" customWidth="1"/>
    <col min="9230" max="9230" width="6.5546875" style="186" customWidth="1"/>
    <col min="9231" max="9231" width="7.5546875" style="186" customWidth="1"/>
    <col min="9232" max="9232" width="10.109375" style="186" customWidth="1"/>
    <col min="9233" max="9233" width="9.44140625" style="186" customWidth="1"/>
    <col min="9234" max="9234" width="11" style="186" customWidth="1"/>
    <col min="9235" max="9235" width="14" style="186" customWidth="1"/>
    <col min="9236" max="9236" width="9.88671875" style="186" customWidth="1"/>
    <col min="9237" max="9240" width="8.88671875" style="186"/>
    <col min="9241" max="9241" width="15" style="186" customWidth="1"/>
    <col min="9242" max="9242" width="6.44140625" style="186" customWidth="1"/>
    <col min="9243" max="9243" width="5.6640625" style="186" customWidth="1"/>
    <col min="9244" max="9244" width="9.109375" style="186" customWidth="1"/>
    <col min="9245" max="9247" width="8.88671875" style="186"/>
    <col min="9248" max="9248" width="11.6640625" style="186" customWidth="1"/>
    <col min="9249" max="9472" width="8.88671875" style="186"/>
    <col min="9473" max="9473" width="6.44140625" style="186" customWidth="1"/>
    <col min="9474" max="9474" width="43.33203125" style="186" customWidth="1"/>
    <col min="9475" max="9475" width="11.109375" style="186" customWidth="1"/>
    <col min="9476" max="9476" width="13.109375" style="186" customWidth="1"/>
    <col min="9477" max="9477" width="13.88671875" style="186" customWidth="1"/>
    <col min="9478" max="9478" width="8.33203125" style="186" customWidth="1"/>
    <col min="9479" max="9479" width="13" style="186" customWidth="1"/>
    <col min="9480" max="9480" width="8.109375" style="186" customWidth="1"/>
    <col min="9481" max="9481" width="7.88671875" style="186" customWidth="1"/>
    <col min="9482" max="9482" width="11.109375" style="186" customWidth="1"/>
    <col min="9483" max="9483" width="9.44140625" style="186" customWidth="1"/>
    <col min="9484" max="9484" width="9.5546875" style="186" customWidth="1"/>
    <col min="9485" max="9485" width="10.77734375" style="186" customWidth="1"/>
    <col min="9486" max="9486" width="6.5546875" style="186" customWidth="1"/>
    <col min="9487" max="9487" width="7.5546875" style="186" customWidth="1"/>
    <col min="9488" max="9488" width="10.109375" style="186" customWidth="1"/>
    <col min="9489" max="9489" width="9.44140625" style="186" customWidth="1"/>
    <col min="9490" max="9490" width="11" style="186" customWidth="1"/>
    <col min="9491" max="9491" width="14" style="186" customWidth="1"/>
    <col min="9492" max="9492" width="9.88671875" style="186" customWidth="1"/>
    <col min="9493" max="9496" width="8.88671875" style="186"/>
    <col min="9497" max="9497" width="15" style="186" customWidth="1"/>
    <col min="9498" max="9498" width="6.44140625" style="186" customWidth="1"/>
    <col min="9499" max="9499" width="5.6640625" style="186" customWidth="1"/>
    <col min="9500" max="9500" width="9.109375" style="186" customWidth="1"/>
    <col min="9501" max="9503" width="8.88671875" style="186"/>
    <col min="9504" max="9504" width="11.6640625" style="186" customWidth="1"/>
    <col min="9505" max="9728" width="8.88671875" style="186"/>
    <col min="9729" max="9729" width="6.44140625" style="186" customWidth="1"/>
    <col min="9730" max="9730" width="43.33203125" style="186" customWidth="1"/>
    <col min="9731" max="9731" width="11.109375" style="186" customWidth="1"/>
    <col min="9732" max="9732" width="13.109375" style="186" customWidth="1"/>
    <col min="9733" max="9733" width="13.88671875" style="186" customWidth="1"/>
    <col min="9734" max="9734" width="8.33203125" style="186" customWidth="1"/>
    <col min="9735" max="9735" width="13" style="186" customWidth="1"/>
    <col min="9736" max="9736" width="8.109375" style="186" customWidth="1"/>
    <col min="9737" max="9737" width="7.88671875" style="186" customWidth="1"/>
    <col min="9738" max="9738" width="11.109375" style="186" customWidth="1"/>
    <col min="9739" max="9739" width="9.44140625" style="186" customWidth="1"/>
    <col min="9740" max="9740" width="9.5546875" style="186" customWidth="1"/>
    <col min="9741" max="9741" width="10.77734375" style="186" customWidth="1"/>
    <col min="9742" max="9742" width="6.5546875" style="186" customWidth="1"/>
    <col min="9743" max="9743" width="7.5546875" style="186" customWidth="1"/>
    <col min="9744" max="9744" width="10.109375" style="186" customWidth="1"/>
    <col min="9745" max="9745" width="9.44140625" style="186" customWidth="1"/>
    <col min="9746" max="9746" width="11" style="186" customWidth="1"/>
    <col min="9747" max="9747" width="14" style="186" customWidth="1"/>
    <col min="9748" max="9748" width="9.88671875" style="186" customWidth="1"/>
    <col min="9749" max="9752" width="8.88671875" style="186"/>
    <col min="9753" max="9753" width="15" style="186" customWidth="1"/>
    <col min="9754" max="9754" width="6.44140625" style="186" customWidth="1"/>
    <col min="9755" max="9755" width="5.6640625" style="186" customWidth="1"/>
    <col min="9756" max="9756" width="9.109375" style="186" customWidth="1"/>
    <col min="9757" max="9759" width="8.88671875" style="186"/>
    <col min="9760" max="9760" width="11.6640625" style="186" customWidth="1"/>
    <col min="9761" max="9984" width="8.88671875" style="186"/>
    <col min="9985" max="9985" width="6.44140625" style="186" customWidth="1"/>
    <col min="9986" max="9986" width="43.33203125" style="186" customWidth="1"/>
    <col min="9987" max="9987" width="11.109375" style="186" customWidth="1"/>
    <col min="9988" max="9988" width="13.109375" style="186" customWidth="1"/>
    <col min="9989" max="9989" width="13.88671875" style="186" customWidth="1"/>
    <col min="9990" max="9990" width="8.33203125" style="186" customWidth="1"/>
    <col min="9991" max="9991" width="13" style="186" customWidth="1"/>
    <col min="9992" max="9992" width="8.109375" style="186" customWidth="1"/>
    <col min="9993" max="9993" width="7.88671875" style="186" customWidth="1"/>
    <col min="9994" max="9994" width="11.109375" style="186" customWidth="1"/>
    <col min="9995" max="9995" width="9.44140625" style="186" customWidth="1"/>
    <col min="9996" max="9996" width="9.5546875" style="186" customWidth="1"/>
    <col min="9997" max="9997" width="10.77734375" style="186" customWidth="1"/>
    <col min="9998" max="9998" width="6.5546875" style="186" customWidth="1"/>
    <col min="9999" max="9999" width="7.5546875" style="186" customWidth="1"/>
    <col min="10000" max="10000" width="10.109375" style="186" customWidth="1"/>
    <col min="10001" max="10001" width="9.44140625" style="186" customWidth="1"/>
    <col min="10002" max="10002" width="11" style="186" customWidth="1"/>
    <col min="10003" max="10003" width="14" style="186" customWidth="1"/>
    <col min="10004" max="10004" width="9.88671875" style="186" customWidth="1"/>
    <col min="10005" max="10008" width="8.88671875" style="186"/>
    <col min="10009" max="10009" width="15" style="186" customWidth="1"/>
    <col min="10010" max="10010" width="6.44140625" style="186" customWidth="1"/>
    <col min="10011" max="10011" width="5.6640625" style="186" customWidth="1"/>
    <col min="10012" max="10012" width="9.109375" style="186" customWidth="1"/>
    <col min="10013" max="10015" width="8.88671875" style="186"/>
    <col min="10016" max="10016" width="11.6640625" style="186" customWidth="1"/>
    <col min="10017" max="10240" width="8.88671875" style="186"/>
    <col min="10241" max="10241" width="6.44140625" style="186" customWidth="1"/>
    <col min="10242" max="10242" width="43.33203125" style="186" customWidth="1"/>
    <col min="10243" max="10243" width="11.109375" style="186" customWidth="1"/>
    <col min="10244" max="10244" width="13.109375" style="186" customWidth="1"/>
    <col min="10245" max="10245" width="13.88671875" style="186" customWidth="1"/>
    <col min="10246" max="10246" width="8.33203125" style="186" customWidth="1"/>
    <col min="10247" max="10247" width="13" style="186" customWidth="1"/>
    <col min="10248" max="10248" width="8.109375" style="186" customWidth="1"/>
    <col min="10249" max="10249" width="7.88671875" style="186" customWidth="1"/>
    <col min="10250" max="10250" width="11.109375" style="186" customWidth="1"/>
    <col min="10251" max="10251" width="9.44140625" style="186" customWidth="1"/>
    <col min="10252" max="10252" width="9.5546875" style="186" customWidth="1"/>
    <col min="10253" max="10253" width="10.77734375" style="186" customWidth="1"/>
    <col min="10254" max="10254" width="6.5546875" style="186" customWidth="1"/>
    <col min="10255" max="10255" width="7.5546875" style="186" customWidth="1"/>
    <col min="10256" max="10256" width="10.109375" style="186" customWidth="1"/>
    <col min="10257" max="10257" width="9.44140625" style="186" customWidth="1"/>
    <col min="10258" max="10258" width="11" style="186" customWidth="1"/>
    <col min="10259" max="10259" width="14" style="186" customWidth="1"/>
    <col min="10260" max="10260" width="9.88671875" style="186" customWidth="1"/>
    <col min="10261" max="10264" width="8.88671875" style="186"/>
    <col min="10265" max="10265" width="15" style="186" customWidth="1"/>
    <col min="10266" max="10266" width="6.44140625" style="186" customWidth="1"/>
    <col min="10267" max="10267" width="5.6640625" style="186" customWidth="1"/>
    <col min="10268" max="10268" width="9.109375" style="186" customWidth="1"/>
    <col min="10269" max="10271" width="8.88671875" style="186"/>
    <col min="10272" max="10272" width="11.6640625" style="186" customWidth="1"/>
    <col min="10273" max="10496" width="8.88671875" style="186"/>
    <col min="10497" max="10497" width="6.44140625" style="186" customWidth="1"/>
    <col min="10498" max="10498" width="43.33203125" style="186" customWidth="1"/>
    <col min="10499" max="10499" width="11.109375" style="186" customWidth="1"/>
    <col min="10500" max="10500" width="13.109375" style="186" customWidth="1"/>
    <col min="10501" max="10501" width="13.88671875" style="186" customWidth="1"/>
    <col min="10502" max="10502" width="8.33203125" style="186" customWidth="1"/>
    <col min="10503" max="10503" width="13" style="186" customWidth="1"/>
    <col min="10504" max="10504" width="8.109375" style="186" customWidth="1"/>
    <col min="10505" max="10505" width="7.88671875" style="186" customWidth="1"/>
    <col min="10506" max="10506" width="11.109375" style="186" customWidth="1"/>
    <col min="10507" max="10507" width="9.44140625" style="186" customWidth="1"/>
    <col min="10508" max="10508" width="9.5546875" style="186" customWidth="1"/>
    <col min="10509" max="10509" width="10.77734375" style="186" customWidth="1"/>
    <col min="10510" max="10510" width="6.5546875" style="186" customWidth="1"/>
    <col min="10511" max="10511" width="7.5546875" style="186" customWidth="1"/>
    <col min="10512" max="10512" width="10.109375" style="186" customWidth="1"/>
    <col min="10513" max="10513" width="9.44140625" style="186" customWidth="1"/>
    <col min="10514" max="10514" width="11" style="186" customWidth="1"/>
    <col min="10515" max="10515" width="14" style="186" customWidth="1"/>
    <col min="10516" max="10516" width="9.88671875" style="186" customWidth="1"/>
    <col min="10517" max="10520" width="8.88671875" style="186"/>
    <col min="10521" max="10521" width="15" style="186" customWidth="1"/>
    <col min="10522" max="10522" width="6.44140625" style="186" customWidth="1"/>
    <col min="10523" max="10523" width="5.6640625" style="186" customWidth="1"/>
    <col min="10524" max="10524" width="9.109375" style="186" customWidth="1"/>
    <col min="10525" max="10527" width="8.88671875" style="186"/>
    <col min="10528" max="10528" width="11.6640625" style="186" customWidth="1"/>
    <col min="10529" max="10752" width="8.88671875" style="186"/>
    <col min="10753" max="10753" width="6.44140625" style="186" customWidth="1"/>
    <col min="10754" max="10754" width="43.33203125" style="186" customWidth="1"/>
    <col min="10755" max="10755" width="11.109375" style="186" customWidth="1"/>
    <col min="10756" max="10756" width="13.109375" style="186" customWidth="1"/>
    <col min="10757" max="10757" width="13.88671875" style="186" customWidth="1"/>
    <col min="10758" max="10758" width="8.33203125" style="186" customWidth="1"/>
    <col min="10759" max="10759" width="13" style="186" customWidth="1"/>
    <col min="10760" max="10760" width="8.109375" style="186" customWidth="1"/>
    <col min="10761" max="10761" width="7.88671875" style="186" customWidth="1"/>
    <col min="10762" max="10762" width="11.109375" style="186" customWidth="1"/>
    <col min="10763" max="10763" width="9.44140625" style="186" customWidth="1"/>
    <col min="10764" max="10764" width="9.5546875" style="186" customWidth="1"/>
    <col min="10765" max="10765" width="10.77734375" style="186" customWidth="1"/>
    <col min="10766" max="10766" width="6.5546875" style="186" customWidth="1"/>
    <col min="10767" max="10767" width="7.5546875" style="186" customWidth="1"/>
    <col min="10768" max="10768" width="10.109375" style="186" customWidth="1"/>
    <col min="10769" max="10769" width="9.44140625" style="186" customWidth="1"/>
    <col min="10770" max="10770" width="11" style="186" customWidth="1"/>
    <col min="10771" max="10771" width="14" style="186" customWidth="1"/>
    <col min="10772" max="10772" width="9.88671875" style="186" customWidth="1"/>
    <col min="10773" max="10776" width="8.88671875" style="186"/>
    <col min="10777" max="10777" width="15" style="186" customWidth="1"/>
    <col min="10778" max="10778" width="6.44140625" style="186" customWidth="1"/>
    <col min="10779" max="10779" width="5.6640625" style="186" customWidth="1"/>
    <col min="10780" max="10780" width="9.109375" style="186" customWidth="1"/>
    <col min="10781" max="10783" width="8.88671875" style="186"/>
    <col min="10784" max="10784" width="11.6640625" style="186" customWidth="1"/>
    <col min="10785" max="11008" width="8.88671875" style="186"/>
    <col min="11009" max="11009" width="6.44140625" style="186" customWidth="1"/>
    <col min="11010" max="11010" width="43.33203125" style="186" customWidth="1"/>
    <col min="11011" max="11011" width="11.109375" style="186" customWidth="1"/>
    <col min="11012" max="11012" width="13.109375" style="186" customWidth="1"/>
    <col min="11013" max="11013" width="13.88671875" style="186" customWidth="1"/>
    <col min="11014" max="11014" width="8.33203125" style="186" customWidth="1"/>
    <col min="11015" max="11015" width="13" style="186" customWidth="1"/>
    <col min="11016" max="11016" width="8.109375" style="186" customWidth="1"/>
    <col min="11017" max="11017" width="7.88671875" style="186" customWidth="1"/>
    <col min="11018" max="11018" width="11.109375" style="186" customWidth="1"/>
    <col min="11019" max="11019" width="9.44140625" style="186" customWidth="1"/>
    <col min="11020" max="11020" width="9.5546875" style="186" customWidth="1"/>
    <col min="11021" max="11021" width="10.77734375" style="186" customWidth="1"/>
    <col min="11022" max="11022" width="6.5546875" style="186" customWidth="1"/>
    <col min="11023" max="11023" width="7.5546875" style="186" customWidth="1"/>
    <col min="11024" max="11024" width="10.109375" style="186" customWidth="1"/>
    <col min="11025" max="11025" width="9.44140625" style="186" customWidth="1"/>
    <col min="11026" max="11026" width="11" style="186" customWidth="1"/>
    <col min="11027" max="11027" width="14" style="186" customWidth="1"/>
    <col min="11028" max="11028" width="9.88671875" style="186" customWidth="1"/>
    <col min="11029" max="11032" width="8.88671875" style="186"/>
    <col min="11033" max="11033" width="15" style="186" customWidth="1"/>
    <col min="11034" max="11034" width="6.44140625" style="186" customWidth="1"/>
    <col min="11035" max="11035" width="5.6640625" style="186" customWidth="1"/>
    <col min="11036" max="11036" width="9.109375" style="186" customWidth="1"/>
    <col min="11037" max="11039" width="8.88671875" style="186"/>
    <col min="11040" max="11040" width="11.6640625" style="186" customWidth="1"/>
    <col min="11041" max="11264" width="8.88671875" style="186"/>
    <col min="11265" max="11265" width="6.44140625" style="186" customWidth="1"/>
    <col min="11266" max="11266" width="43.33203125" style="186" customWidth="1"/>
    <col min="11267" max="11267" width="11.109375" style="186" customWidth="1"/>
    <col min="11268" max="11268" width="13.109375" style="186" customWidth="1"/>
    <col min="11269" max="11269" width="13.88671875" style="186" customWidth="1"/>
    <col min="11270" max="11270" width="8.33203125" style="186" customWidth="1"/>
    <col min="11271" max="11271" width="13" style="186" customWidth="1"/>
    <col min="11272" max="11272" width="8.109375" style="186" customWidth="1"/>
    <col min="11273" max="11273" width="7.88671875" style="186" customWidth="1"/>
    <col min="11274" max="11274" width="11.109375" style="186" customWidth="1"/>
    <col min="11275" max="11275" width="9.44140625" style="186" customWidth="1"/>
    <col min="11276" max="11276" width="9.5546875" style="186" customWidth="1"/>
    <col min="11277" max="11277" width="10.77734375" style="186" customWidth="1"/>
    <col min="11278" max="11278" width="6.5546875" style="186" customWidth="1"/>
    <col min="11279" max="11279" width="7.5546875" style="186" customWidth="1"/>
    <col min="11280" max="11280" width="10.109375" style="186" customWidth="1"/>
    <col min="11281" max="11281" width="9.44140625" style="186" customWidth="1"/>
    <col min="11282" max="11282" width="11" style="186" customWidth="1"/>
    <col min="11283" max="11283" width="14" style="186" customWidth="1"/>
    <col min="11284" max="11284" width="9.88671875" style="186" customWidth="1"/>
    <col min="11285" max="11288" width="8.88671875" style="186"/>
    <col min="11289" max="11289" width="15" style="186" customWidth="1"/>
    <col min="11290" max="11290" width="6.44140625" style="186" customWidth="1"/>
    <col min="11291" max="11291" width="5.6640625" style="186" customWidth="1"/>
    <col min="11292" max="11292" width="9.109375" style="186" customWidth="1"/>
    <col min="11293" max="11295" width="8.88671875" style="186"/>
    <col min="11296" max="11296" width="11.6640625" style="186" customWidth="1"/>
    <col min="11297" max="11520" width="8.88671875" style="186"/>
    <col min="11521" max="11521" width="6.44140625" style="186" customWidth="1"/>
    <col min="11522" max="11522" width="43.33203125" style="186" customWidth="1"/>
    <col min="11523" max="11523" width="11.109375" style="186" customWidth="1"/>
    <col min="11524" max="11524" width="13.109375" style="186" customWidth="1"/>
    <col min="11525" max="11525" width="13.88671875" style="186" customWidth="1"/>
    <col min="11526" max="11526" width="8.33203125" style="186" customWidth="1"/>
    <col min="11527" max="11527" width="13" style="186" customWidth="1"/>
    <col min="11528" max="11528" width="8.109375" style="186" customWidth="1"/>
    <col min="11529" max="11529" width="7.88671875" style="186" customWidth="1"/>
    <col min="11530" max="11530" width="11.109375" style="186" customWidth="1"/>
    <col min="11531" max="11531" width="9.44140625" style="186" customWidth="1"/>
    <col min="11532" max="11532" width="9.5546875" style="186" customWidth="1"/>
    <col min="11533" max="11533" width="10.77734375" style="186" customWidth="1"/>
    <col min="11534" max="11534" width="6.5546875" style="186" customWidth="1"/>
    <col min="11535" max="11535" width="7.5546875" style="186" customWidth="1"/>
    <col min="11536" max="11536" width="10.109375" style="186" customWidth="1"/>
    <col min="11537" max="11537" width="9.44140625" style="186" customWidth="1"/>
    <col min="11538" max="11538" width="11" style="186" customWidth="1"/>
    <col min="11539" max="11539" width="14" style="186" customWidth="1"/>
    <col min="11540" max="11540" width="9.88671875" style="186" customWidth="1"/>
    <col min="11541" max="11544" width="8.88671875" style="186"/>
    <col min="11545" max="11545" width="15" style="186" customWidth="1"/>
    <col min="11546" max="11546" width="6.44140625" style="186" customWidth="1"/>
    <col min="11547" max="11547" width="5.6640625" style="186" customWidth="1"/>
    <col min="11548" max="11548" width="9.109375" style="186" customWidth="1"/>
    <col min="11549" max="11551" width="8.88671875" style="186"/>
    <col min="11552" max="11552" width="11.6640625" style="186" customWidth="1"/>
    <col min="11553" max="11776" width="8.88671875" style="186"/>
    <col min="11777" max="11777" width="6.44140625" style="186" customWidth="1"/>
    <col min="11778" max="11778" width="43.33203125" style="186" customWidth="1"/>
    <col min="11779" max="11779" width="11.109375" style="186" customWidth="1"/>
    <col min="11780" max="11780" width="13.109375" style="186" customWidth="1"/>
    <col min="11781" max="11781" width="13.88671875" style="186" customWidth="1"/>
    <col min="11782" max="11782" width="8.33203125" style="186" customWidth="1"/>
    <col min="11783" max="11783" width="13" style="186" customWidth="1"/>
    <col min="11784" max="11784" width="8.109375" style="186" customWidth="1"/>
    <col min="11785" max="11785" width="7.88671875" style="186" customWidth="1"/>
    <col min="11786" max="11786" width="11.109375" style="186" customWidth="1"/>
    <col min="11787" max="11787" width="9.44140625" style="186" customWidth="1"/>
    <col min="11788" max="11788" width="9.5546875" style="186" customWidth="1"/>
    <col min="11789" max="11789" width="10.77734375" style="186" customWidth="1"/>
    <col min="11790" max="11790" width="6.5546875" style="186" customWidth="1"/>
    <col min="11791" max="11791" width="7.5546875" style="186" customWidth="1"/>
    <col min="11792" max="11792" width="10.109375" style="186" customWidth="1"/>
    <col min="11793" max="11793" width="9.44140625" style="186" customWidth="1"/>
    <col min="11794" max="11794" width="11" style="186" customWidth="1"/>
    <col min="11795" max="11795" width="14" style="186" customWidth="1"/>
    <col min="11796" max="11796" width="9.88671875" style="186" customWidth="1"/>
    <col min="11797" max="11800" width="8.88671875" style="186"/>
    <col min="11801" max="11801" width="15" style="186" customWidth="1"/>
    <col min="11802" max="11802" width="6.44140625" style="186" customWidth="1"/>
    <col min="11803" max="11803" width="5.6640625" style="186" customWidth="1"/>
    <col min="11804" max="11804" width="9.109375" style="186" customWidth="1"/>
    <col min="11805" max="11807" width="8.88671875" style="186"/>
    <col min="11808" max="11808" width="11.6640625" style="186" customWidth="1"/>
    <col min="11809" max="12032" width="8.88671875" style="186"/>
    <col min="12033" max="12033" width="6.44140625" style="186" customWidth="1"/>
    <col min="12034" max="12034" width="43.33203125" style="186" customWidth="1"/>
    <col min="12035" max="12035" width="11.109375" style="186" customWidth="1"/>
    <col min="12036" max="12036" width="13.109375" style="186" customWidth="1"/>
    <col min="12037" max="12037" width="13.88671875" style="186" customWidth="1"/>
    <col min="12038" max="12038" width="8.33203125" style="186" customWidth="1"/>
    <col min="12039" max="12039" width="13" style="186" customWidth="1"/>
    <col min="12040" max="12040" width="8.109375" style="186" customWidth="1"/>
    <col min="12041" max="12041" width="7.88671875" style="186" customWidth="1"/>
    <col min="12042" max="12042" width="11.109375" style="186" customWidth="1"/>
    <col min="12043" max="12043" width="9.44140625" style="186" customWidth="1"/>
    <col min="12044" max="12044" width="9.5546875" style="186" customWidth="1"/>
    <col min="12045" max="12045" width="10.77734375" style="186" customWidth="1"/>
    <col min="12046" max="12046" width="6.5546875" style="186" customWidth="1"/>
    <col min="12047" max="12047" width="7.5546875" style="186" customWidth="1"/>
    <col min="12048" max="12048" width="10.109375" style="186" customWidth="1"/>
    <col min="12049" max="12049" width="9.44140625" style="186" customWidth="1"/>
    <col min="12050" max="12050" width="11" style="186" customWidth="1"/>
    <col min="12051" max="12051" width="14" style="186" customWidth="1"/>
    <col min="12052" max="12052" width="9.88671875" style="186" customWidth="1"/>
    <col min="12053" max="12056" width="8.88671875" style="186"/>
    <col min="12057" max="12057" width="15" style="186" customWidth="1"/>
    <col min="12058" max="12058" width="6.44140625" style="186" customWidth="1"/>
    <col min="12059" max="12059" width="5.6640625" style="186" customWidth="1"/>
    <col min="12060" max="12060" width="9.109375" style="186" customWidth="1"/>
    <col min="12061" max="12063" width="8.88671875" style="186"/>
    <col min="12064" max="12064" width="11.6640625" style="186" customWidth="1"/>
    <col min="12065" max="12288" width="8.88671875" style="186"/>
    <col min="12289" max="12289" width="6.44140625" style="186" customWidth="1"/>
    <col min="12290" max="12290" width="43.33203125" style="186" customWidth="1"/>
    <col min="12291" max="12291" width="11.109375" style="186" customWidth="1"/>
    <col min="12292" max="12292" width="13.109375" style="186" customWidth="1"/>
    <col min="12293" max="12293" width="13.88671875" style="186" customWidth="1"/>
    <col min="12294" max="12294" width="8.33203125" style="186" customWidth="1"/>
    <col min="12295" max="12295" width="13" style="186" customWidth="1"/>
    <col min="12296" max="12296" width="8.109375" style="186" customWidth="1"/>
    <col min="12297" max="12297" width="7.88671875" style="186" customWidth="1"/>
    <col min="12298" max="12298" width="11.109375" style="186" customWidth="1"/>
    <col min="12299" max="12299" width="9.44140625" style="186" customWidth="1"/>
    <col min="12300" max="12300" width="9.5546875" style="186" customWidth="1"/>
    <col min="12301" max="12301" width="10.77734375" style="186" customWidth="1"/>
    <col min="12302" max="12302" width="6.5546875" style="186" customWidth="1"/>
    <col min="12303" max="12303" width="7.5546875" style="186" customWidth="1"/>
    <col min="12304" max="12304" width="10.109375" style="186" customWidth="1"/>
    <col min="12305" max="12305" width="9.44140625" style="186" customWidth="1"/>
    <col min="12306" max="12306" width="11" style="186" customWidth="1"/>
    <col min="12307" max="12307" width="14" style="186" customWidth="1"/>
    <col min="12308" max="12308" width="9.88671875" style="186" customWidth="1"/>
    <col min="12309" max="12312" width="8.88671875" style="186"/>
    <col min="12313" max="12313" width="15" style="186" customWidth="1"/>
    <col min="12314" max="12314" width="6.44140625" style="186" customWidth="1"/>
    <col min="12315" max="12315" width="5.6640625" style="186" customWidth="1"/>
    <col min="12316" max="12316" width="9.109375" style="186" customWidth="1"/>
    <col min="12317" max="12319" width="8.88671875" style="186"/>
    <col min="12320" max="12320" width="11.6640625" style="186" customWidth="1"/>
    <col min="12321" max="12544" width="8.88671875" style="186"/>
    <col min="12545" max="12545" width="6.44140625" style="186" customWidth="1"/>
    <col min="12546" max="12546" width="43.33203125" style="186" customWidth="1"/>
    <col min="12547" max="12547" width="11.109375" style="186" customWidth="1"/>
    <col min="12548" max="12548" width="13.109375" style="186" customWidth="1"/>
    <col min="12549" max="12549" width="13.88671875" style="186" customWidth="1"/>
    <col min="12550" max="12550" width="8.33203125" style="186" customWidth="1"/>
    <col min="12551" max="12551" width="13" style="186" customWidth="1"/>
    <col min="12552" max="12552" width="8.109375" style="186" customWidth="1"/>
    <col min="12553" max="12553" width="7.88671875" style="186" customWidth="1"/>
    <col min="12554" max="12554" width="11.109375" style="186" customWidth="1"/>
    <col min="12555" max="12555" width="9.44140625" style="186" customWidth="1"/>
    <col min="12556" max="12556" width="9.5546875" style="186" customWidth="1"/>
    <col min="12557" max="12557" width="10.77734375" style="186" customWidth="1"/>
    <col min="12558" max="12558" width="6.5546875" style="186" customWidth="1"/>
    <col min="12559" max="12559" width="7.5546875" style="186" customWidth="1"/>
    <col min="12560" max="12560" width="10.109375" style="186" customWidth="1"/>
    <col min="12561" max="12561" width="9.44140625" style="186" customWidth="1"/>
    <col min="12562" max="12562" width="11" style="186" customWidth="1"/>
    <col min="12563" max="12563" width="14" style="186" customWidth="1"/>
    <col min="12564" max="12564" width="9.88671875" style="186" customWidth="1"/>
    <col min="12565" max="12568" width="8.88671875" style="186"/>
    <col min="12569" max="12569" width="15" style="186" customWidth="1"/>
    <col min="12570" max="12570" width="6.44140625" style="186" customWidth="1"/>
    <col min="12571" max="12571" width="5.6640625" style="186" customWidth="1"/>
    <col min="12572" max="12572" width="9.109375" style="186" customWidth="1"/>
    <col min="12573" max="12575" width="8.88671875" style="186"/>
    <col min="12576" max="12576" width="11.6640625" style="186" customWidth="1"/>
    <col min="12577" max="12800" width="8.88671875" style="186"/>
    <col min="12801" max="12801" width="6.44140625" style="186" customWidth="1"/>
    <col min="12802" max="12802" width="43.33203125" style="186" customWidth="1"/>
    <col min="12803" max="12803" width="11.109375" style="186" customWidth="1"/>
    <col min="12804" max="12804" width="13.109375" style="186" customWidth="1"/>
    <col min="12805" max="12805" width="13.88671875" style="186" customWidth="1"/>
    <col min="12806" max="12806" width="8.33203125" style="186" customWidth="1"/>
    <col min="12807" max="12807" width="13" style="186" customWidth="1"/>
    <col min="12808" max="12808" width="8.109375" style="186" customWidth="1"/>
    <col min="12809" max="12809" width="7.88671875" style="186" customWidth="1"/>
    <col min="12810" max="12810" width="11.109375" style="186" customWidth="1"/>
    <col min="12811" max="12811" width="9.44140625" style="186" customWidth="1"/>
    <col min="12812" max="12812" width="9.5546875" style="186" customWidth="1"/>
    <col min="12813" max="12813" width="10.77734375" style="186" customWidth="1"/>
    <col min="12814" max="12814" width="6.5546875" style="186" customWidth="1"/>
    <col min="12815" max="12815" width="7.5546875" style="186" customWidth="1"/>
    <col min="12816" max="12816" width="10.109375" style="186" customWidth="1"/>
    <col min="12817" max="12817" width="9.44140625" style="186" customWidth="1"/>
    <col min="12818" max="12818" width="11" style="186" customWidth="1"/>
    <col min="12819" max="12819" width="14" style="186" customWidth="1"/>
    <col min="12820" max="12820" width="9.88671875" style="186" customWidth="1"/>
    <col min="12821" max="12824" width="8.88671875" style="186"/>
    <col min="12825" max="12825" width="15" style="186" customWidth="1"/>
    <col min="12826" max="12826" width="6.44140625" style="186" customWidth="1"/>
    <col min="12827" max="12827" width="5.6640625" style="186" customWidth="1"/>
    <col min="12828" max="12828" width="9.109375" style="186" customWidth="1"/>
    <col min="12829" max="12831" width="8.88671875" style="186"/>
    <col min="12832" max="12832" width="11.6640625" style="186" customWidth="1"/>
    <col min="12833" max="13056" width="8.88671875" style="186"/>
    <col min="13057" max="13057" width="6.44140625" style="186" customWidth="1"/>
    <col min="13058" max="13058" width="43.33203125" style="186" customWidth="1"/>
    <col min="13059" max="13059" width="11.109375" style="186" customWidth="1"/>
    <col min="13060" max="13060" width="13.109375" style="186" customWidth="1"/>
    <col min="13061" max="13061" width="13.88671875" style="186" customWidth="1"/>
    <col min="13062" max="13062" width="8.33203125" style="186" customWidth="1"/>
    <col min="13063" max="13063" width="13" style="186" customWidth="1"/>
    <col min="13064" max="13064" width="8.109375" style="186" customWidth="1"/>
    <col min="13065" max="13065" width="7.88671875" style="186" customWidth="1"/>
    <col min="13066" max="13066" width="11.109375" style="186" customWidth="1"/>
    <col min="13067" max="13067" width="9.44140625" style="186" customWidth="1"/>
    <col min="13068" max="13068" width="9.5546875" style="186" customWidth="1"/>
    <col min="13069" max="13069" width="10.77734375" style="186" customWidth="1"/>
    <col min="13070" max="13070" width="6.5546875" style="186" customWidth="1"/>
    <col min="13071" max="13071" width="7.5546875" style="186" customWidth="1"/>
    <col min="13072" max="13072" width="10.109375" style="186" customWidth="1"/>
    <col min="13073" max="13073" width="9.44140625" style="186" customWidth="1"/>
    <col min="13074" max="13074" width="11" style="186" customWidth="1"/>
    <col min="13075" max="13075" width="14" style="186" customWidth="1"/>
    <col min="13076" max="13076" width="9.88671875" style="186" customWidth="1"/>
    <col min="13077" max="13080" width="8.88671875" style="186"/>
    <col min="13081" max="13081" width="15" style="186" customWidth="1"/>
    <col min="13082" max="13082" width="6.44140625" style="186" customWidth="1"/>
    <col min="13083" max="13083" width="5.6640625" style="186" customWidth="1"/>
    <col min="13084" max="13084" width="9.109375" style="186" customWidth="1"/>
    <col min="13085" max="13087" width="8.88671875" style="186"/>
    <col min="13088" max="13088" width="11.6640625" style="186" customWidth="1"/>
    <col min="13089" max="13312" width="8.88671875" style="186"/>
    <col min="13313" max="13313" width="6.44140625" style="186" customWidth="1"/>
    <col min="13314" max="13314" width="43.33203125" style="186" customWidth="1"/>
    <col min="13315" max="13315" width="11.109375" style="186" customWidth="1"/>
    <col min="13316" max="13316" width="13.109375" style="186" customWidth="1"/>
    <col min="13317" max="13317" width="13.88671875" style="186" customWidth="1"/>
    <col min="13318" max="13318" width="8.33203125" style="186" customWidth="1"/>
    <col min="13319" max="13319" width="13" style="186" customWidth="1"/>
    <col min="13320" max="13320" width="8.109375" style="186" customWidth="1"/>
    <col min="13321" max="13321" width="7.88671875" style="186" customWidth="1"/>
    <col min="13322" max="13322" width="11.109375" style="186" customWidth="1"/>
    <col min="13323" max="13323" width="9.44140625" style="186" customWidth="1"/>
    <col min="13324" max="13324" width="9.5546875" style="186" customWidth="1"/>
    <col min="13325" max="13325" width="10.77734375" style="186" customWidth="1"/>
    <col min="13326" max="13326" width="6.5546875" style="186" customWidth="1"/>
    <col min="13327" max="13327" width="7.5546875" style="186" customWidth="1"/>
    <col min="13328" max="13328" width="10.109375" style="186" customWidth="1"/>
    <col min="13329" max="13329" width="9.44140625" style="186" customWidth="1"/>
    <col min="13330" max="13330" width="11" style="186" customWidth="1"/>
    <col min="13331" max="13331" width="14" style="186" customWidth="1"/>
    <col min="13332" max="13332" width="9.88671875" style="186" customWidth="1"/>
    <col min="13333" max="13336" width="8.88671875" style="186"/>
    <col min="13337" max="13337" width="15" style="186" customWidth="1"/>
    <col min="13338" max="13338" width="6.44140625" style="186" customWidth="1"/>
    <col min="13339" max="13339" width="5.6640625" style="186" customWidth="1"/>
    <col min="13340" max="13340" width="9.109375" style="186" customWidth="1"/>
    <col min="13341" max="13343" width="8.88671875" style="186"/>
    <col min="13344" max="13344" width="11.6640625" style="186" customWidth="1"/>
    <col min="13345" max="13568" width="8.88671875" style="186"/>
    <col min="13569" max="13569" width="6.44140625" style="186" customWidth="1"/>
    <col min="13570" max="13570" width="43.33203125" style="186" customWidth="1"/>
    <col min="13571" max="13571" width="11.109375" style="186" customWidth="1"/>
    <col min="13572" max="13572" width="13.109375" style="186" customWidth="1"/>
    <col min="13573" max="13573" width="13.88671875" style="186" customWidth="1"/>
    <col min="13574" max="13574" width="8.33203125" style="186" customWidth="1"/>
    <col min="13575" max="13575" width="13" style="186" customWidth="1"/>
    <col min="13576" max="13576" width="8.109375" style="186" customWidth="1"/>
    <col min="13577" max="13577" width="7.88671875" style="186" customWidth="1"/>
    <col min="13578" max="13578" width="11.109375" style="186" customWidth="1"/>
    <col min="13579" max="13579" width="9.44140625" style="186" customWidth="1"/>
    <col min="13580" max="13580" width="9.5546875" style="186" customWidth="1"/>
    <col min="13581" max="13581" width="10.77734375" style="186" customWidth="1"/>
    <col min="13582" max="13582" width="6.5546875" style="186" customWidth="1"/>
    <col min="13583" max="13583" width="7.5546875" style="186" customWidth="1"/>
    <col min="13584" max="13584" width="10.109375" style="186" customWidth="1"/>
    <col min="13585" max="13585" width="9.44140625" style="186" customWidth="1"/>
    <col min="13586" max="13586" width="11" style="186" customWidth="1"/>
    <col min="13587" max="13587" width="14" style="186" customWidth="1"/>
    <col min="13588" max="13588" width="9.88671875" style="186" customWidth="1"/>
    <col min="13589" max="13592" width="8.88671875" style="186"/>
    <col min="13593" max="13593" width="15" style="186" customWidth="1"/>
    <col min="13594" max="13594" width="6.44140625" style="186" customWidth="1"/>
    <col min="13595" max="13595" width="5.6640625" style="186" customWidth="1"/>
    <col min="13596" max="13596" width="9.109375" style="186" customWidth="1"/>
    <col min="13597" max="13599" width="8.88671875" style="186"/>
    <col min="13600" max="13600" width="11.6640625" style="186" customWidth="1"/>
    <col min="13601" max="13824" width="8.88671875" style="186"/>
    <col min="13825" max="13825" width="6.44140625" style="186" customWidth="1"/>
    <col min="13826" max="13826" width="43.33203125" style="186" customWidth="1"/>
    <col min="13827" max="13827" width="11.109375" style="186" customWidth="1"/>
    <col min="13828" max="13828" width="13.109375" style="186" customWidth="1"/>
    <col min="13829" max="13829" width="13.88671875" style="186" customWidth="1"/>
    <col min="13830" max="13830" width="8.33203125" style="186" customWidth="1"/>
    <col min="13831" max="13831" width="13" style="186" customWidth="1"/>
    <col min="13832" max="13832" width="8.109375" style="186" customWidth="1"/>
    <col min="13833" max="13833" width="7.88671875" style="186" customWidth="1"/>
    <col min="13834" max="13834" width="11.109375" style="186" customWidth="1"/>
    <col min="13835" max="13835" width="9.44140625" style="186" customWidth="1"/>
    <col min="13836" max="13836" width="9.5546875" style="186" customWidth="1"/>
    <col min="13837" max="13837" width="10.77734375" style="186" customWidth="1"/>
    <col min="13838" max="13838" width="6.5546875" style="186" customWidth="1"/>
    <col min="13839" max="13839" width="7.5546875" style="186" customWidth="1"/>
    <col min="13840" max="13840" width="10.109375" style="186" customWidth="1"/>
    <col min="13841" max="13841" width="9.44140625" style="186" customWidth="1"/>
    <col min="13842" max="13842" width="11" style="186" customWidth="1"/>
    <col min="13843" max="13843" width="14" style="186" customWidth="1"/>
    <col min="13844" max="13844" width="9.88671875" style="186" customWidth="1"/>
    <col min="13845" max="13848" width="8.88671875" style="186"/>
    <col min="13849" max="13849" width="15" style="186" customWidth="1"/>
    <col min="13850" max="13850" width="6.44140625" style="186" customWidth="1"/>
    <col min="13851" max="13851" width="5.6640625" style="186" customWidth="1"/>
    <col min="13852" max="13852" width="9.109375" style="186" customWidth="1"/>
    <col min="13853" max="13855" width="8.88671875" style="186"/>
    <col min="13856" max="13856" width="11.6640625" style="186" customWidth="1"/>
    <col min="13857" max="14080" width="8.88671875" style="186"/>
    <col min="14081" max="14081" width="6.44140625" style="186" customWidth="1"/>
    <col min="14082" max="14082" width="43.33203125" style="186" customWidth="1"/>
    <col min="14083" max="14083" width="11.109375" style="186" customWidth="1"/>
    <col min="14084" max="14084" width="13.109375" style="186" customWidth="1"/>
    <col min="14085" max="14085" width="13.88671875" style="186" customWidth="1"/>
    <col min="14086" max="14086" width="8.33203125" style="186" customWidth="1"/>
    <col min="14087" max="14087" width="13" style="186" customWidth="1"/>
    <col min="14088" max="14088" width="8.109375" style="186" customWidth="1"/>
    <col min="14089" max="14089" width="7.88671875" style="186" customWidth="1"/>
    <col min="14090" max="14090" width="11.109375" style="186" customWidth="1"/>
    <col min="14091" max="14091" width="9.44140625" style="186" customWidth="1"/>
    <col min="14092" max="14092" width="9.5546875" style="186" customWidth="1"/>
    <col min="14093" max="14093" width="10.77734375" style="186" customWidth="1"/>
    <col min="14094" max="14094" width="6.5546875" style="186" customWidth="1"/>
    <col min="14095" max="14095" width="7.5546875" style="186" customWidth="1"/>
    <col min="14096" max="14096" width="10.109375" style="186" customWidth="1"/>
    <col min="14097" max="14097" width="9.44140625" style="186" customWidth="1"/>
    <col min="14098" max="14098" width="11" style="186" customWidth="1"/>
    <col min="14099" max="14099" width="14" style="186" customWidth="1"/>
    <col min="14100" max="14100" width="9.88671875" style="186" customWidth="1"/>
    <col min="14101" max="14104" width="8.88671875" style="186"/>
    <col min="14105" max="14105" width="15" style="186" customWidth="1"/>
    <col min="14106" max="14106" width="6.44140625" style="186" customWidth="1"/>
    <col min="14107" max="14107" width="5.6640625" style="186" customWidth="1"/>
    <col min="14108" max="14108" width="9.109375" style="186" customWidth="1"/>
    <col min="14109" max="14111" width="8.88671875" style="186"/>
    <col min="14112" max="14112" width="11.6640625" style="186" customWidth="1"/>
    <col min="14113" max="14336" width="8.88671875" style="186"/>
    <col min="14337" max="14337" width="6.44140625" style="186" customWidth="1"/>
    <col min="14338" max="14338" width="43.33203125" style="186" customWidth="1"/>
    <col min="14339" max="14339" width="11.109375" style="186" customWidth="1"/>
    <col min="14340" max="14340" width="13.109375" style="186" customWidth="1"/>
    <col min="14341" max="14341" width="13.88671875" style="186" customWidth="1"/>
    <col min="14342" max="14342" width="8.33203125" style="186" customWidth="1"/>
    <col min="14343" max="14343" width="13" style="186" customWidth="1"/>
    <col min="14344" max="14344" width="8.109375" style="186" customWidth="1"/>
    <col min="14345" max="14345" width="7.88671875" style="186" customWidth="1"/>
    <col min="14346" max="14346" width="11.109375" style="186" customWidth="1"/>
    <col min="14347" max="14347" width="9.44140625" style="186" customWidth="1"/>
    <col min="14348" max="14348" width="9.5546875" style="186" customWidth="1"/>
    <col min="14349" max="14349" width="10.77734375" style="186" customWidth="1"/>
    <col min="14350" max="14350" width="6.5546875" style="186" customWidth="1"/>
    <col min="14351" max="14351" width="7.5546875" style="186" customWidth="1"/>
    <col min="14352" max="14352" width="10.109375" style="186" customWidth="1"/>
    <col min="14353" max="14353" width="9.44140625" style="186" customWidth="1"/>
    <col min="14354" max="14354" width="11" style="186" customWidth="1"/>
    <col min="14355" max="14355" width="14" style="186" customWidth="1"/>
    <col min="14356" max="14356" width="9.88671875" style="186" customWidth="1"/>
    <col min="14357" max="14360" width="8.88671875" style="186"/>
    <col min="14361" max="14361" width="15" style="186" customWidth="1"/>
    <col min="14362" max="14362" width="6.44140625" style="186" customWidth="1"/>
    <col min="14363" max="14363" width="5.6640625" style="186" customWidth="1"/>
    <col min="14364" max="14364" width="9.109375" style="186" customWidth="1"/>
    <col min="14365" max="14367" width="8.88671875" style="186"/>
    <col min="14368" max="14368" width="11.6640625" style="186" customWidth="1"/>
    <col min="14369" max="14592" width="8.88671875" style="186"/>
    <col min="14593" max="14593" width="6.44140625" style="186" customWidth="1"/>
    <col min="14594" max="14594" width="43.33203125" style="186" customWidth="1"/>
    <col min="14595" max="14595" width="11.109375" style="186" customWidth="1"/>
    <col min="14596" max="14596" width="13.109375" style="186" customWidth="1"/>
    <col min="14597" max="14597" width="13.88671875" style="186" customWidth="1"/>
    <col min="14598" max="14598" width="8.33203125" style="186" customWidth="1"/>
    <col min="14599" max="14599" width="13" style="186" customWidth="1"/>
    <col min="14600" max="14600" width="8.109375" style="186" customWidth="1"/>
    <col min="14601" max="14601" width="7.88671875" style="186" customWidth="1"/>
    <col min="14602" max="14602" width="11.109375" style="186" customWidth="1"/>
    <col min="14603" max="14603" width="9.44140625" style="186" customWidth="1"/>
    <col min="14604" max="14604" width="9.5546875" style="186" customWidth="1"/>
    <col min="14605" max="14605" width="10.77734375" style="186" customWidth="1"/>
    <col min="14606" max="14606" width="6.5546875" style="186" customWidth="1"/>
    <col min="14607" max="14607" width="7.5546875" style="186" customWidth="1"/>
    <col min="14608" max="14608" width="10.109375" style="186" customWidth="1"/>
    <col min="14609" max="14609" width="9.44140625" style="186" customWidth="1"/>
    <col min="14610" max="14610" width="11" style="186" customWidth="1"/>
    <col min="14611" max="14611" width="14" style="186" customWidth="1"/>
    <col min="14612" max="14612" width="9.88671875" style="186" customWidth="1"/>
    <col min="14613" max="14616" width="8.88671875" style="186"/>
    <col min="14617" max="14617" width="15" style="186" customWidth="1"/>
    <col min="14618" max="14618" width="6.44140625" style="186" customWidth="1"/>
    <col min="14619" max="14619" width="5.6640625" style="186" customWidth="1"/>
    <col min="14620" max="14620" width="9.109375" style="186" customWidth="1"/>
    <col min="14621" max="14623" width="8.88671875" style="186"/>
    <col min="14624" max="14624" width="11.6640625" style="186" customWidth="1"/>
    <col min="14625" max="14848" width="8.88671875" style="186"/>
    <col min="14849" max="14849" width="6.44140625" style="186" customWidth="1"/>
    <col min="14850" max="14850" width="43.33203125" style="186" customWidth="1"/>
    <col min="14851" max="14851" width="11.109375" style="186" customWidth="1"/>
    <col min="14852" max="14852" width="13.109375" style="186" customWidth="1"/>
    <col min="14853" max="14853" width="13.88671875" style="186" customWidth="1"/>
    <col min="14854" max="14854" width="8.33203125" style="186" customWidth="1"/>
    <col min="14855" max="14855" width="13" style="186" customWidth="1"/>
    <col min="14856" max="14856" width="8.109375" style="186" customWidth="1"/>
    <col min="14857" max="14857" width="7.88671875" style="186" customWidth="1"/>
    <col min="14858" max="14858" width="11.109375" style="186" customWidth="1"/>
    <col min="14859" max="14859" width="9.44140625" style="186" customWidth="1"/>
    <col min="14860" max="14860" width="9.5546875" style="186" customWidth="1"/>
    <col min="14861" max="14861" width="10.77734375" style="186" customWidth="1"/>
    <col min="14862" max="14862" width="6.5546875" style="186" customWidth="1"/>
    <col min="14863" max="14863" width="7.5546875" style="186" customWidth="1"/>
    <col min="14864" max="14864" width="10.109375" style="186" customWidth="1"/>
    <col min="14865" max="14865" width="9.44140625" style="186" customWidth="1"/>
    <col min="14866" max="14866" width="11" style="186" customWidth="1"/>
    <col min="14867" max="14867" width="14" style="186" customWidth="1"/>
    <col min="14868" max="14868" width="9.88671875" style="186" customWidth="1"/>
    <col min="14869" max="14872" width="8.88671875" style="186"/>
    <col min="14873" max="14873" width="15" style="186" customWidth="1"/>
    <col min="14874" max="14874" width="6.44140625" style="186" customWidth="1"/>
    <col min="14875" max="14875" width="5.6640625" style="186" customWidth="1"/>
    <col min="14876" max="14876" width="9.109375" style="186" customWidth="1"/>
    <col min="14877" max="14879" width="8.88671875" style="186"/>
    <col min="14880" max="14880" width="11.6640625" style="186" customWidth="1"/>
    <col min="14881" max="15104" width="8.88671875" style="186"/>
    <col min="15105" max="15105" width="6.44140625" style="186" customWidth="1"/>
    <col min="15106" max="15106" width="43.33203125" style="186" customWidth="1"/>
    <col min="15107" max="15107" width="11.109375" style="186" customWidth="1"/>
    <col min="15108" max="15108" width="13.109375" style="186" customWidth="1"/>
    <col min="15109" max="15109" width="13.88671875" style="186" customWidth="1"/>
    <col min="15110" max="15110" width="8.33203125" style="186" customWidth="1"/>
    <col min="15111" max="15111" width="13" style="186" customWidth="1"/>
    <col min="15112" max="15112" width="8.109375" style="186" customWidth="1"/>
    <col min="15113" max="15113" width="7.88671875" style="186" customWidth="1"/>
    <col min="15114" max="15114" width="11.109375" style="186" customWidth="1"/>
    <col min="15115" max="15115" width="9.44140625" style="186" customWidth="1"/>
    <col min="15116" max="15116" width="9.5546875" style="186" customWidth="1"/>
    <col min="15117" max="15117" width="10.77734375" style="186" customWidth="1"/>
    <col min="15118" max="15118" width="6.5546875" style="186" customWidth="1"/>
    <col min="15119" max="15119" width="7.5546875" style="186" customWidth="1"/>
    <col min="15120" max="15120" width="10.109375" style="186" customWidth="1"/>
    <col min="15121" max="15121" width="9.44140625" style="186" customWidth="1"/>
    <col min="15122" max="15122" width="11" style="186" customWidth="1"/>
    <col min="15123" max="15123" width="14" style="186" customWidth="1"/>
    <col min="15124" max="15124" width="9.88671875" style="186" customWidth="1"/>
    <col min="15125" max="15128" width="8.88671875" style="186"/>
    <col min="15129" max="15129" width="15" style="186" customWidth="1"/>
    <col min="15130" max="15130" width="6.44140625" style="186" customWidth="1"/>
    <col min="15131" max="15131" width="5.6640625" style="186" customWidth="1"/>
    <col min="15132" max="15132" width="9.109375" style="186" customWidth="1"/>
    <col min="15133" max="15135" width="8.88671875" style="186"/>
    <col min="15136" max="15136" width="11.6640625" style="186" customWidth="1"/>
    <col min="15137" max="15360" width="8.88671875" style="186"/>
    <col min="15361" max="15361" width="6.44140625" style="186" customWidth="1"/>
    <col min="15362" max="15362" width="43.33203125" style="186" customWidth="1"/>
    <col min="15363" max="15363" width="11.109375" style="186" customWidth="1"/>
    <col min="15364" max="15364" width="13.109375" style="186" customWidth="1"/>
    <col min="15365" max="15365" width="13.88671875" style="186" customWidth="1"/>
    <col min="15366" max="15366" width="8.33203125" style="186" customWidth="1"/>
    <col min="15367" max="15367" width="13" style="186" customWidth="1"/>
    <col min="15368" max="15368" width="8.109375" style="186" customWidth="1"/>
    <col min="15369" max="15369" width="7.88671875" style="186" customWidth="1"/>
    <col min="15370" max="15370" width="11.109375" style="186" customWidth="1"/>
    <col min="15371" max="15371" width="9.44140625" style="186" customWidth="1"/>
    <col min="15372" max="15372" width="9.5546875" style="186" customWidth="1"/>
    <col min="15373" max="15373" width="10.77734375" style="186" customWidth="1"/>
    <col min="15374" max="15374" width="6.5546875" style="186" customWidth="1"/>
    <col min="15375" max="15375" width="7.5546875" style="186" customWidth="1"/>
    <col min="15376" max="15376" width="10.109375" style="186" customWidth="1"/>
    <col min="15377" max="15377" width="9.44140625" style="186" customWidth="1"/>
    <col min="15378" max="15378" width="11" style="186" customWidth="1"/>
    <col min="15379" max="15379" width="14" style="186" customWidth="1"/>
    <col min="15380" max="15380" width="9.88671875" style="186" customWidth="1"/>
    <col min="15381" max="15384" width="8.88671875" style="186"/>
    <col min="15385" max="15385" width="15" style="186" customWidth="1"/>
    <col min="15386" max="15386" width="6.44140625" style="186" customWidth="1"/>
    <col min="15387" max="15387" width="5.6640625" style="186" customWidth="1"/>
    <col min="15388" max="15388" width="9.109375" style="186" customWidth="1"/>
    <col min="15389" max="15391" width="8.88671875" style="186"/>
    <col min="15392" max="15392" width="11.6640625" style="186" customWidth="1"/>
    <col min="15393" max="15616" width="8.88671875" style="186"/>
    <col min="15617" max="15617" width="6.44140625" style="186" customWidth="1"/>
    <col min="15618" max="15618" width="43.33203125" style="186" customWidth="1"/>
    <col min="15619" max="15619" width="11.109375" style="186" customWidth="1"/>
    <col min="15620" max="15620" width="13.109375" style="186" customWidth="1"/>
    <col min="15621" max="15621" width="13.88671875" style="186" customWidth="1"/>
    <col min="15622" max="15622" width="8.33203125" style="186" customWidth="1"/>
    <col min="15623" max="15623" width="13" style="186" customWidth="1"/>
    <col min="15624" max="15624" width="8.109375" style="186" customWidth="1"/>
    <col min="15625" max="15625" width="7.88671875" style="186" customWidth="1"/>
    <col min="15626" max="15626" width="11.109375" style="186" customWidth="1"/>
    <col min="15627" max="15627" width="9.44140625" style="186" customWidth="1"/>
    <col min="15628" max="15628" width="9.5546875" style="186" customWidth="1"/>
    <col min="15629" max="15629" width="10.77734375" style="186" customWidth="1"/>
    <col min="15630" max="15630" width="6.5546875" style="186" customWidth="1"/>
    <col min="15631" max="15631" width="7.5546875" style="186" customWidth="1"/>
    <col min="15632" max="15632" width="10.109375" style="186" customWidth="1"/>
    <col min="15633" max="15633" width="9.44140625" style="186" customWidth="1"/>
    <col min="15634" max="15634" width="11" style="186" customWidth="1"/>
    <col min="15635" max="15635" width="14" style="186" customWidth="1"/>
    <col min="15636" max="15636" width="9.88671875" style="186" customWidth="1"/>
    <col min="15637" max="15640" width="8.88671875" style="186"/>
    <col min="15641" max="15641" width="15" style="186" customWidth="1"/>
    <col min="15642" max="15642" width="6.44140625" style="186" customWidth="1"/>
    <col min="15643" max="15643" width="5.6640625" style="186" customWidth="1"/>
    <col min="15644" max="15644" width="9.109375" style="186" customWidth="1"/>
    <col min="15645" max="15647" width="8.88671875" style="186"/>
    <col min="15648" max="15648" width="11.6640625" style="186" customWidth="1"/>
    <col min="15649" max="15872" width="8.88671875" style="186"/>
    <col min="15873" max="15873" width="6.44140625" style="186" customWidth="1"/>
    <col min="15874" max="15874" width="43.33203125" style="186" customWidth="1"/>
    <col min="15875" max="15875" width="11.109375" style="186" customWidth="1"/>
    <col min="15876" max="15876" width="13.109375" style="186" customWidth="1"/>
    <col min="15877" max="15877" width="13.88671875" style="186" customWidth="1"/>
    <col min="15878" max="15878" width="8.33203125" style="186" customWidth="1"/>
    <col min="15879" max="15879" width="13" style="186" customWidth="1"/>
    <col min="15880" max="15880" width="8.109375" style="186" customWidth="1"/>
    <col min="15881" max="15881" width="7.88671875" style="186" customWidth="1"/>
    <col min="15882" max="15882" width="11.109375" style="186" customWidth="1"/>
    <col min="15883" max="15883" width="9.44140625" style="186" customWidth="1"/>
    <col min="15884" max="15884" width="9.5546875" style="186" customWidth="1"/>
    <col min="15885" max="15885" width="10.77734375" style="186" customWidth="1"/>
    <col min="15886" max="15886" width="6.5546875" style="186" customWidth="1"/>
    <col min="15887" max="15887" width="7.5546875" style="186" customWidth="1"/>
    <col min="15888" max="15888" width="10.109375" style="186" customWidth="1"/>
    <col min="15889" max="15889" width="9.44140625" style="186" customWidth="1"/>
    <col min="15890" max="15890" width="11" style="186" customWidth="1"/>
    <col min="15891" max="15891" width="14" style="186" customWidth="1"/>
    <col min="15892" max="15892" width="9.88671875" style="186" customWidth="1"/>
    <col min="15893" max="15896" width="8.88671875" style="186"/>
    <col min="15897" max="15897" width="15" style="186" customWidth="1"/>
    <col min="15898" max="15898" width="6.44140625" style="186" customWidth="1"/>
    <col min="15899" max="15899" width="5.6640625" style="186" customWidth="1"/>
    <col min="15900" max="15900" width="9.109375" style="186" customWidth="1"/>
    <col min="15901" max="15903" width="8.88671875" style="186"/>
    <col min="15904" max="15904" width="11.6640625" style="186" customWidth="1"/>
    <col min="15905" max="16128" width="8.88671875" style="186"/>
    <col min="16129" max="16129" width="6.44140625" style="186" customWidth="1"/>
    <col min="16130" max="16130" width="43.33203125" style="186" customWidth="1"/>
    <col min="16131" max="16131" width="11.109375" style="186" customWidth="1"/>
    <col min="16132" max="16132" width="13.109375" style="186" customWidth="1"/>
    <col min="16133" max="16133" width="13.88671875" style="186" customWidth="1"/>
    <col min="16134" max="16134" width="8.33203125" style="186" customWidth="1"/>
    <col min="16135" max="16135" width="13" style="186" customWidth="1"/>
    <col min="16136" max="16136" width="8.109375" style="186" customWidth="1"/>
    <col min="16137" max="16137" width="7.88671875" style="186" customWidth="1"/>
    <col min="16138" max="16138" width="11.109375" style="186" customWidth="1"/>
    <col min="16139" max="16139" width="9.44140625" style="186" customWidth="1"/>
    <col min="16140" max="16140" width="9.5546875" style="186" customWidth="1"/>
    <col min="16141" max="16141" width="10.77734375" style="186" customWidth="1"/>
    <col min="16142" max="16142" width="6.5546875" style="186" customWidth="1"/>
    <col min="16143" max="16143" width="7.5546875" style="186" customWidth="1"/>
    <col min="16144" max="16144" width="10.109375" style="186" customWidth="1"/>
    <col min="16145" max="16145" width="9.44140625" style="186" customWidth="1"/>
    <col min="16146" max="16146" width="11" style="186" customWidth="1"/>
    <col min="16147" max="16147" width="14" style="186" customWidth="1"/>
    <col min="16148" max="16148" width="9.88671875" style="186" customWidth="1"/>
    <col min="16149" max="16152" width="8.88671875" style="186"/>
    <col min="16153" max="16153" width="15" style="186" customWidth="1"/>
    <col min="16154" max="16154" width="6.44140625" style="186" customWidth="1"/>
    <col min="16155" max="16155" width="5.6640625" style="186" customWidth="1"/>
    <col min="16156" max="16156" width="9.109375" style="186" customWidth="1"/>
    <col min="16157" max="16159" width="8.88671875" style="186"/>
    <col min="16160" max="16160" width="11.6640625" style="186" customWidth="1"/>
    <col min="16161" max="16384" width="8.88671875" style="186"/>
  </cols>
  <sheetData>
    <row r="1" spans="1:36" ht="15.75" x14ac:dyDescent="0.25">
      <c r="A1" s="184"/>
      <c r="B1" s="184"/>
      <c r="C1" s="184"/>
      <c r="D1" s="184"/>
      <c r="E1" s="185" t="s">
        <v>249</v>
      </c>
      <c r="F1" s="184"/>
      <c r="G1" s="184"/>
      <c r="H1" s="184"/>
      <c r="I1" s="184"/>
      <c r="J1" s="184"/>
      <c r="K1" s="184"/>
      <c r="L1" s="184"/>
      <c r="M1" s="184"/>
      <c r="N1" s="184"/>
      <c r="O1" s="184"/>
      <c r="P1" s="184"/>
      <c r="Q1" s="184"/>
    </row>
    <row r="2" spans="1:36" ht="19.5" customHeight="1" x14ac:dyDescent="0.25">
      <c r="A2" s="184"/>
      <c r="B2" s="184"/>
      <c r="D2" s="184"/>
      <c r="F2" s="185"/>
      <c r="G2" s="185"/>
      <c r="H2" s="185"/>
      <c r="I2" s="184"/>
      <c r="J2" s="184"/>
      <c r="K2" s="184"/>
      <c r="L2" s="184"/>
      <c r="M2" s="184"/>
      <c r="N2" s="184"/>
      <c r="O2" s="184"/>
      <c r="P2" s="187"/>
      <c r="Q2" s="184"/>
    </row>
    <row r="3" spans="1:36" ht="15.75" x14ac:dyDescent="0.25">
      <c r="A3" s="184"/>
      <c r="B3" s="184"/>
      <c r="D3" s="184"/>
      <c r="E3" s="188" t="s">
        <v>250</v>
      </c>
      <c r="F3" s="189"/>
      <c r="G3" s="189"/>
      <c r="H3" s="190"/>
      <c r="I3" s="184"/>
      <c r="J3" s="184"/>
      <c r="L3" s="184"/>
      <c r="M3" s="184"/>
      <c r="N3" s="184"/>
      <c r="O3" s="184"/>
      <c r="P3" s="184"/>
      <c r="Q3" s="184"/>
    </row>
    <row r="4" spans="1:36" ht="15.75" x14ac:dyDescent="0.25">
      <c r="A4" s="184"/>
      <c r="B4" s="184"/>
      <c r="D4" s="184"/>
      <c r="E4" s="188" t="s">
        <v>251</v>
      </c>
      <c r="F4" s="189"/>
      <c r="G4" s="189"/>
      <c r="H4" s="191"/>
      <c r="I4" s="184"/>
      <c r="J4" s="184"/>
      <c r="K4" s="184"/>
      <c r="L4" s="184"/>
      <c r="M4" s="184"/>
      <c r="N4" s="184"/>
      <c r="O4" s="184"/>
      <c r="P4" s="184"/>
      <c r="Q4" s="184"/>
    </row>
    <row r="5" spans="1:36" ht="15.75" x14ac:dyDescent="0.25">
      <c r="A5" s="184"/>
      <c r="B5" s="184"/>
      <c r="C5" s="184"/>
      <c r="D5" s="184"/>
      <c r="E5" s="184"/>
      <c r="F5" s="184"/>
      <c r="G5" s="184"/>
      <c r="H5" s="184"/>
      <c r="I5" s="184"/>
      <c r="J5" s="184"/>
      <c r="K5" s="184"/>
      <c r="L5" s="184"/>
      <c r="M5" s="184"/>
      <c r="N5" s="184"/>
      <c r="O5" s="184"/>
      <c r="P5" s="67"/>
      <c r="Q5" s="184"/>
    </row>
    <row r="6" spans="1:36" ht="18" x14ac:dyDescent="0.25">
      <c r="A6" s="1117" t="s">
        <v>252</v>
      </c>
      <c r="B6" s="1117"/>
      <c r="C6" s="1117"/>
      <c r="D6" s="1117"/>
      <c r="E6" s="1117"/>
      <c r="F6" s="192"/>
      <c r="G6" s="192"/>
      <c r="H6" s="192"/>
      <c r="I6" s="184"/>
      <c r="J6" s="184"/>
      <c r="K6" s="184"/>
      <c r="L6" s="184"/>
      <c r="M6" s="184"/>
      <c r="N6" s="184"/>
      <c r="O6" s="184"/>
      <c r="P6" s="36"/>
      <c r="Q6" s="184"/>
    </row>
    <row r="7" spans="1:36" ht="18" x14ac:dyDescent="0.25">
      <c r="A7" s="1118" t="e">
        <f>#REF!</f>
        <v>#REF!</v>
      </c>
      <c r="B7" s="1118"/>
      <c r="C7" s="1118"/>
      <c r="D7" s="1118"/>
      <c r="E7" s="1118"/>
      <c r="F7" s="192"/>
      <c r="G7" s="192"/>
      <c r="H7" s="192"/>
      <c r="I7" s="184"/>
      <c r="J7" s="184"/>
      <c r="K7" s="184"/>
      <c r="L7" s="184"/>
      <c r="M7" s="184"/>
      <c r="N7" s="184"/>
      <c r="O7" s="184"/>
      <c r="P7" s="184"/>
      <c r="Q7" s="184"/>
    </row>
    <row r="8" spans="1:36" ht="39.75" customHeight="1" x14ac:dyDescent="0.25">
      <c r="A8" s="1119" t="e">
        <f>#REF!</f>
        <v>#REF!</v>
      </c>
      <c r="B8" s="1119" t="s">
        <v>253</v>
      </c>
      <c r="C8" s="1119"/>
      <c r="D8" s="1119"/>
      <c r="E8" s="1119"/>
      <c r="F8" s="192"/>
      <c r="G8" s="192"/>
      <c r="H8" s="192"/>
      <c r="I8" s="184"/>
      <c r="J8" s="184"/>
      <c r="K8" s="184"/>
      <c r="L8" s="184"/>
      <c r="M8" s="184"/>
      <c r="N8" s="184"/>
      <c r="O8" s="184"/>
      <c r="P8" s="184"/>
      <c r="Q8" s="184"/>
    </row>
    <row r="9" spans="1:36" ht="15.75" x14ac:dyDescent="0.25">
      <c r="A9" s="1120" t="s">
        <v>254</v>
      </c>
      <c r="B9" s="1120"/>
      <c r="C9" s="1120"/>
      <c r="D9" s="1120"/>
      <c r="E9" s="1120"/>
      <c r="F9" s="193"/>
      <c r="G9" s="193"/>
      <c r="H9" s="193"/>
      <c r="I9" s="184"/>
      <c r="J9" s="184"/>
      <c r="K9" s="184"/>
      <c r="L9" s="184"/>
      <c r="M9" s="184"/>
      <c r="N9" s="184"/>
      <c r="O9" s="184"/>
      <c r="P9" s="184"/>
      <c r="Q9" s="184"/>
    </row>
    <row r="10" spans="1:36" ht="15.75" x14ac:dyDescent="0.25">
      <c r="A10" s="1121" t="s">
        <v>255</v>
      </c>
      <c r="B10" s="1121"/>
      <c r="C10" s="1121"/>
      <c r="D10" s="1121"/>
      <c r="E10" s="1121"/>
      <c r="F10" s="193"/>
      <c r="G10" s="193"/>
      <c r="H10" s="193"/>
      <c r="I10" s="184"/>
      <c r="J10" s="184"/>
      <c r="K10" s="184"/>
      <c r="L10" s="184"/>
      <c r="M10" s="184"/>
      <c r="N10" s="184"/>
      <c r="O10" s="184"/>
      <c r="P10" s="184"/>
      <c r="Q10" s="184"/>
    </row>
    <row r="11" spans="1:36" ht="15.75" x14ac:dyDescent="0.25">
      <c r="A11" s="194"/>
      <c r="B11" s="194"/>
      <c r="C11" s="194"/>
      <c r="D11" s="184"/>
      <c r="E11" s="184"/>
      <c r="F11" s="193"/>
      <c r="G11" s="193"/>
      <c r="H11" s="193"/>
      <c r="I11" s="184"/>
      <c r="J11" s="184"/>
      <c r="K11" s="184"/>
      <c r="L11" s="184"/>
      <c r="M11" s="184"/>
      <c r="N11" s="184"/>
      <c r="O11" s="184"/>
      <c r="P11" s="184"/>
      <c r="Q11" s="184"/>
    </row>
    <row r="12" spans="1:36" ht="16.5" thickBot="1" x14ac:dyDescent="0.3">
      <c r="A12" s="195"/>
      <c r="B12" s="196" t="s">
        <v>256</v>
      </c>
      <c r="C12" s="197">
        <f>C44</f>
        <v>75</v>
      </c>
      <c r="D12" s="198"/>
      <c r="E12" s="199" t="s">
        <v>257</v>
      </c>
      <c r="F12" s="200"/>
      <c r="G12" s="200"/>
      <c r="H12" s="200"/>
      <c r="I12" s="184"/>
      <c r="J12" s="184"/>
      <c r="K12" s="200"/>
      <c r="L12" s="184"/>
      <c r="M12" s="184"/>
      <c r="N12" s="184"/>
      <c r="O12" s="184"/>
      <c r="P12" s="184"/>
      <c r="Q12" s="184"/>
      <c r="S12" s="201"/>
      <c r="T12" s="202"/>
      <c r="U12" s="202"/>
      <c r="V12" s="203"/>
      <c r="W12" s="202"/>
      <c r="AE12" s="202"/>
      <c r="AF12" s="202"/>
      <c r="AG12" s="202"/>
      <c r="AH12" s="202"/>
      <c r="AI12" s="202"/>
      <c r="AJ12" s="202"/>
    </row>
    <row r="13" spans="1:36" ht="16.5" thickBot="1" x14ac:dyDescent="0.3">
      <c r="A13" s="195"/>
      <c r="B13" s="196" t="s">
        <v>258</v>
      </c>
      <c r="C13" s="197">
        <f>C45</f>
        <v>68</v>
      </c>
      <c r="D13" s="198"/>
      <c r="E13" s="199"/>
      <c r="F13" s="200"/>
      <c r="G13" s="200"/>
      <c r="H13" s="200"/>
      <c r="I13" s="184"/>
      <c r="J13" s="184"/>
      <c r="K13" s="200"/>
      <c r="L13" s="184"/>
      <c r="M13" s="184"/>
      <c r="N13" s="184"/>
      <c r="O13" s="184"/>
      <c r="P13" s="184"/>
      <c r="Q13" s="184"/>
      <c r="S13" s="201"/>
      <c r="T13" s="202"/>
      <c r="U13" s="202"/>
      <c r="V13" s="203"/>
      <c r="W13" s="202"/>
      <c r="AE13" s="202"/>
      <c r="AF13" s="202"/>
      <c r="AG13" s="202"/>
      <c r="AH13" s="202"/>
      <c r="AI13" s="202"/>
      <c r="AJ13" s="202"/>
    </row>
    <row r="14" spans="1:36" ht="32.25" customHeight="1" thickBot="1" x14ac:dyDescent="0.3">
      <c r="A14" s="204" t="s">
        <v>259</v>
      </c>
      <c r="B14" s="205" t="s">
        <v>260</v>
      </c>
      <c r="C14" s="205" t="s">
        <v>14</v>
      </c>
      <c r="D14" s="206" t="s">
        <v>12</v>
      </c>
      <c r="E14" s="207" t="s">
        <v>4</v>
      </c>
      <c r="F14" s="194"/>
      <c r="G14" s="194"/>
      <c r="H14" s="208"/>
      <c r="I14" s="208"/>
      <c r="J14" s="208"/>
      <c r="K14" s="208"/>
      <c r="L14" s="209"/>
      <c r="M14" s="209"/>
      <c r="N14" s="209"/>
      <c r="O14" s="209"/>
      <c r="P14" s="193"/>
      <c r="Q14" s="184"/>
      <c r="R14" s="193"/>
      <c r="S14" s="210"/>
      <c r="T14" s="202"/>
      <c r="U14" s="202"/>
      <c r="V14" s="202"/>
      <c r="W14" s="202"/>
      <c r="X14" s="193"/>
      <c r="Y14" s="193"/>
      <c r="Z14" s="193"/>
      <c r="AA14" s="193"/>
      <c r="AB14" s="211"/>
      <c r="AE14" s="212"/>
      <c r="AF14" s="202"/>
      <c r="AG14" s="202"/>
      <c r="AH14" s="202"/>
      <c r="AI14" s="202"/>
      <c r="AJ14" s="202"/>
    </row>
    <row r="15" spans="1:36" ht="30" customHeight="1" x14ac:dyDescent="0.25">
      <c r="A15" s="213">
        <v>1</v>
      </c>
      <c r="B15" s="214" t="s">
        <v>261</v>
      </c>
      <c r="C15" s="215" t="e">
        <f>C54</f>
        <v>#VALUE!</v>
      </c>
      <c r="D15" s="216" t="e">
        <f>SUM(D54:G54)</f>
        <v>#VALUE!</v>
      </c>
      <c r="E15" s="217" t="e">
        <f>C15+D15</f>
        <v>#VALUE!</v>
      </c>
      <c r="F15" s="194"/>
      <c r="G15" s="194"/>
      <c r="H15" s="218"/>
      <c r="I15" s="219"/>
      <c r="J15" s="218"/>
      <c r="K15" s="219"/>
      <c r="L15" s="184"/>
      <c r="M15" s="184"/>
      <c r="N15" s="184"/>
      <c r="O15" s="184"/>
      <c r="P15" s="220"/>
      <c r="Q15" s="221"/>
      <c r="R15" s="222"/>
      <c r="S15" s="223"/>
      <c r="T15" s="202"/>
      <c r="U15" s="202"/>
      <c r="V15" s="202"/>
      <c r="W15" s="202"/>
      <c r="X15" s="222"/>
      <c r="Y15" s="222"/>
      <c r="Z15" s="222"/>
      <c r="AA15" s="222"/>
      <c r="AB15" s="222"/>
      <c r="AE15" s="224"/>
      <c r="AF15" s="225"/>
      <c r="AG15" s="202"/>
      <c r="AH15" s="202"/>
      <c r="AI15" s="202"/>
      <c r="AJ15" s="202"/>
    </row>
    <row r="16" spans="1:36" ht="37.5" customHeight="1" x14ac:dyDescent="0.25">
      <c r="A16" s="213">
        <v>2</v>
      </c>
      <c r="B16" s="226" t="s">
        <v>262</v>
      </c>
      <c r="C16" s="215" t="e">
        <f>C55+C56+C57</f>
        <v>#REF!</v>
      </c>
      <c r="D16" s="227">
        <f>SUM(D55:G57)</f>
        <v>0</v>
      </c>
      <c r="E16" s="217" t="e">
        <f t="shared" ref="E16:E33" si="0">C16+D16</f>
        <v>#REF!</v>
      </c>
      <c r="F16" s="184"/>
      <c r="G16" s="184"/>
      <c r="H16" s="221"/>
      <c r="I16" s="187"/>
      <c r="J16" s="221"/>
      <c r="K16" s="228"/>
      <c r="L16" s="229"/>
      <c r="M16" s="229"/>
      <c r="N16" s="229"/>
      <c r="O16" s="229"/>
      <c r="P16" s="220"/>
      <c r="Q16" s="221"/>
      <c r="R16" s="222"/>
      <c r="S16" s="230"/>
      <c r="T16" s="231"/>
      <c r="U16" s="232"/>
      <c r="V16" s="232"/>
      <c r="W16" s="233"/>
      <c r="X16" s="222"/>
      <c r="Y16" s="222"/>
      <c r="Z16" s="222"/>
      <c r="AA16" s="222"/>
      <c r="AB16" s="222"/>
      <c r="AE16" s="224"/>
      <c r="AF16" s="225"/>
      <c r="AG16" s="202"/>
      <c r="AH16" s="234"/>
      <c r="AI16" s="202"/>
      <c r="AJ16" s="202"/>
    </row>
    <row r="17" spans="1:36" ht="34.5" customHeight="1" x14ac:dyDescent="0.25">
      <c r="A17" s="213">
        <v>3</v>
      </c>
      <c r="B17" s="226" t="s">
        <v>263</v>
      </c>
      <c r="C17" s="215"/>
      <c r="D17" s="235">
        <f>SUM(D58:G58)</f>
        <v>0</v>
      </c>
      <c r="E17" s="217">
        <f t="shared" si="0"/>
        <v>0</v>
      </c>
      <c r="F17" s="236"/>
      <c r="G17" s="236"/>
      <c r="H17" s="237"/>
      <c r="I17" s="238"/>
      <c r="J17" s="237"/>
      <c r="K17" s="238"/>
      <c r="L17" s="184"/>
      <c r="M17" s="184"/>
      <c r="N17" s="184"/>
      <c r="O17" s="184"/>
      <c r="P17" s="220"/>
      <c r="Q17" s="221"/>
      <c r="R17" s="222"/>
      <c r="S17" s="230"/>
      <c r="T17" s="239"/>
      <c r="U17" s="232"/>
      <c r="V17" s="232"/>
      <c r="W17" s="233"/>
      <c r="X17" s="222"/>
      <c r="Y17" s="222"/>
      <c r="Z17" s="222"/>
      <c r="AA17" s="222"/>
      <c r="AB17" s="222"/>
      <c r="AE17" s="202"/>
      <c r="AF17" s="202"/>
      <c r="AG17" s="202"/>
      <c r="AH17" s="202"/>
      <c r="AI17" s="202"/>
      <c r="AJ17" s="202"/>
    </row>
    <row r="18" spans="1:36" ht="23.25" customHeight="1" x14ac:dyDescent="0.25">
      <c r="A18" s="213">
        <v>4</v>
      </c>
      <c r="B18" s="240" t="s">
        <v>264</v>
      </c>
      <c r="C18" s="215" t="e">
        <f>C59</f>
        <v>#REF!</v>
      </c>
      <c r="D18" s="235">
        <f>SUM(D59:G59)</f>
        <v>0</v>
      </c>
      <c r="E18" s="217" t="e">
        <f t="shared" si="0"/>
        <v>#REF!</v>
      </c>
      <c r="F18" s="236"/>
      <c r="G18" s="236"/>
      <c r="H18" s="222"/>
      <c r="I18" s="220"/>
      <c r="J18" s="222"/>
      <c r="K18" s="241"/>
      <c r="L18" s="187"/>
      <c r="M18" s="187"/>
      <c r="N18" s="187"/>
      <c r="O18" s="187"/>
      <c r="P18" s="220"/>
      <c r="Q18" s="221"/>
      <c r="R18" s="222"/>
      <c r="S18" s="242"/>
      <c r="T18" s="243"/>
      <c r="U18" s="242"/>
      <c r="V18" s="242"/>
      <c r="W18" s="242"/>
      <c r="X18" s="222"/>
      <c r="Y18" s="222"/>
      <c r="Z18" s="222"/>
      <c r="AA18" s="222"/>
      <c r="AB18" s="222"/>
      <c r="AE18" s="242"/>
      <c r="AF18" s="242"/>
      <c r="AG18" s="244"/>
      <c r="AH18" s="244"/>
      <c r="AI18" s="232"/>
      <c r="AJ18" s="202"/>
    </row>
    <row r="19" spans="1:36" ht="30" customHeight="1" x14ac:dyDescent="0.25">
      <c r="A19" s="213">
        <v>5</v>
      </c>
      <c r="B19" s="226" t="s">
        <v>265</v>
      </c>
      <c r="C19" s="215"/>
      <c r="D19" s="235">
        <f>SUM(D61:G61)</f>
        <v>5.9000000000000004E-2</v>
      </c>
      <c r="E19" s="217">
        <f t="shared" si="0"/>
        <v>5.9000000000000004E-2</v>
      </c>
      <c r="F19" s="184"/>
      <c r="G19" s="236"/>
      <c r="H19" s="237"/>
      <c r="I19" s="238"/>
      <c r="J19" s="237"/>
      <c r="K19" s="238"/>
      <c r="L19" s="184"/>
      <c r="M19" s="184"/>
      <c r="N19" s="184"/>
      <c r="O19" s="184"/>
      <c r="P19" s="220"/>
      <c r="Q19" s="221"/>
      <c r="R19" s="222"/>
      <c r="S19" s="202"/>
      <c r="T19" s="202"/>
      <c r="U19" s="202"/>
      <c r="V19" s="202"/>
      <c r="W19" s="242"/>
      <c r="X19" s="222"/>
      <c r="Y19" s="222"/>
      <c r="Z19" s="222"/>
      <c r="AA19" s="222"/>
      <c r="AB19" s="222"/>
      <c r="AE19" s="242"/>
      <c r="AF19" s="242"/>
      <c r="AI19" s="245"/>
      <c r="AJ19" s="202"/>
    </row>
    <row r="20" spans="1:36" ht="30" customHeight="1" x14ac:dyDescent="0.25">
      <c r="A20" s="213">
        <v>6</v>
      </c>
      <c r="B20" s="226" t="s">
        <v>266</v>
      </c>
      <c r="C20" s="241"/>
      <c r="D20" s="235" t="e">
        <f>SUM(D60:G60)+SUM(D62:G62)</f>
        <v>#VALUE!</v>
      </c>
      <c r="E20" s="217" t="e">
        <f t="shared" si="0"/>
        <v>#VALUE!</v>
      </c>
      <c r="F20" s="184"/>
      <c r="G20" s="236"/>
      <c r="H20" s="237"/>
      <c r="I20" s="238"/>
      <c r="J20" s="237"/>
      <c r="K20" s="238"/>
      <c r="L20" s="184"/>
      <c r="M20" s="184"/>
      <c r="N20" s="184"/>
      <c r="O20" s="184"/>
      <c r="P20" s="220"/>
      <c r="Q20" s="221"/>
      <c r="R20" s="222"/>
      <c r="S20" s="202"/>
      <c r="T20" s="202"/>
      <c r="U20" s="202"/>
      <c r="V20" s="202"/>
      <c r="W20" s="242"/>
      <c r="X20" s="222"/>
      <c r="Y20" s="222"/>
      <c r="Z20" s="222"/>
      <c r="AA20" s="222"/>
      <c r="AB20" s="222"/>
      <c r="AE20" s="242"/>
      <c r="AF20" s="242"/>
      <c r="AI20" s="245"/>
      <c r="AJ20" s="202"/>
    </row>
    <row r="21" spans="1:36" ht="48.75" customHeight="1" x14ac:dyDescent="0.25">
      <c r="A21" s="213">
        <v>7</v>
      </c>
      <c r="B21" s="226" t="s">
        <v>267</v>
      </c>
      <c r="C21" s="246"/>
      <c r="D21" s="227" t="e">
        <f>SUM(D63:G66)</f>
        <v>#REF!</v>
      </c>
      <c r="E21" s="217" t="e">
        <f t="shared" si="0"/>
        <v>#REF!</v>
      </c>
      <c r="H21" s="237"/>
      <c r="I21" s="238"/>
      <c r="J21" s="237"/>
      <c r="K21" s="238"/>
    </row>
    <row r="22" spans="1:36" ht="42.75" customHeight="1" x14ac:dyDescent="0.25">
      <c r="A22" s="213">
        <v>8</v>
      </c>
      <c r="B22" s="247" t="s">
        <v>268</v>
      </c>
      <c r="C22" s="248" t="e">
        <f>C67</f>
        <v>#REF!</v>
      </c>
      <c r="D22" s="249"/>
      <c r="E22" s="217" t="e">
        <f t="shared" si="0"/>
        <v>#REF!</v>
      </c>
      <c r="F22" s="184"/>
      <c r="G22" s="237"/>
      <c r="H22" s="237"/>
      <c r="I22" s="250"/>
      <c r="J22" s="237"/>
      <c r="K22" s="228"/>
      <c r="L22" s="187"/>
      <c r="M22" s="187"/>
      <c r="N22" s="187"/>
      <c r="O22" s="187"/>
      <c r="P22" s="220"/>
      <c r="Q22" s="221"/>
      <c r="R22" s="222"/>
      <c r="S22" s="251"/>
      <c r="T22" s="252"/>
      <c r="U22" s="253"/>
      <c r="V22" s="254"/>
      <c r="W22" s="255"/>
      <c r="X22" s="222"/>
      <c r="Y22" s="222"/>
      <c r="Z22" s="222"/>
      <c r="AA22" s="222"/>
      <c r="AB22" s="222"/>
      <c r="AE22" s="252"/>
      <c r="AF22" s="256"/>
      <c r="AG22" s="257"/>
      <c r="AH22" s="246"/>
      <c r="AI22" s="225"/>
      <c r="AJ22" s="202"/>
    </row>
    <row r="23" spans="1:36" ht="22.5" customHeight="1" x14ac:dyDescent="0.25">
      <c r="A23" s="213">
        <v>9</v>
      </c>
      <c r="B23" s="240" t="s">
        <v>269</v>
      </c>
      <c r="C23" s="258" t="e">
        <f>C68</f>
        <v>#REF!</v>
      </c>
      <c r="D23" s="235"/>
      <c r="E23" s="217" t="e">
        <f t="shared" si="0"/>
        <v>#REF!</v>
      </c>
      <c r="F23" s="184"/>
      <c r="G23" s="236"/>
      <c r="H23" s="222"/>
      <c r="I23" s="220"/>
      <c r="J23" s="222"/>
      <c r="K23" s="241"/>
      <c r="L23" s="187"/>
      <c r="M23" s="187"/>
      <c r="N23" s="187"/>
      <c r="O23" s="187"/>
      <c r="P23" s="193"/>
      <c r="Q23" s="259"/>
      <c r="R23" s="236"/>
      <c r="S23" s="260"/>
      <c r="T23" s="252"/>
      <c r="U23" s="253"/>
      <c r="V23" s="254"/>
      <c r="W23" s="255"/>
      <c r="X23" s="236"/>
      <c r="Y23" s="236"/>
      <c r="Z23" s="236"/>
      <c r="AA23" s="222"/>
      <c r="AB23" s="222"/>
      <c r="AE23" s="252"/>
      <c r="AF23" s="256"/>
      <c r="AG23" s="261"/>
      <c r="AI23" s="202"/>
      <c r="AJ23" s="202"/>
    </row>
    <row r="24" spans="1:36" ht="34.5" customHeight="1" x14ac:dyDescent="0.25">
      <c r="A24" s="213">
        <v>10</v>
      </c>
      <c r="B24" s="247" t="s">
        <v>270</v>
      </c>
      <c r="C24" s="258" t="e">
        <f>C69</f>
        <v>#REF!</v>
      </c>
      <c r="D24" s="235" t="e">
        <f>G69</f>
        <v>#REF!</v>
      </c>
      <c r="E24" s="217" t="e">
        <f t="shared" si="0"/>
        <v>#REF!</v>
      </c>
      <c r="F24" s="184"/>
      <c r="G24" s="236"/>
      <c r="H24" s="237"/>
      <c r="I24" s="262"/>
      <c r="J24" s="237"/>
      <c r="K24" s="237"/>
      <c r="L24" s="187"/>
      <c r="M24" s="187"/>
      <c r="N24" s="187"/>
      <c r="O24" s="187"/>
      <c r="P24" s="193"/>
      <c r="Q24" s="259"/>
      <c r="R24" s="236"/>
      <c r="S24" s="260"/>
      <c r="T24" s="252"/>
      <c r="U24" s="253"/>
      <c r="V24" s="254"/>
      <c r="W24" s="255"/>
      <c r="X24" s="236"/>
      <c r="Y24" s="236"/>
      <c r="Z24" s="236"/>
      <c r="AA24" s="222"/>
      <c r="AB24" s="222"/>
      <c r="AE24" s="263"/>
      <c r="AF24" s="256"/>
      <c r="AG24" s="261"/>
      <c r="AI24" s="202"/>
      <c r="AJ24" s="202"/>
    </row>
    <row r="25" spans="1:36" ht="33.75" customHeight="1" x14ac:dyDescent="0.25">
      <c r="A25" s="264">
        <v>11</v>
      </c>
      <c r="B25" s="265" t="s">
        <v>271</v>
      </c>
      <c r="C25" s="1122" t="s">
        <v>272</v>
      </c>
      <c r="D25" s="1123"/>
      <c r="E25" s="1124"/>
      <c r="F25" s="184"/>
      <c r="G25" s="236"/>
      <c r="H25" s="237"/>
      <c r="I25" s="266"/>
      <c r="J25" s="237"/>
      <c r="K25" s="267"/>
      <c r="L25" s="187"/>
      <c r="M25" s="187"/>
      <c r="N25" s="187"/>
      <c r="O25" s="187"/>
      <c r="P25" s="220"/>
      <c r="Q25" s="221"/>
      <c r="R25" s="222"/>
      <c r="S25" s="251"/>
      <c r="T25" s="268"/>
      <c r="U25" s="232"/>
      <c r="V25" s="269"/>
      <c r="W25" s="233"/>
      <c r="X25" s="222"/>
      <c r="Y25" s="222"/>
      <c r="Z25" s="222"/>
      <c r="AB25" s="222"/>
      <c r="AE25" s="270"/>
      <c r="AF25" s="256"/>
      <c r="AG25" s="261"/>
      <c r="AI25" s="202"/>
      <c r="AJ25" s="202"/>
    </row>
    <row r="26" spans="1:36" ht="15.75" x14ac:dyDescent="0.25">
      <c r="A26" s="264">
        <v>12</v>
      </c>
      <c r="B26" s="271" t="s">
        <v>273</v>
      </c>
      <c r="C26" s="272" t="e">
        <f>SUM(C15:C24)</f>
        <v>#VALUE!</v>
      </c>
      <c r="D26" s="272" t="e">
        <f>SUM(D15:D24)</f>
        <v>#VALUE!</v>
      </c>
      <c r="E26" s="273" t="e">
        <f t="shared" si="0"/>
        <v>#VALUE!</v>
      </c>
      <c r="F26" s="184"/>
      <c r="G26" s="236"/>
      <c r="H26" s="274"/>
      <c r="I26" s="275"/>
      <c r="J26" s="276"/>
      <c r="K26" s="277"/>
      <c r="L26" s="184"/>
      <c r="M26" s="184"/>
      <c r="N26" s="184"/>
      <c r="O26" s="184"/>
      <c r="P26" s="220"/>
      <c r="Q26" s="221"/>
      <c r="R26" s="222"/>
      <c r="S26" s="251"/>
      <c r="T26" s="268"/>
      <c r="U26" s="232"/>
      <c r="V26" s="269"/>
      <c r="W26" s="233"/>
      <c r="X26" s="222"/>
      <c r="Y26" s="222"/>
      <c r="Z26" s="222"/>
      <c r="AB26" s="222"/>
      <c r="AE26" s="270"/>
      <c r="AF26" s="256"/>
      <c r="AG26" s="261"/>
      <c r="AI26" s="202"/>
      <c r="AJ26" s="202"/>
    </row>
    <row r="27" spans="1:36" ht="15.75" x14ac:dyDescent="0.25">
      <c r="A27" s="213">
        <v>13</v>
      </c>
      <c r="B27" s="278" t="s">
        <v>274</v>
      </c>
      <c r="C27" s="279">
        <v>0</v>
      </c>
      <c r="D27" s="280"/>
      <c r="E27" s="280"/>
      <c r="F27" s="281"/>
      <c r="G27" s="184"/>
      <c r="H27" s="184"/>
      <c r="L27" s="184"/>
      <c r="M27" s="184"/>
      <c r="N27" s="184"/>
      <c r="O27" s="184"/>
      <c r="P27" s="184"/>
      <c r="Q27" s="184"/>
      <c r="S27" s="282"/>
      <c r="T27" s="283"/>
      <c r="U27" s="242"/>
      <c r="V27" s="284"/>
      <c r="W27" s="243"/>
      <c r="AE27" s="243"/>
      <c r="AF27" s="243"/>
      <c r="AI27" s="243"/>
      <c r="AJ27" s="202">
        <f>AE27-AI27</f>
        <v>0</v>
      </c>
    </row>
    <row r="28" spans="1:36" ht="15.75" x14ac:dyDescent="0.25">
      <c r="A28" s="285" t="s">
        <v>126</v>
      </c>
      <c r="B28" s="286" t="s">
        <v>275</v>
      </c>
      <c r="C28" s="215"/>
      <c r="D28" s="287" t="e">
        <f>+(C16+C17+C18+C24)*0.075</f>
        <v>#REF!</v>
      </c>
      <c r="E28" s="217" t="e">
        <f t="shared" si="0"/>
        <v>#REF!</v>
      </c>
      <c r="F28" s="184"/>
      <c r="G28" s="184"/>
      <c r="H28" s="184"/>
      <c r="L28" s="184"/>
      <c r="M28" s="184"/>
      <c r="N28" s="184"/>
      <c r="O28" s="184"/>
      <c r="P28" s="184"/>
      <c r="Q28" s="184"/>
      <c r="S28" s="202"/>
      <c r="T28" s="288"/>
      <c r="U28" s="244"/>
      <c r="V28" s="263"/>
      <c r="W28" s="263"/>
      <c r="AE28" s="202"/>
      <c r="AF28" s="202"/>
      <c r="AI28" s="202"/>
      <c r="AJ28" s="202"/>
    </row>
    <row r="29" spans="1:36" ht="15.75" x14ac:dyDescent="0.25">
      <c r="A29" s="285" t="s">
        <v>164</v>
      </c>
      <c r="B29" s="240" t="s">
        <v>276</v>
      </c>
      <c r="C29" s="215"/>
      <c r="D29" s="287" t="e">
        <f>+(D28)*0.1</f>
        <v>#REF!</v>
      </c>
      <c r="E29" s="217" t="e">
        <f t="shared" si="0"/>
        <v>#REF!</v>
      </c>
      <c r="F29" s="184"/>
      <c r="G29" s="184"/>
      <c r="H29" s="184"/>
      <c r="I29" s="184"/>
      <c r="J29" s="184"/>
      <c r="K29" s="184"/>
      <c r="L29" s="184"/>
      <c r="M29" s="184"/>
      <c r="N29" s="184"/>
      <c r="O29" s="184"/>
      <c r="P29" s="184"/>
      <c r="Q29" s="184"/>
      <c r="S29" s="256"/>
      <c r="T29" s="289"/>
      <c r="U29" s="244"/>
      <c r="V29" s="263"/>
      <c r="W29" s="263"/>
      <c r="AE29" s="202"/>
      <c r="AF29" s="202"/>
      <c r="AI29" s="202"/>
      <c r="AJ29" s="202"/>
    </row>
    <row r="30" spans="1:36" ht="15.75" x14ac:dyDescent="0.25">
      <c r="A30" s="285" t="s">
        <v>165</v>
      </c>
      <c r="B30" s="240" t="s">
        <v>277</v>
      </c>
      <c r="C30" s="215"/>
      <c r="D30" s="287" t="e">
        <f>((C16+C17+C18+C24)+D28+D29)*0.18</f>
        <v>#REF!</v>
      </c>
      <c r="E30" s="217" t="e">
        <f t="shared" si="0"/>
        <v>#REF!</v>
      </c>
      <c r="F30" s="184"/>
      <c r="G30" s="184"/>
      <c r="H30" s="184"/>
      <c r="I30" s="184"/>
      <c r="J30" s="184"/>
      <c r="K30" s="184"/>
      <c r="L30" s="184"/>
      <c r="M30" s="184"/>
      <c r="N30" s="184"/>
      <c r="O30" s="184"/>
      <c r="P30" s="184"/>
      <c r="Q30" s="184"/>
      <c r="S30" s="256"/>
      <c r="T30" s="289"/>
      <c r="U30" s="244"/>
      <c r="V30" s="263"/>
      <c r="W30" s="263"/>
      <c r="AE30" s="202"/>
      <c r="AF30" s="202"/>
      <c r="AI30" s="202"/>
      <c r="AJ30" s="202"/>
    </row>
    <row r="31" spans="1:36" ht="20.25" customHeight="1" x14ac:dyDescent="0.25">
      <c r="A31" s="290" t="s">
        <v>166</v>
      </c>
      <c r="B31" s="247" t="s">
        <v>278</v>
      </c>
      <c r="C31" s="215"/>
      <c r="D31" s="287" t="e">
        <f>+(C15+C22+C23)*0.1/(1-0.1)</f>
        <v>#VALUE!</v>
      </c>
      <c r="E31" s="217" t="e">
        <f t="shared" si="0"/>
        <v>#VALUE!</v>
      </c>
      <c r="F31" s="184"/>
      <c r="G31" s="184"/>
      <c r="H31" s="184"/>
      <c r="I31" s="184"/>
      <c r="J31" s="184"/>
      <c r="K31" s="184"/>
      <c r="L31" s="184"/>
      <c r="M31" s="184"/>
      <c r="N31" s="184"/>
      <c r="O31" s="184"/>
      <c r="P31" s="184"/>
      <c r="Q31" s="184"/>
      <c r="S31" s="202"/>
      <c r="T31" s="212"/>
      <c r="U31" s="244"/>
      <c r="V31" s="263"/>
      <c r="W31" s="263"/>
      <c r="AE31" s="291"/>
      <c r="AF31" s="202"/>
      <c r="AI31" s="291"/>
      <c r="AJ31" s="202"/>
    </row>
    <row r="32" spans="1:36" ht="15.75" x14ac:dyDescent="0.25">
      <c r="A32" s="290" t="s">
        <v>21</v>
      </c>
      <c r="B32" s="247" t="s">
        <v>279</v>
      </c>
      <c r="C32" s="292"/>
      <c r="D32" s="293" t="e">
        <f>+(C15+C22+C23+D31)*0.18</f>
        <v>#VALUE!</v>
      </c>
      <c r="E32" s="294" t="e">
        <f t="shared" si="0"/>
        <v>#VALUE!</v>
      </c>
      <c r="F32" s="184"/>
      <c r="G32" s="184"/>
      <c r="H32" s="184"/>
      <c r="I32" s="184"/>
      <c r="J32" s="236"/>
      <c r="K32" s="184"/>
      <c r="L32" s="184"/>
      <c r="M32" s="184"/>
      <c r="N32" s="184"/>
      <c r="O32" s="184"/>
      <c r="P32" s="184"/>
      <c r="Q32" s="184"/>
      <c r="S32" s="243"/>
      <c r="T32" s="295"/>
      <c r="U32" s="244"/>
      <c r="V32" s="244"/>
      <c r="W32" s="244"/>
      <c r="AE32" s="263"/>
      <c r="AF32" s="243"/>
      <c r="AI32" s="202"/>
      <c r="AJ32" s="202"/>
    </row>
    <row r="33" spans="1:36" ht="15.75" x14ac:dyDescent="0.25">
      <c r="A33" s="296"/>
      <c r="B33" s="297" t="s">
        <v>280</v>
      </c>
      <c r="C33" s="298">
        <f>SUM(C28:C32)</f>
        <v>0</v>
      </c>
      <c r="D33" s="287" t="e">
        <f>SUM(D28:D32)</f>
        <v>#REF!</v>
      </c>
      <c r="E33" s="217" t="e">
        <f t="shared" si="0"/>
        <v>#REF!</v>
      </c>
      <c r="F33" s="184"/>
      <c r="G33" s="184"/>
      <c r="H33" s="184"/>
      <c r="I33" s="184"/>
      <c r="J33" s="299"/>
      <c r="K33" s="236"/>
      <c r="L33" s="184"/>
      <c r="M33" s="184"/>
      <c r="N33" s="184"/>
      <c r="O33" s="184"/>
      <c r="P33" s="184"/>
      <c r="Q33" s="184"/>
      <c r="S33" s="243"/>
      <c r="T33" s="300"/>
      <c r="U33" s="301"/>
      <c r="V33" s="301"/>
      <c r="W33" s="301"/>
      <c r="AE33" s="270"/>
      <c r="AF33" s="243"/>
      <c r="AI33" s="202"/>
      <c r="AJ33" s="202"/>
    </row>
    <row r="34" spans="1:36" ht="15.75" x14ac:dyDescent="0.25">
      <c r="A34" s="302">
        <v>14</v>
      </c>
      <c r="B34" s="303" t="s">
        <v>281</v>
      </c>
      <c r="C34" s="304" t="e">
        <f>C33+C26</f>
        <v>#VALUE!</v>
      </c>
      <c r="D34" s="304" t="e">
        <f>D33+D26</f>
        <v>#REF!</v>
      </c>
      <c r="E34" s="304" t="e">
        <f>E33+E26</f>
        <v>#REF!</v>
      </c>
      <c r="F34" s="184"/>
      <c r="G34" s="184"/>
      <c r="H34" s="184"/>
      <c r="I34" s="184"/>
      <c r="J34" s="299"/>
      <c r="K34" s="236"/>
      <c r="L34" s="184"/>
      <c r="M34" s="184"/>
      <c r="N34" s="184"/>
      <c r="O34" s="184"/>
      <c r="P34" s="184"/>
      <c r="Q34" s="184"/>
      <c r="S34" s="243"/>
      <c r="T34" s="300"/>
      <c r="U34" s="244"/>
      <c r="V34" s="305"/>
      <c r="W34" s="263"/>
      <c r="AE34" s="270"/>
      <c r="AF34" s="243"/>
      <c r="AI34" s="202"/>
      <c r="AJ34" s="202"/>
    </row>
    <row r="35" spans="1:36" ht="15.75" x14ac:dyDescent="0.25">
      <c r="A35" s="306">
        <v>15</v>
      </c>
      <c r="B35" s="307" t="s">
        <v>282</v>
      </c>
      <c r="C35" s="308"/>
      <c r="D35" s="309" t="e">
        <f>I73</f>
        <v>#VALUE!</v>
      </c>
      <c r="E35" s="308" t="e">
        <f>C35+D35</f>
        <v>#VALUE!</v>
      </c>
      <c r="F35" s="184"/>
      <c r="G35" s="184"/>
      <c r="H35" s="184"/>
      <c r="I35" s="184"/>
      <c r="J35" s="299"/>
      <c r="K35" s="236"/>
      <c r="L35" s="184"/>
      <c r="M35" s="184"/>
      <c r="N35" s="184"/>
      <c r="O35" s="184"/>
      <c r="P35" s="184"/>
      <c r="Q35" s="184"/>
      <c r="S35" s="243"/>
      <c r="T35" s="300"/>
      <c r="U35" s="244"/>
      <c r="V35" s="305"/>
      <c r="W35" s="263"/>
      <c r="AE35" s="270"/>
      <c r="AF35" s="243"/>
      <c r="AI35" s="202"/>
      <c r="AJ35" s="202"/>
    </row>
    <row r="36" spans="1:36" ht="15.75" x14ac:dyDescent="0.25">
      <c r="A36" s="302">
        <v>16</v>
      </c>
      <c r="B36" s="303" t="s">
        <v>283</v>
      </c>
      <c r="C36" s="310" t="e">
        <f>C34-C35</f>
        <v>#VALUE!</v>
      </c>
      <c r="D36" s="310" t="e">
        <f>D34-D35</f>
        <v>#REF!</v>
      </c>
      <c r="E36" s="310" t="e">
        <f>E34-E35</f>
        <v>#REF!</v>
      </c>
      <c r="F36" s="184"/>
      <c r="G36" s="184"/>
      <c r="H36" s="67"/>
      <c r="I36" s="311"/>
      <c r="J36" s="312"/>
      <c r="K36" s="184"/>
      <c r="L36" s="184"/>
      <c r="M36" s="184"/>
      <c r="N36" s="184"/>
      <c r="O36" s="184"/>
      <c r="P36" s="184"/>
      <c r="Q36" s="184"/>
    </row>
    <row r="37" spans="1:36" ht="15.75" x14ac:dyDescent="0.25">
      <c r="A37" s="191"/>
      <c r="B37" s="313"/>
      <c r="C37" s="193"/>
      <c r="D37" s="184"/>
      <c r="E37" s="184"/>
      <c r="F37" s="184"/>
      <c r="G37" s="184"/>
      <c r="H37" s="184"/>
      <c r="I37" s="311"/>
      <c r="J37" s="314"/>
      <c r="K37" s="184"/>
      <c r="L37" s="184"/>
      <c r="M37" s="184"/>
      <c r="N37" s="184"/>
      <c r="O37" s="184"/>
      <c r="P37" s="184"/>
      <c r="Q37" s="184"/>
    </row>
    <row r="38" spans="1:36" ht="15.75" x14ac:dyDescent="0.25">
      <c r="A38" s="191"/>
      <c r="B38" s="313"/>
      <c r="C38" s="193"/>
      <c r="D38" s="184"/>
      <c r="E38" s="184"/>
      <c r="F38" s="184"/>
      <c r="G38" s="184"/>
      <c r="H38" s="184"/>
      <c r="I38" s="312"/>
      <c r="J38" s="314"/>
      <c r="K38" s="184"/>
      <c r="L38" s="184"/>
      <c r="M38" s="184"/>
      <c r="N38" s="184"/>
      <c r="O38" s="184"/>
      <c r="P38" s="184"/>
      <c r="Q38" s="184"/>
    </row>
    <row r="39" spans="1:36" ht="15.75" x14ac:dyDescent="0.25">
      <c r="A39" s="191"/>
      <c r="B39" s="313"/>
      <c r="C39" s="193"/>
      <c r="D39" s="184"/>
      <c r="E39" s="184"/>
      <c r="F39" s="184"/>
      <c r="G39" s="67"/>
      <c r="H39" s="184"/>
      <c r="I39" s="184"/>
      <c r="J39" s="314"/>
      <c r="K39" s="184"/>
      <c r="L39" s="184"/>
      <c r="M39" s="184"/>
      <c r="N39" s="184"/>
      <c r="O39" s="184"/>
      <c r="P39" s="184"/>
      <c r="Q39" s="184"/>
    </row>
    <row r="40" spans="1:36" ht="15.75" x14ac:dyDescent="0.25">
      <c r="A40" s="191"/>
      <c r="B40" s="313"/>
      <c r="C40" s="193"/>
      <c r="D40" s="184"/>
      <c r="E40" s="315" t="s">
        <v>313</v>
      </c>
      <c r="F40" s="184"/>
      <c r="G40" s="184"/>
      <c r="H40" s="184"/>
      <c r="I40" s="312"/>
      <c r="J40" s="314"/>
      <c r="K40" s="184"/>
      <c r="L40" s="184"/>
      <c r="M40" s="184"/>
      <c r="N40" s="184"/>
      <c r="O40" s="184"/>
      <c r="P40" s="184"/>
      <c r="Q40" s="184"/>
    </row>
    <row r="41" spans="1:36" ht="15.75" x14ac:dyDescent="0.25">
      <c r="A41" s="191"/>
      <c r="B41" s="313"/>
      <c r="C41" s="193"/>
      <c r="D41" s="184"/>
      <c r="E41" s="315" t="s">
        <v>314</v>
      </c>
      <c r="F41" s="184"/>
      <c r="G41" s="184"/>
      <c r="H41" s="184"/>
      <c r="I41" s="184"/>
      <c r="J41" s="314"/>
      <c r="K41" s="184"/>
      <c r="L41" s="184"/>
      <c r="M41" s="184"/>
      <c r="N41" s="184"/>
      <c r="O41" s="184"/>
      <c r="P41" s="184"/>
      <c r="Q41" s="184"/>
    </row>
    <row r="42" spans="1:36" ht="15.75" x14ac:dyDescent="0.25">
      <c r="A42" s="191"/>
      <c r="B42" s="313"/>
      <c r="C42" s="193"/>
      <c r="D42" s="184"/>
      <c r="E42" s="316" t="s">
        <v>284</v>
      </c>
      <c r="F42" s="184"/>
      <c r="G42" s="184"/>
      <c r="H42" s="184"/>
      <c r="I42" s="184"/>
      <c r="J42" s="314"/>
      <c r="K42" s="184"/>
      <c r="L42" s="184"/>
      <c r="M42" s="184"/>
      <c r="N42" s="184"/>
      <c r="O42" s="184"/>
      <c r="P42" s="184"/>
      <c r="Q42" s="184"/>
    </row>
    <row r="43" spans="1:36" ht="15.75" x14ac:dyDescent="0.25">
      <c r="A43" s="191"/>
      <c r="B43" s="313"/>
      <c r="C43" s="193"/>
      <c r="D43" s="184"/>
      <c r="E43" s="316"/>
      <c r="F43" s="184"/>
      <c r="G43" s="184"/>
      <c r="H43" s="184"/>
      <c r="I43" s="184"/>
      <c r="J43" s="314"/>
      <c r="K43" s="184"/>
      <c r="L43" s="184"/>
      <c r="M43" s="184"/>
      <c r="N43" s="184"/>
      <c r="O43" s="184"/>
      <c r="P43" s="184"/>
      <c r="Q43" s="184"/>
    </row>
    <row r="44" spans="1:36" ht="15.75" x14ac:dyDescent="0.25">
      <c r="A44" s="191"/>
      <c r="B44" s="317" t="s">
        <v>256</v>
      </c>
      <c r="C44" s="318">
        <v>75</v>
      </c>
      <c r="D44" s="319" t="s">
        <v>285</v>
      </c>
      <c r="F44" s="184"/>
      <c r="I44" s="314"/>
      <c r="L44" s="184"/>
      <c r="M44" s="184"/>
      <c r="N44" s="184"/>
      <c r="O44" s="184"/>
      <c r="P44" s="184"/>
      <c r="Q44" s="184"/>
      <c r="S44" s="320"/>
      <c r="T44" s="246"/>
      <c r="U44" s="246"/>
      <c r="V44" s="246"/>
      <c r="W44" s="246"/>
      <c r="AF44" s="246"/>
      <c r="AG44" s="246"/>
      <c r="AH44" s="246"/>
      <c r="AI44" s="246"/>
      <c r="AJ44" s="321"/>
    </row>
    <row r="45" spans="1:36" ht="15.75" x14ac:dyDescent="0.25">
      <c r="A45" s="191"/>
      <c r="B45" s="317" t="s">
        <v>258</v>
      </c>
      <c r="C45" s="318">
        <v>68</v>
      </c>
      <c r="D45" s="322" t="s">
        <v>286</v>
      </c>
      <c r="F45" s="184"/>
      <c r="G45" s="184"/>
      <c r="H45" s="184"/>
      <c r="I45" s="184"/>
      <c r="J45" s="314"/>
      <c r="L45" s="184"/>
      <c r="M45" s="184"/>
      <c r="N45" s="184"/>
      <c r="O45" s="184"/>
      <c r="P45" s="184"/>
      <c r="Q45" s="184"/>
      <c r="Y45" s="323"/>
      <c r="Z45" s="324"/>
      <c r="AA45" s="324"/>
      <c r="AB45" s="325"/>
      <c r="AC45" s="324"/>
    </row>
    <row r="46" spans="1:36" ht="15.75" x14ac:dyDescent="0.25">
      <c r="A46" s="191"/>
      <c r="B46" s="326" t="s">
        <v>287</v>
      </c>
      <c r="C46" s="327">
        <v>0.06</v>
      </c>
      <c r="D46" s="328"/>
      <c r="F46" s="184"/>
      <c r="G46" s="184"/>
      <c r="H46" s="184"/>
      <c r="I46" s="184"/>
      <c r="J46" s="314"/>
      <c r="K46" s="184"/>
      <c r="L46" s="184"/>
      <c r="M46" s="184"/>
      <c r="N46" s="184"/>
      <c r="O46" s="184"/>
      <c r="P46" s="184"/>
      <c r="Q46" s="184"/>
      <c r="Y46" s="323"/>
      <c r="Z46" s="324"/>
      <c r="AA46" s="324"/>
      <c r="AB46" s="325"/>
      <c r="AC46" s="324"/>
    </row>
    <row r="47" spans="1:36" ht="15.75" x14ac:dyDescent="0.25">
      <c r="A47" s="191"/>
      <c r="B47" s="326" t="s">
        <v>288</v>
      </c>
      <c r="C47" s="327">
        <v>0.12</v>
      </c>
      <c r="D47" s="329"/>
      <c r="E47" s="330"/>
      <c r="F47" s="184"/>
      <c r="G47" s="184"/>
      <c r="H47" s="184"/>
      <c r="I47" s="184"/>
      <c r="J47" s="314"/>
      <c r="K47" s="184"/>
      <c r="L47" s="184"/>
      <c r="M47" s="184"/>
      <c r="N47" s="184"/>
      <c r="O47" s="184"/>
      <c r="P47" s="184"/>
      <c r="Q47" s="184"/>
      <c r="Y47" s="323"/>
      <c r="Z47" s="324"/>
      <c r="AA47" s="324"/>
      <c r="AB47" s="325"/>
      <c r="AC47" s="324"/>
    </row>
    <row r="48" spans="1:36" ht="15.75" x14ac:dyDescent="0.25">
      <c r="A48" s="191"/>
      <c r="B48" s="326" t="s">
        <v>289</v>
      </c>
      <c r="C48" s="327">
        <v>0.2</v>
      </c>
      <c r="D48" s="329"/>
      <c r="E48" s="330"/>
      <c r="F48" s="184"/>
      <c r="G48" s="184"/>
      <c r="H48" s="184"/>
      <c r="I48" s="184" t="s">
        <v>153</v>
      </c>
      <c r="K48" s="184"/>
      <c r="L48" s="184"/>
      <c r="M48" s="184"/>
      <c r="N48" s="184"/>
      <c r="O48" s="184"/>
      <c r="P48" s="184"/>
      <c r="Q48" s="184"/>
      <c r="Y48" s="323"/>
      <c r="Z48" s="324"/>
      <c r="AA48" s="324"/>
      <c r="AB48" s="325"/>
      <c r="AC48" s="324"/>
    </row>
    <row r="49" spans="1:29" ht="15.75" x14ac:dyDescent="0.25">
      <c r="A49" s="191"/>
      <c r="B49" s="326" t="s">
        <v>290</v>
      </c>
      <c r="C49" s="327">
        <v>0.12</v>
      </c>
      <c r="D49" s="328"/>
      <c r="F49" s="184"/>
      <c r="G49" s="184"/>
      <c r="H49" s="184"/>
      <c r="I49" s="184"/>
      <c r="J49" s="314"/>
      <c r="K49" s="184"/>
      <c r="L49" s="184"/>
      <c r="M49" s="184"/>
      <c r="N49" s="184"/>
      <c r="O49" s="184"/>
      <c r="P49" s="184"/>
      <c r="Q49" s="184"/>
      <c r="Y49" s="323"/>
      <c r="Z49" s="324"/>
      <c r="AA49" s="324"/>
      <c r="AB49" s="325"/>
      <c r="AC49" s="324"/>
    </row>
    <row r="50" spans="1:29" ht="15.75" x14ac:dyDescent="0.25">
      <c r="A50" s="191"/>
      <c r="B50" s="331" t="s">
        <v>38</v>
      </c>
      <c r="C50" s="327">
        <v>7.4999999999999997E-2</v>
      </c>
      <c r="D50" s="328"/>
      <c r="F50" s="184"/>
      <c r="G50" s="184"/>
      <c r="H50" s="184"/>
      <c r="I50" s="184"/>
      <c r="J50" s="314"/>
      <c r="K50" s="184"/>
      <c r="L50" s="184"/>
      <c r="M50" s="184"/>
      <c r="N50" s="184"/>
      <c r="O50" s="184"/>
      <c r="P50" s="184"/>
      <c r="Q50" s="184"/>
      <c r="Y50" s="323"/>
      <c r="Z50" s="324"/>
      <c r="AA50" s="324"/>
      <c r="AB50" s="325"/>
      <c r="AC50" s="324"/>
    </row>
    <row r="51" spans="1:29" ht="15.75" x14ac:dyDescent="0.25">
      <c r="A51" s="332" t="s">
        <v>25</v>
      </c>
      <c r="B51" s="333" t="s">
        <v>3</v>
      </c>
      <c r="C51" s="1115" t="s">
        <v>291</v>
      </c>
      <c r="D51" s="1115"/>
      <c r="E51" s="1116" t="s">
        <v>292</v>
      </c>
      <c r="F51" s="1116"/>
      <c r="G51" s="1116"/>
      <c r="H51" s="334"/>
      <c r="I51" s="334"/>
      <c r="J51" s="295"/>
      <c r="K51" s="295"/>
      <c r="L51" s="184"/>
      <c r="M51" s="184"/>
      <c r="N51" s="184"/>
      <c r="O51" s="184"/>
      <c r="P51" s="184"/>
      <c r="Q51" s="184"/>
      <c r="S51" s="335"/>
      <c r="T51" s="335"/>
      <c r="U51" s="335"/>
      <c r="V51" s="335"/>
      <c r="W51" s="335"/>
      <c r="Y51" s="323"/>
      <c r="Z51" s="246"/>
      <c r="AA51" s="246"/>
      <c r="AB51" s="246"/>
      <c r="AC51" s="324"/>
    </row>
    <row r="52" spans="1:29" ht="30" x14ac:dyDescent="0.25">
      <c r="A52" s="336"/>
      <c r="B52" s="337"/>
      <c r="C52" s="338" t="s">
        <v>293</v>
      </c>
      <c r="D52" s="339" t="s">
        <v>294</v>
      </c>
      <c r="E52" s="340" t="s">
        <v>295</v>
      </c>
      <c r="F52" s="340" t="s">
        <v>296</v>
      </c>
      <c r="G52" s="338" t="s">
        <v>297</v>
      </c>
      <c r="H52" s="341" t="s">
        <v>298</v>
      </c>
      <c r="I52" s="342" t="s">
        <v>4</v>
      </c>
      <c r="L52" s="184"/>
      <c r="M52" s="184"/>
      <c r="N52" s="184"/>
      <c r="O52" s="184"/>
      <c r="P52" s="184"/>
      <c r="Q52" s="184"/>
      <c r="S52" s="335"/>
      <c r="T52" s="335"/>
      <c r="U52" s="335"/>
      <c r="V52" s="335"/>
      <c r="W52" s="335"/>
      <c r="Y52" s="343"/>
      <c r="AC52" s="246"/>
    </row>
    <row r="53" spans="1:29" ht="15.75" x14ac:dyDescent="0.25">
      <c r="A53" s="336"/>
      <c r="B53" s="344" t="e">
        <f>#REF!</f>
        <v>#REF!</v>
      </c>
      <c r="C53" s="345" t="e">
        <f>#REF!</f>
        <v>#REF!</v>
      </c>
      <c r="D53" s="346" t="e">
        <f>(B53-C53)</f>
        <v>#REF!</v>
      </c>
      <c r="E53" s="347">
        <v>0.18</v>
      </c>
      <c r="F53" s="347">
        <v>0.18</v>
      </c>
      <c r="G53" s="347">
        <v>0.18</v>
      </c>
      <c r="H53" s="348"/>
      <c r="I53" s="342"/>
      <c r="L53" s="184"/>
      <c r="M53" s="184"/>
      <c r="N53" s="184"/>
      <c r="O53" s="184"/>
      <c r="P53" s="184"/>
      <c r="Q53" s="184"/>
      <c r="S53" s="335"/>
      <c r="T53" s="335"/>
      <c r="U53" s="335"/>
      <c r="V53" s="335"/>
      <c r="W53" s="335"/>
      <c r="Y53" s="343"/>
      <c r="AC53" s="246"/>
    </row>
    <row r="54" spans="1:29" ht="22.5" customHeight="1" x14ac:dyDescent="0.25">
      <c r="A54" s="302">
        <v>1</v>
      </c>
      <c r="B54" s="349" t="s">
        <v>299</v>
      </c>
      <c r="C54" s="350" t="e">
        <f>(SUM(D55:D66)+SUM(C55:C59)*1.07-C56*1.07-D56)*C53</f>
        <v>#VALUE!</v>
      </c>
      <c r="D54" s="351" t="e">
        <f>(SUM(D55:D66)+SUM(C55:C59)*1.07-C56*1.07-D56)*D53</f>
        <v>#VALUE!</v>
      </c>
      <c r="E54" s="352"/>
      <c r="F54" s="350" t="e">
        <f>D54*F53</f>
        <v>#VALUE!</v>
      </c>
      <c r="G54" s="352"/>
      <c r="H54" s="352"/>
      <c r="I54" s="353" t="e">
        <f>SUM(C54:H54)</f>
        <v>#VALUE!</v>
      </c>
      <c r="L54" s="184"/>
      <c r="M54" s="184"/>
      <c r="N54" s="184"/>
      <c r="O54" s="184"/>
      <c r="P54" s="184"/>
      <c r="Q54" s="184"/>
      <c r="S54" s="335"/>
      <c r="T54" s="335"/>
      <c r="U54" s="335"/>
      <c r="V54" s="335"/>
      <c r="W54" s="335"/>
    </row>
    <row r="55" spans="1:29" ht="15.75" x14ac:dyDescent="0.25">
      <c r="A55" s="354">
        <v>2</v>
      </c>
      <c r="B55" s="355" t="s">
        <v>300</v>
      </c>
      <c r="C55" s="319" t="e">
        <f>#REF!</f>
        <v>#REF!</v>
      </c>
      <c r="D55" s="319">
        <f>Basic!F49/100</f>
        <v>0</v>
      </c>
      <c r="E55" s="356">
        <f>D55*E53</f>
        <v>0</v>
      </c>
      <c r="F55" s="356"/>
      <c r="G55" s="357">
        <f>(D55*0.02)*(1+$G$53)</f>
        <v>0</v>
      </c>
      <c r="H55" s="357"/>
      <c r="I55" s="353" t="e">
        <f t="shared" ref="I55:I71" si="1">SUM(C55:H55)</f>
        <v>#REF!</v>
      </c>
      <c r="L55" s="184"/>
      <c r="M55" s="184"/>
      <c r="N55" s="184"/>
      <c r="O55" s="184"/>
      <c r="P55" s="184"/>
      <c r="Q55" s="184"/>
      <c r="S55" s="335"/>
      <c r="T55" s="335"/>
      <c r="U55" s="335"/>
      <c r="V55" s="335"/>
      <c r="W55" s="335"/>
    </row>
    <row r="56" spans="1:29" ht="15.75" x14ac:dyDescent="0.25">
      <c r="A56" s="354">
        <v>3</v>
      </c>
      <c r="B56" s="355" t="s">
        <v>301</v>
      </c>
      <c r="C56" s="319" t="e">
        <f>#REF!</f>
        <v>#REF!</v>
      </c>
      <c r="D56" s="319">
        <f>Basic!F51/100</f>
        <v>0</v>
      </c>
      <c r="E56" s="356">
        <f>D56*E53</f>
        <v>0</v>
      </c>
      <c r="F56" s="356"/>
      <c r="G56" s="357">
        <f>(D56*0.02)*(1+$G$53)*0</f>
        <v>0</v>
      </c>
      <c r="H56" s="357"/>
      <c r="I56" s="353" t="e">
        <f t="shared" si="1"/>
        <v>#REF!</v>
      </c>
      <c r="L56" s="184"/>
      <c r="M56" s="184"/>
      <c r="N56" s="184"/>
      <c r="O56" s="184"/>
      <c r="P56" s="184"/>
      <c r="Q56" s="184"/>
      <c r="S56" s="335"/>
      <c r="T56" s="335"/>
      <c r="U56" s="335"/>
      <c r="V56" s="335"/>
      <c r="W56" s="335"/>
    </row>
    <row r="57" spans="1:29" ht="15.75" x14ac:dyDescent="0.25">
      <c r="A57" s="354">
        <v>4</v>
      </c>
      <c r="B57" s="355" t="s">
        <v>302</v>
      </c>
      <c r="C57" s="319" t="e">
        <f>#REF!</f>
        <v>#REF!</v>
      </c>
      <c r="D57" s="319"/>
      <c r="E57" s="356">
        <f>D57*E53</f>
        <v>0</v>
      </c>
      <c r="F57" s="356"/>
      <c r="G57" s="357">
        <f>(D57*0.09)*(1+$G$53)</f>
        <v>0</v>
      </c>
      <c r="H57" s="357"/>
      <c r="I57" s="353" t="e">
        <f t="shared" si="1"/>
        <v>#REF!</v>
      </c>
      <c r="L57" s="184"/>
      <c r="M57" s="184"/>
      <c r="N57" s="184"/>
      <c r="O57" s="184"/>
      <c r="P57" s="184"/>
      <c r="Q57" s="184"/>
    </row>
    <row r="58" spans="1:29" s="246" customFormat="1" ht="21" customHeight="1" x14ac:dyDescent="0.2">
      <c r="A58" s="302">
        <v>5</v>
      </c>
      <c r="B58" s="349" t="s">
        <v>303</v>
      </c>
      <c r="C58" s="350"/>
      <c r="D58" s="319">
        <f>Basic!F56/100</f>
        <v>0</v>
      </c>
      <c r="E58" s="350">
        <f>D58*E53</f>
        <v>0</v>
      </c>
      <c r="F58" s="350"/>
      <c r="G58" s="357">
        <f>(D58*0.09)*(1+$G$53)</f>
        <v>0</v>
      </c>
      <c r="H58" s="353"/>
      <c r="I58" s="353">
        <f t="shared" si="1"/>
        <v>0</v>
      </c>
      <c r="L58" s="187"/>
      <c r="M58" s="187"/>
      <c r="N58" s="187"/>
      <c r="O58" s="187"/>
      <c r="P58" s="187"/>
      <c r="Q58" s="187"/>
      <c r="U58" s="343"/>
      <c r="W58" s="343"/>
    </row>
    <row r="59" spans="1:29" s="246" customFormat="1" ht="20.25" customHeight="1" x14ac:dyDescent="0.2">
      <c r="A59" s="302">
        <v>6</v>
      </c>
      <c r="B59" s="349" t="s">
        <v>24</v>
      </c>
      <c r="C59" s="319" t="e">
        <f>#REF!</f>
        <v>#REF!</v>
      </c>
      <c r="D59" s="319"/>
      <c r="E59" s="350">
        <f>D59*E53</f>
        <v>0</v>
      </c>
      <c r="F59" s="350"/>
      <c r="G59" s="357">
        <f>(D59*0.09)*(1+$G$53)</f>
        <v>0</v>
      </c>
      <c r="H59" s="353"/>
      <c r="I59" s="353" t="e">
        <f t="shared" si="1"/>
        <v>#REF!</v>
      </c>
      <c r="L59" s="187"/>
      <c r="M59" s="187"/>
      <c r="N59" s="187"/>
      <c r="O59" s="187"/>
      <c r="P59" s="187"/>
      <c r="Q59" s="187"/>
      <c r="S59" s="358"/>
      <c r="U59" s="359"/>
    </row>
    <row r="60" spans="1:29" s="246" customFormat="1" ht="22.5" customHeight="1" x14ac:dyDescent="0.2">
      <c r="A60" s="302">
        <v>7</v>
      </c>
      <c r="B60" s="360" t="s">
        <v>304</v>
      </c>
      <c r="C60" s="350"/>
      <c r="D60" s="319">
        <f>Basic!F81/100</f>
        <v>0</v>
      </c>
      <c r="E60" s="350"/>
      <c r="F60" s="353">
        <f>D60*F53</f>
        <v>0</v>
      </c>
      <c r="G60" s="350"/>
      <c r="H60" s="350"/>
      <c r="I60" s="353">
        <f t="shared" si="1"/>
        <v>0</v>
      </c>
      <c r="L60" s="187"/>
      <c r="M60" s="187"/>
      <c r="N60" s="187"/>
      <c r="O60" s="187"/>
      <c r="P60" s="187"/>
      <c r="Q60" s="187"/>
      <c r="S60" s="358"/>
      <c r="U60" s="359"/>
    </row>
    <row r="61" spans="1:29" s="246" customFormat="1" ht="33.75" customHeight="1" x14ac:dyDescent="0.2">
      <c r="A61" s="302"/>
      <c r="B61" s="361" t="s">
        <v>305</v>
      </c>
      <c r="C61" s="350"/>
      <c r="D61" s="319">
        <f>Basic!F105/100</f>
        <v>0.05</v>
      </c>
      <c r="E61" s="350"/>
      <c r="F61" s="353">
        <f>D61*F53</f>
        <v>8.9999999999999993E-3</v>
      </c>
      <c r="G61" s="350"/>
      <c r="H61" s="350"/>
      <c r="I61" s="353">
        <f t="shared" si="1"/>
        <v>5.9000000000000004E-2</v>
      </c>
      <c r="L61" s="187"/>
      <c r="M61" s="187"/>
      <c r="N61" s="187"/>
      <c r="O61" s="187"/>
      <c r="P61" s="187"/>
      <c r="Q61" s="187"/>
      <c r="S61" s="358"/>
      <c r="U61" s="359"/>
    </row>
    <row r="62" spans="1:29" s="246" customFormat="1" ht="20.25" customHeight="1" x14ac:dyDescent="0.2">
      <c r="A62" s="302"/>
      <c r="B62" s="286" t="s">
        <v>30</v>
      </c>
      <c r="C62" s="350"/>
      <c r="D62" s="319" t="e">
        <f>(Basic!F107+Basic!F117)/100</f>
        <v>#VALUE!</v>
      </c>
      <c r="E62" s="350"/>
      <c r="F62" s="353" t="e">
        <f>D62*F53</f>
        <v>#VALUE!</v>
      </c>
      <c r="G62" s="350"/>
      <c r="H62" s="350"/>
      <c r="I62" s="353" t="e">
        <f t="shared" si="1"/>
        <v>#VALUE!</v>
      </c>
      <c r="L62" s="187"/>
      <c r="M62" s="187"/>
      <c r="N62" s="187"/>
      <c r="O62" s="187"/>
      <c r="P62" s="187"/>
      <c r="Q62" s="187"/>
      <c r="S62" s="358"/>
      <c r="U62" s="359"/>
    </row>
    <row r="63" spans="1:29" s="246" customFormat="1" ht="23.25" customHeight="1" x14ac:dyDescent="0.2">
      <c r="A63" s="302">
        <v>8</v>
      </c>
      <c r="B63" s="362" t="s">
        <v>306</v>
      </c>
      <c r="C63" s="350"/>
      <c r="D63" s="363" t="e">
        <f>C55*1.07*C46+D55*C47</f>
        <v>#REF!</v>
      </c>
      <c r="E63" s="364"/>
      <c r="F63" s="353" t="e">
        <f>D63*F53</f>
        <v>#REF!</v>
      </c>
      <c r="G63" s="364"/>
      <c r="H63" s="364"/>
      <c r="I63" s="353" t="e">
        <f t="shared" si="1"/>
        <v>#REF!</v>
      </c>
      <c r="L63" s="187"/>
      <c r="M63" s="187"/>
      <c r="N63" s="187"/>
      <c r="O63" s="187"/>
      <c r="P63" s="187"/>
      <c r="Q63" s="187"/>
      <c r="S63" s="365"/>
    </row>
    <row r="64" spans="1:29" s="246" customFormat="1" ht="23.25" customHeight="1" x14ac:dyDescent="0.2">
      <c r="A64" s="302"/>
      <c r="B64" s="362" t="s">
        <v>307</v>
      </c>
      <c r="C64" s="350"/>
      <c r="D64" s="363" t="e">
        <f>C57*1.07*C48+D57*C48</f>
        <v>#REF!</v>
      </c>
      <c r="E64" s="364"/>
      <c r="F64" s="353" t="e">
        <f>D64*F53</f>
        <v>#REF!</v>
      </c>
      <c r="G64" s="364"/>
      <c r="H64" s="364"/>
      <c r="I64" s="353" t="e">
        <f t="shared" si="1"/>
        <v>#REF!</v>
      </c>
      <c r="L64" s="187"/>
      <c r="M64" s="187"/>
      <c r="N64" s="187"/>
      <c r="O64" s="187"/>
      <c r="P64" s="187"/>
      <c r="Q64" s="187"/>
      <c r="S64" s="365"/>
    </row>
    <row r="65" spans="1:25" s="246" customFormat="1" ht="23.25" customHeight="1" x14ac:dyDescent="0.2">
      <c r="A65" s="302"/>
      <c r="B65" s="362" t="s">
        <v>308</v>
      </c>
      <c r="C65" s="350"/>
      <c r="D65" s="363">
        <f>D58*C48</f>
        <v>0</v>
      </c>
      <c r="E65" s="364"/>
      <c r="F65" s="353">
        <f>D65*F53</f>
        <v>0</v>
      </c>
      <c r="G65" s="364"/>
      <c r="H65" s="364"/>
      <c r="I65" s="353">
        <f t="shared" si="1"/>
        <v>0</v>
      </c>
      <c r="L65" s="187"/>
      <c r="M65" s="187"/>
      <c r="N65" s="187"/>
      <c r="O65" s="187"/>
      <c r="P65" s="187"/>
      <c r="Q65" s="187"/>
      <c r="S65" s="365"/>
    </row>
    <row r="66" spans="1:25" s="246" customFormat="1" ht="23.25" customHeight="1" x14ac:dyDescent="0.2">
      <c r="A66" s="302"/>
      <c r="B66" s="362" t="s">
        <v>309</v>
      </c>
      <c r="C66" s="350"/>
      <c r="D66" s="363" t="e">
        <f>C59*1.07*C49+D59*C49</f>
        <v>#REF!</v>
      </c>
      <c r="E66" s="364"/>
      <c r="F66" s="353" t="e">
        <f>D66*F53</f>
        <v>#REF!</v>
      </c>
      <c r="G66" s="364"/>
      <c r="H66" s="364"/>
      <c r="I66" s="353" t="e">
        <f t="shared" si="1"/>
        <v>#REF!</v>
      </c>
      <c r="L66" s="187"/>
      <c r="M66" s="187"/>
      <c r="N66" s="187"/>
      <c r="O66" s="187"/>
      <c r="P66" s="187"/>
      <c r="Q66" s="187"/>
      <c r="S66" s="365"/>
    </row>
    <row r="67" spans="1:25" s="246" customFormat="1" ht="24" customHeight="1" x14ac:dyDescent="0.2">
      <c r="A67" s="302">
        <v>9</v>
      </c>
      <c r="B67" s="349" t="s">
        <v>135</v>
      </c>
      <c r="C67" s="319" t="e">
        <f>#REF!</f>
        <v>#REF!</v>
      </c>
      <c r="D67" s="351"/>
      <c r="E67" s="366"/>
      <c r="F67" s="366"/>
      <c r="G67" s="366"/>
      <c r="H67" s="366"/>
      <c r="I67" s="353" t="e">
        <f t="shared" si="1"/>
        <v>#REF!</v>
      </c>
      <c r="L67" s="187"/>
      <c r="M67" s="187"/>
      <c r="N67" s="187"/>
      <c r="O67" s="187"/>
      <c r="P67" s="187"/>
      <c r="Q67" s="187"/>
      <c r="S67" s="367"/>
    </row>
    <row r="68" spans="1:25" s="246" customFormat="1" ht="20.25" customHeight="1" x14ac:dyDescent="0.2">
      <c r="A68" s="302">
        <v>10</v>
      </c>
      <c r="B68" s="349" t="s">
        <v>310</v>
      </c>
      <c r="C68" s="319" t="e">
        <f>#REF!</f>
        <v>#REF!</v>
      </c>
      <c r="D68" s="351"/>
      <c r="E68" s="366"/>
      <c r="F68" s="366"/>
      <c r="G68" s="366"/>
      <c r="H68" s="366"/>
      <c r="I68" s="353" t="e">
        <f t="shared" si="1"/>
        <v>#REF!</v>
      </c>
      <c r="L68" s="187"/>
      <c r="M68" s="187"/>
      <c r="N68" s="187"/>
      <c r="O68" s="187"/>
      <c r="P68" s="187"/>
      <c r="Q68" s="187"/>
      <c r="S68" s="358"/>
    </row>
    <row r="69" spans="1:25" ht="20.25" customHeight="1" x14ac:dyDescent="0.25">
      <c r="A69" s="354">
        <v>11</v>
      </c>
      <c r="B69" s="368" t="s">
        <v>311</v>
      </c>
      <c r="C69" s="350" t="e">
        <f>+(C55+C57+C59)*0.07</f>
        <v>#REF!</v>
      </c>
      <c r="D69" s="369"/>
      <c r="E69" s="370"/>
      <c r="F69" s="370"/>
      <c r="G69" s="371" t="e">
        <f>((C55+C56)*1.07*0.03+(C57+C59)*1.07*0.1)*(1+$G$53)</f>
        <v>#REF!</v>
      </c>
      <c r="H69" s="370"/>
      <c r="I69" s="353" t="e">
        <f t="shared" si="1"/>
        <v>#REF!</v>
      </c>
      <c r="L69" s="184"/>
      <c r="M69" s="184"/>
      <c r="N69" s="184"/>
      <c r="O69" s="184"/>
      <c r="P69" s="184"/>
      <c r="Q69" s="184"/>
      <c r="S69" s="358"/>
      <c r="T69" s="246"/>
      <c r="V69" s="246"/>
      <c r="W69" s="246"/>
    </row>
    <row r="70" spans="1:25" s="246" customFormat="1" ht="21.75" hidden="1" customHeight="1" x14ac:dyDescent="0.2">
      <c r="A70" s="302"/>
      <c r="B70" s="372" t="s">
        <v>312</v>
      </c>
      <c r="C70" s="350"/>
      <c r="D70" s="351"/>
      <c r="E70" s="373"/>
      <c r="F70" s="373"/>
      <c r="H70" s="353" t="e">
        <f>((C55*1.07)*0.03+(C57+C59)*1.07*0.1)*(1+C50)*0</f>
        <v>#REF!</v>
      </c>
      <c r="I70" s="353" t="e">
        <f t="shared" si="1"/>
        <v>#REF!</v>
      </c>
      <c r="L70" s="187"/>
      <c r="M70" s="187"/>
      <c r="N70" s="187"/>
      <c r="O70" s="187"/>
      <c r="P70" s="187"/>
      <c r="Q70" s="187"/>
      <c r="S70" s="358"/>
    </row>
    <row r="71" spans="1:25" s="246" customFormat="1" ht="23.25" customHeight="1" x14ac:dyDescent="0.2">
      <c r="A71" s="302">
        <v>12</v>
      </c>
      <c r="B71" s="374" t="s">
        <v>298</v>
      </c>
      <c r="C71" s="350"/>
      <c r="D71" s="351"/>
      <c r="E71" s="373"/>
      <c r="F71" s="373"/>
      <c r="G71" s="353"/>
      <c r="H71" s="375" t="e">
        <f>E33</f>
        <v>#REF!</v>
      </c>
      <c r="I71" s="353" t="e">
        <f t="shared" si="1"/>
        <v>#REF!</v>
      </c>
      <c r="L71" s="187"/>
      <c r="M71" s="187"/>
      <c r="N71" s="187"/>
      <c r="O71" s="187"/>
      <c r="P71" s="187"/>
      <c r="Q71" s="187"/>
      <c r="S71" s="358"/>
    </row>
    <row r="72" spans="1:25" ht="18.75" customHeight="1" x14ac:dyDescent="0.25">
      <c r="A72" s="354"/>
      <c r="B72" s="376" t="s">
        <v>4</v>
      </c>
      <c r="C72" s="377" t="e">
        <f t="shared" ref="C72:I72" si="2">SUM(C54:C71)</f>
        <v>#VALUE!</v>
      </c>
      <c r="D72" s="377" t="e">
        <f t="shared" si="2"/>
        <v>#VALUE!</v>
      </c>
      <c r="E72" s="377">
        <f t="shared" si="2"/>
        <v>0</v>
      </c>
      <c r="F72" s="377" t="e">
        <f t="shared" si="2"/>
        <v>#VALUE!</v>
      </c>
      <c r="G72" s="377" t="e">
        <f t="shared" si="2"/>
        <v>#REF!</v>
      </c>
      <c r="H72" s="377" t="e">
        <f t="shared" si="2"/>
        <v>#REF!</v>
      </c>
      <c r="I72" s="377" t="e">
        <f t="shared" si="2"/>
        <v>#VALUE!</v>
      </c>
      <c r="K72" s="378">
        <v>250.11093963847523</v>
      </c>
      <c r="L72" s="184"/>
      <c r="M72" s="184"/>
      <c r="N72" s="184"/>
      <c r="O72" s="184"/>
      <c r="P72" s="184"/>
      <c r="Q72" s="184"/>
      <c r="S72" s="358"/>
      <c r="T72" s="246"/>
      <c r="V72" s="246"/>
      <c r="W72" s="246"/>
    </row>
    <row r="73" spans="1:25" ht="19.5" customHeight="1" x14ac:dyDescent="0.25">
      <c r="A73" s="354"/>
      <c r="B73" s="333" t="s">
        <v>237</v>
      </c>
      <c r="C73" s="356"/>
      <c r="D73" s="369"/>
      <c r="E73" s="356">
        <f>E55+E56+E57+E59</f>
        <v>0</v>
      </c>
      <c r="F73" s="356" t="e">
        <f>F54+F56+F61+F63+F64+F66</f>
        <v>#VALUE!</v>
      </c>
      <c r="G73" s="356" t="e">
        <f>(G55+G56+G57+G59+G69)/(1+$G$53)*G53</f>
        <v>#REF!</v>
      </c>
      <c r="H73" s="356" t="e">
        <f>D30+D32</f>
        <v>#REF!</v>
      </c>
      <c r="I73" s="357" t="e">
        <f>SUM(C73:H73)</f>
        <v>#VALUE!</v>
      </c>
      <c r="K73" s="378">
        <v>19.574179666083797</v>
      </c>
      <c r="L73" s="184"/>
      <c r="M73" s="184"/>
      <c r="N73" s="184"/>
      <c r="O73" s="184"/>
      <c r="P73" s="184"/>
      <c r="Q73" s="184"/>
      <c r="S73" s="358"/>
      <c r="T73" s="246"/>
      <c r="V73" s="246"/>
      <c r="W73" s="246"/>
    </row>
    <row r="74" spans="1:25" ht="21" customHeight="1" x14ac:dyDescent="0.25">
      <c r="A74" s="379"/>
      <c r="B74" s="202"/>
      <c r="C74" s="202"/>
      <c r="D74" s="202"/>
      <c r="E74" s="202"/>
      <c r="F74" s="202"/>
      <c r="G74" s="202"/>
      <c r="H74" s="202"/>
      <c r="I74" s="202" t="e">
        <f>I72-I73</f>
        <v>#VALUE!</v>
      </c>
      <c r="J74" s="202"/>
      <c r="K74" s="378">
        <v>230.53675997239142</v>
      </c>
      <c r="L74" s="184"/>
      <c r="M74" s="184"/>
      <c r="N74" s="184"/>
      <c r="O74" s="184"/>
      <c r="P74" s="184"/>
      <c r="Q74" s="184"/>
      <c r="S74" s="358"/>
      <c r="T74" s="246"/>
      <c r="V74" s="246"/>
      <c r="W74" s="246"/>
    </row>
    <row r="75" spans="1:25" x14ac:dyDescent="0.25">
      <c r="A75" s="291"/>
      <c r="P75" s="202"/>
      <c r="Q75" s="380"/>
      <c r="R75" s="202"/>
      <c r="X75" s="202"/>
      <c r="Y75" s="202"/>
    </row>
    <row r="76" spans="1:25" ht="15" customHeight="1" x14ac:dyDescent="0.25">
      <c r="A76" s="201"/>
      <c r="B76" s="381"/>
      <c r="C76" s="202"/>
      <c r="D76" s="203"/>
      <c r="E76" s="202"/>
      <c r="F76" s="202"/>
      <c r="G76" s="202"/>
      <c r="H76" s="202"/>
      <c r="I76" s="202"/>
      <c r="J76" s="202"/>
      <c r="K76" s="202"/>
      <c r="P76" s="202"/>
      <c r="Q76" s="380"/>
      <c r="R76" s="202"/>
      <c r="X76" s="202"/>
      <c r="Y76" s="202"/>
    </row>
    <row r="77" spans="1:25" ht="15.75" x14ac:dyDescent="0.25">
      <c r="A77" s="210"/>
      <c r="B77" s="202"/>
      <c r="C77" s="202"/>
      <c r="D77" s="202"/>
      <c r="E77" s="202"/>
      <c r="F77" s="212"/>
      <c r="G77" s="202"/>
      <c r="H77" s="202"/>
      <c r="I77" s="202"/>
      <c r="J77" s="202"/>
      <c r="K77" s="202"/>
      <c r="P77" s="234"/>
      <c r="Q77" s="202"/>
      <c r="R77" s="202"/>
      <c r="X77" s="202"/>
      <c r="Y77" s="202"/>
    </row>
    <row r="78" spans="1:25" ht="15.75" x14ac:dyDescent="0.25">
      <c r="A78" s="223"/>
      <c r="B78" s="202"/>
      <c r="C78" s="202"/>
      <c r="D78" s="202"/>
      <c r="E78" s="202"/>
      <c r="F78" s="224"/>
      <c r="G78" s="225"/>
      <c r="H78" s="202"/>
      <c r="I78" s="202"/>
      <c r="J78" s="202"/>
      <c r="K78" s="202"/>
      <c r="P78" s="202"/>
      <c r="Q78" s="202"/>
      <c r="R78" s="202"/>
      <c r="X78" s="202"/>
      <c r="Y78" s="202"/>
    </row>
    <row r="79" spans="1:25" x14ac:dyDescent="0.25">
      <c r="A79" s="243"/>
      <c r="B79" s="243"/>
      <c r="C79" s="242"/>
      <c r="D79" s="242"/>
      <c r="E79" s="242"/>
      <c r="F79" s="242"/>
      <c r="G79" s="242"/>
      <c r="H79" s="232"/>
      <c r="J79" s="202"/>
      <c r="K79" s="202"/>
      <c r="P79" s="202"/>
      <c r="Q79" s="202"/>
      <c r="R79" s="202"/>
      <c r="X79" s="202"/>
      <c r="Y79" s="202"/>
    </row>
    <row r="80" spans="1:25" x14ac:dyDescent="0.25">
      <c r="A80" s="202"/>
      <c r="B80" s="202"/>
      <c r="C80" s="202"/>
      <c r="D80" s="202"/>
      <c r="E80" s="242"/>
      <c r="F80" s="242"/>
      <c r="G80" s="242"/>
      <c r="H80" s="245"/>
      <c r="J80" s="202"/>
      <c r="K80" s="202"/>
      <c r="P80" s="202"/>
      <c r="Q80" s="202"/>
      <c r="R80" s="202"/>
      <c r="X80" s="202"/>
      <c r="Y80" s="202"/>
    </row>
    <row r="81" spans="1:25" x14ac:dyDescent="0.25">
      <c r="A81" s="382"/>
      <c r="B81" s="383"/>
      <c r="C81" s="384"/>
      <c r="D81" s="256"/>
      <c r="E81" s="380"/>
      <c r="F81" s="242"/>
      <c r="G81" s="256"/>
      <c r="H81" s="202"/>
      <c r="J81" s="202"/>
      <c r="K81" s="202"/>
      <c r="P81" s="202"/>
      <c r="Q81" s="380"/>
      <c r="R81" s="202"/>
      <c r="X81" s="202"/>
      <c r="Y81" s="202"/>
    </row>
    <row r="82" spans="1:25" x14ac:dyDescent="0.25">
      <c r="A82" s="260"/>
      <c r="B82" s="385"/>
      <c r="C82" s="244"/>
      <c r="D82" s="305"/>
      <c r="E82" s="263"/>
      <c r="F82" s="386"/>
      <c r="G82" s="387"/>
      <c r="H82" s="202"/>
      <c r="J82" s="380"/>
      <c r="K82" s="202"/>
      <c r="P82" s="234"/>
      <c r="Q82" s="202"/>
      <c r="R82" s="202"/>
      <c r="X82" s="202"/>
      <c r="Y82" s="202"/>
    </row>
    <row r="83" spans="1:25" x14ac:dyDescent="0.25">
      <c r="A83" s="260"/>
      <c r="B83" s="385"/>
      <c r="C83" s="244"/>
      <c r="D83" s="305"/>
      <c r="E83" s="263"/>
      <c r="F83" s="386"/>
      <c r="G83" s="388"/>
      <c r="H83" s="202"/>
      <c r="J83" s="380"/>
      <c r="K83" s="202"/>
      <c r="P83" s="234"/>
      <c r="Q83" s="202"/>
      <c r="R83" s="202"/>
      <c r="X83" s="202"/>
      <c r="Y83" s="202"/>
    </row>
    <row r="84" spans="1:25" x14ac:dyDescent="0.25">
      <c r="A84" s="260"/>
      <c r="B84" s="385"/>
      <c r="C84" s="244"/>
      <c r="D84" s="305"/>
      <c r="E84" s="263"/>
      <c r="F84" s="386"/>
      <c r="G84" s="388"/>
      <c r="H84" s="202"/>
      <c r="J84" s="380"/>
      <c r="K84" s="202"/>
      <c r="P84" s="234"/>
      <c r="Q84" s="202"/>
      <c r="R84" s="202"/>
      <c r="X84" s="202"/>
      <c r="Y84" s="202"/>
    </row>
    <row r="85" spans="1:25" x14ac:dyDescent="0.25">
      <c r="A85" s="260"/>
      <c r="B85" s="385"/>
      <c r="C85" s="244"/>
      <c r="D85" s="305"/>
      <c r="E85" s="263"/>
      <c r="F85" s="386"/>
      <c r="G85" s="295"/>
      <c r="H85" s="202"/>
      <c r="J85" s="380"/>
      <c r="K85" s="202"/>
      <c r="P85" s="234"/>
      <c r="Q85" s="202"/>
      <c r="R85" s="202"/>
      <c r="X85" s="202"/>
      <c r="Y85" s="202"/>
    </row>
    <row r="86" spans="1:25" x14ac:dyDescent="0.25">
      <c r="A86" s="282"/>
      <c r="B86" s="389"/>
      <c r="C86" s="242"/>
      <c r="D86" s="284"/>
      <c r="E86" s="243"/>
      <c r="F86" s="243"/>
      <c r="G86" s="243"/>
      <c r="H86" s="243">
        <f>SUM(H82:H84)</f>
        <v>0</v>
      </c>
      <c r="J86" s="380"/>
      <c r="K86" s="202"/>
      <c r="P86" s="234"/>
      <c r="Q86" s="202"/>
      <c r="R86" s="202"/>
      <c r="X86" s="202"/>
      <c r="Y86" s="202"/>
    </row>
    <row r="87" spans="1:25" x14ac:dyDescent="0.25">
      <c r="A87" s="202"/>
      <c r="B87" s="288"/>
      <c r="C87" s="244"/>
      <c r="D87" s="263"/>
      <c r="E87" s="263"/>
      <c r="F87" s="202"/>
      <c r="G87" s="202"/>
      <c r="H87" s="202"/>
      <c r="J87" s="202"/>
      <c r="K87" s="202"/>
      <c r="P87" s="202"/>
      <c r="Q87" s="202"/>
      <c r="R87" s="202"/>
      <c r="X87" s="202"/>
      <c r="Y87" s="202"/>
    </row>
    <row r="88" spans="1:25" x14ac:dyDescent="0.25">
      <c r="A88" s="256"/>
      <c r="B88" s="289"/>
      <c r="C88" s="244"/>
      <c r="D88" s="263"/>
      <c r="E88" s="263"/>
      <c r="F88" s="202"/>
      <c r="G88" s="390"/>
      <c r="H88" s="202"/>
      <c r="J88" s="202"/>
      <c r="K88" s="202"/>
      <c r="P88" s="202"/>
      <c r="Q88" s="202"/>
      <c r="R88" s="202"/>
      <c r="X88" s="202"/>
      <c r="Y88" s="202"/>
    </row>
    <row r="89" spans="1:25" x14ac:dyDescent="0.25">
      <c r="A89" s="256"/>
      <c r="B89" s="289"/>
      <c r="C89" s="244"/>
      <c r="D89" s="263"/>
      <c r="E89" s="263"/>
      <c r="F89" s="202"/>
      <c r="G89" s="390"/>
      <c r="H89" s="202"/>
      <c r="J89" s="202"/>
      <c r="K89" s="202"/>
      <c r="P89" s="202"/>
      <c r="Q89" s="202"/>
      <c r="R89" s="202"/>
      <c r="X89" s="202"/>
      <c r="Y89" s="202"/>
    </row>
    <row r="90" spans="1:25" x14ac:dyDescent="0.25">
      <c r="A90" s="202"/>
      <c r="B90" s="242"/>
      <c r="C90" s="242"/>
      <c r="D90" s="212"/>
      <c r="E90" s="212"/>
      <c r="F90" s="291"/>
      <c r="G90" s="202"/>
      <c r="H90" s="202"/>
      <c r="J90" s="202"/>
      <c r="K90" s="202"/>
      <c r="P90" s="202"/>
      <c r="Q90" s="202"/>
      <c r="R90" s="202"/>
      <c r="X90" s="202"/>
      <c r="Y90" s="202"/>
    </row>
    <row r="91" spans="1:25" ht="18.75" customHeight="1" x14ac:dyDescent="0.25">
      <c r="A91" s="202"/>
      <c r="B91" s="212"/>
      <c r="C91" s="244"/>
      <c r="D91" s="263"/>
      <c r="E91" s="263"/>
      <c r="F91" s="291"/>
      <c r="G91" s="202"/>
      <c r="H91" s="291">
        <f>H90+H86</f>
        <v>0</v>
      </c>
      <c r="J91" s="202"/>
      <c r="K91" s="202"/>
      <c r="P91" s="202"/>
      <c r="Q91" s="202"/>
      <c r="R91" s="202"/>
      <c r="X91" s="202"/>
      <c r="Y91" s="202"/>
    </row>
    <row r="92" spans="1:25" ht="38.25" customHeight="1" x14ac:dyDescent="0.25">
      <c r="A92" s="251"/>
      <c r="B92" s="268"/>
      <c r="C92" s="232"/>
      <c r="D92" s="269"/>
      <c r="E92" s="233"/>
      <c r="F92" s="270"/>
      <c r="G92" s="256"/>
      <c r="H92" s="257"/>
      <c r="I92" s="251"/>
      <c r="J92" s="268"/>
      <c r="K92" s="232"/>
      <c r="L92" s="269"/>
      <c r="M92" s="269"/>
      <c r="N92" s="269"/>
      <c r="O92" s="269"/>
      <c r="P92" s="270"/>
      <c r="R92" s="246"/>
      <c r="X92" s="225"/>
      <c r="Y92" s="202"/>
    </row>
    <row r="93" spans="1:25" x14ac:dyDescent="0.25">
      <c r="A93" s="282"/>
      <c r="B93" s="283"/>
      <c r="C93" s="242"/>
      <c r="D93" s="284"/>
      <c r="E93" s="243"/>
      <c r="F93" s="243"/>
      <c r="G93" s="243"/>
      <c r="I93" s="260"/>
      <c r="J93" s="391"/>
      <c r="K93" s="232"/>
      <c r="L93" s="269"/>
      <c r="M93" s="269"/>
      <c r="N93" s="269"/>
      <c r="O93" s="269"/>
      <c r="P93" s="270"/>
      <c r="X93" s="243"/>
      <c r="Y93" s="202"/>
    </row>
    <row r="94" spans="1:25" x14ac:dyDescent="0.25">
      <c r="A94" s="202"/>
      <c r="B94" s="288"/>
      <c r="C94" s="244"/>
      <c r="D94" s="263"/>
      <c r="E94" s="263"/>
      <c r="F94" s="202"/>
      <c r="G94" s="202"/>
      <c r="I94" s="282"/>
      <c r="J94" s="283"/>
      <c r="K94" s="242"/>
      <c r="L94" s="284"/>
      <c r="M94" s="284"/>
      <c r="N94" s="284"/>
      <c r="O94" s="284"/>
      <c r="P94" s="243"/>
      <c r="X94" s="202"/>
      <c r="Y94" s="202"/>
    </row>
    <row r="95" spans="1:25" x14ac:dyDescent="0.25">
      <c r="A95" s="256"/>
      <c r="B95" s="289"/>
      <c r="C95" s="244"/>
      <c r="D95" s="263"/>
      <c r="E95" s="263"/>
      <c r="F95" s="202"/>
      <c r="G95" s="202"/>
      <c r="I95" s="202"/>
      <c r="J95" s="288"/>
      <c r="K95" s="244"/>
      <c r="L95" s="263"/>
      <c r="M95" s="263"/>
      <c r="N95" s="263"/>
      <c r="O95" s="263"/>
      <c r="P95" s="202"/>
      <c r="X95" s="202"/>
      <c r="Y95" s="202"/>
    </row>
    <row r="96" spans="1:25" x14ac:dyDescent="0.25">
      <c r="A96" s="256"/>
      <c r="B96" s="289"/>
      <c r="C96" s="244"/>
      <c r="D96" s="263"/>
      <c r="E96" s="263"/>
      <c r="F96" s="202"/>
      <c r="G96" s="202"/>
      <c r="I96" s="256"/>
      <c r="J96" s="289"/>
      <c r="K96" s="244"/>
      <c r="L96" s="263"/>
      <c r="M96" s="263"/>
      <c r="N96" s="263"/>
      <c r="O96" s="263"/>
      <c r="P96" s="202"/>
      <c r="X96" s="202"/>
      <c r="Y96" s="202"/>
    </row>
    <row r="97" spans="1:25" x14ac:dyDescent="0.25">
      <c r="A97" s="202"/>
      <c r="B97" s="288"/>
      <c r="C97" s="242"/>
      <c r="D97" s="212"/>
      <c r="E97" s="212"/>
      <c r="F97" s="291"/>
      <c r="G97" s="202"/>
      <c r="I97" s="256"/>
      <c r="J97" s="289"/>
      <c r="K97" s="244"/>
      <c r="L97" s="263"/>
      <c r="M97" s="263"/>
      <c r="N97" s="263"/>
      <c r="O97" s="263"/>
      <c r="P97" s="202"/>
      <c r="X97" s="202"/>
      <c r="Y97" s="202"/>
    </row>
    <row r="98" spans="1:25" x14ac:dyDescent="0.25">
      <c r="A98" s="202"/>
      <c r="B98" s="212"/>
      <c r="C98" s="244"/>
      <c r="D98" s="263"/>
      <c r="E98" s="263"/>
      <c r="F98" s="291"/>
      <c r="G98" s="202"/>
      <c r="I98" s="202"/>
      <c r="J98" s="288"/>
      <c r="K98" s="242"/>
      <c r="L98" s="212"/>
      <c r="M98" s="212"/>
      <c r="N98" s="212"/>
      <c r="O98" s="212"/>
      <c r="P98" s="291"/>
      <c r="X98" s="291"/>
      <c r="Y98" s="202"/>
    </row>
    <row r="99" spans="1:25" x14ac:dyDescent="0.25">
      <c r="A99" s="243"/>
      <c r="B99" s="295"/>
      <c r="C99" s="244"/>
      <c r="D99" s="244"/>
      <c r="E99" s="244"/>
      <c r="F99" s="263"/>
      <c r="G99" s="243"/>
      <c r="I99" s="202"/>
      <c r="J99" s="212"/>
      <c r="K99" s="244"/>
      <c r="L99" s="263"/>
      <c r="M99" s="263"/>
      <c r="N99" s="263"/>
      <c r="O99" s="263"/>
      <c r="P99" s="291"/>
      <c r="X99" s="202"/>
      <c r="Y99" s="202"/>
    </row>
    <row r="100" spans="1:25" x14ac:dyDescent="0.25">
      <c r="A100" s="243"/>
      <c r="B100" s="300"/>
      <c r="C100" s="301"/>
      <c r="D100" s="301"/>
      <c r="E100" s="301"/>
      <c r="F100" s="270"/>
      <c r="G100" s="243"/>
      <c r="I100" s="243"/>
      <c r="J100" s="295"/>
      <c r="K100" s="244"/>
      <c r="L100" s="244"/>
      <c r="M100" s="244"/>
      <c r="N100" s="244"/>
      <c r="O100" s="244"/>
      <c r="P100" s="263"/>
      <c r="Q100" s="202"/>
      <c r="R100" s="202"/>
      <c r="X100" s="202"/>
      <c r="Y100" s="202"/>
    </row>
    <row r="101" spans="1:25" x14ac:dyDescent="0.25">
      <c r="A101" s="243"/>
      <c r="B101" s="392"/>
      <c r="C101" s="387"/>
      <c r="D101" s="393"/>
      <c r="E101" s="394"/>
      <c r="F101" s="394"/>
      <c r="G101" s="243"/>
      <c r="I101" s="243"/>
      <c r="J101" s="300"/>
      <c r="K101" s="301"/>
      <c r="L101" s="395"/>
      <c r="M101" s="395"/>
      <c r="N101" s="395"/>
      <c r="O101" s="395"/>
      <c r="P101" s="270"/>
      <c r="Q101" s="202"/>
      <c r="R101" s="202"/>
      <c r="X101" s="202"/>
      <c r="Y101" s="202"/>
    </row>
    <row r="102" spans="1:25" x14ac:dyDescent="0.25">
      <c r="A102" s="243"/>
      <c r="B102" s="295"/>
      <c r="C102" s="244"/>
      <c r="D102" s="305"/>
      <c r="E102" s="263"/>
      <c r="F102" s="386"/>
      <c r="G102" s="243"/>
      <c r="H102" s="202"/>
      <c r="I102" s="243"/>
      <c r="J102" s="300"/>
      <c r="K102" s="387"/>
      <c r="L102" s="396"/>
      <c r="M102" s="396"/>
      <c r="N102" s="396"/>
      <c r="O102" s="396"/>
      <c r="P102" s="270"/>
      <c r="Q102" s="202"/>
      <c r="R102" s="202"/>
      <c r="X102" s="202"/>
      <c r="Y102" s="202"/>
    </row>
    <row r="103" spans="1:25" ht="60.75" customHeight="1" x14ac:dyDescent="0.25">
      <c r="A103" s="243"/>
      <c r="B103" s="295"/>
      <c r="C103" s="244"/>
      <c r="D103" s="263"/>
      <c r="E103" s="263"/>
      <c r="F103" s="386"/>
      <c r="G103" s="243"/>
      <c r="H103" s="202"/>
      <c r="J103" s="397"/>
      <c r="K103" s="398"/>
      <c r="L103" s="399"/>
      <c r="M103" s="399"/>
      <c r="N103" s="399"/>
      <c r="O103" s="399"/>
      <c r="P103" s="387"/>
      <c r="Q103" s="400"/>
      <c r="R103" s="202"/>
      <c r="X103" s="202"/>
      <c r="Y103" s="202"/>
    </row>
    <row r="104" spans="1:25" x14ac:dyDescent="0.25">
      <c r="A104" s="243"/>
      <c r="B104" s="243"/>
      <c r="C104" s="242"/>
      <c r="D104" s="242"/>
      <c r="E104" s="242"/>
      <c r="F104" s="242"/>
      <c r="G104" s="243"/>
      <c r="H104" s="202"/>
      <c r="J104" s="202"/>
      <c r="K104" s="202"/>
      <c r="P104" s="202"/>
      <c r="Q104" s="202"/>
      <c r="R104" s="202"/>
      <c r="X104" s="202"/>
      <c r="Y104" s="202"/>
    </row>
    <row r="105" spans="1:25" x14ac:dyDescent="0.25">
      <c r="A105" s="243"/>
      <c r="B105" s="243"/>
      <c r="C105" s="242"/>
      <c r="D105" s="242"/>
      <c r="E105" s="242"/>
      <c r="F105" s="242"/>
      <c r="G105" s="243"/>
      <c r="H105" s="202"/>
      <c r="J105" s="202"/>
      <c r="K105" s="202"/>
      <c r="P105" s="202"/>
      <c r="Q105" s="202"/>
      <c r="R105" s="202"/>
      <c r="X105" s="202"/>
      <c r="Y105" s="202"/>
    </row>
    <row r="106" spans="1:25" x14ac:dyDescent="0.25">
      <c r="A106" s="243"/>
      <c r="B106" s="243"/>
      <c r="C106" s="242"/>
      <c r="D106" s="242"/>
      <c r="E106" s="242"/>
      <c r="F106" s="242"/>
      <c r="G106" s="243"/>
      <c r="H106" s="202"/>
      <c r="J106" s="202"/>
      <c r="K106" s="202"/>
      <c r="P106" s="202"/>
      <c r="Q106" s="202"/>
      <c r="R106" s="202"/>
      <c r="X106" s="202"/>
      <c r="Y106" s="202"/>
    </row>
    <row r="107" spans="1:25" x14ac:dyDescent="0.25">
      <c r="A107" s="243"/>
      <c r="B107" s="243"/>
      <c r="C107" s="242"/>
      <c r="D107" s="242"/>
      <c r="E107" s="242"/>
      <c r="F107" s="242"/>
      <c r="G107" s="243"/>
      <c r="H107" s="202"/>
      <c r="J107" s="202"/>
      <c r="K107" s="202"/>
      <c r="P107" s="202"/>
      <c r="Q107" s="202"/>
      <c r="R107" s="202"/>
      <c r="X107" s="202"/>
      <c r="Y107" s="202"/>
    </row>
    <row r="108" spans="1:25" x14ac:dyDescent="0.25">
      <c r="A108" s="243"/>
      <c r="B108" s="243"/>
      <c r="C108" s="242"/>
      <c r="D108" s="242"/>
      <c r="E108" s="242"/>
      <c r="F108" s="242"/>
      <c r="G108" s="243"/>
      <c r="H108" s="202"/>
      <c r="J108" s="202"/>
      <c r="K108" s="202"/>
      <c r="L108" s="202"/>
      <c r="M108" s="202"/>
      <c r="N108" s="202"/>
      <c r="O108" s="202"/>
      <c r="P108" s="202"/>
      <c r="Q108" s="202"/>
      <c r="R108" s="202"/>
      <c r="X108" s="202"/>
      <c r="Y108" s="202"/>
    </row>
    <row r="109" spans="1:25" x14ac:dyDescent="0.25">
      <c r="A109" s="243"/>
      <c r="B109" s="243"/>
      <c r="C109" s="242"/>
      <c r="D109" s="242"/>
      <c r="E109" s="242"/>
      <c r="F109" s="242"/>
      <c r="G109" s="243"/>
      <c r="H109" s="202"/>
      <c r="J109" s="202"/>
      <c r="K109" s="202"/>
      <c r="L109" s="202"/>
      <c r="M109" s="202"/>
      <c r="N109" s="202"/>
      <c r="O109" s="202"/>
      <c r="P109" s="202"/>
      <c r="Q109" s="202"/>
      <c r="R109" s="202"/>
      <c r="X109" s="202"/>
      <c r="Y109" s="202"/>
    </row>
    <row r="110" spans="1:25" x14ac:dyDescent="0.25">
      <c r="A110" s="202"/>
      <c r="B110" s="202"/>
      <c r="C110" s="380"/>
      <c r="D110" s="234"/>
      <c r="E110" s="202"/>
      <c r="F110" s="242"/>
      <c r="G110" s="243"/>
      <c r="H110" s="202"/>
      <c r="J110" s="202"/>
      <c r="K110" s="202"/>
      <c r="L110" s="202"/>
      <c r="M110" s="202"/>
      <c r="N110" s="202"/>
      <c r="O110" s="202"/>
      <c r="P110" s="202"/>
      <c r="Q110" s="202"/>
      <c r="R110" s="202"/>
      <c r="X110" s="202"/>
      <c r="Y110" s="202"/>
    </row>
    <row r="111" spans="1:25" x14ac:dyDescent="0.25">
      <c r="A111" s="282"/>
      <c r="B111" s="202"/>
      <c r="F111" s="243"/>
      <c r="G111" s="295"/>
      <c r="H111" s="202"/>
      <c r="J111" s="202"/>
      <c r="K111" s="202"/>
      <c r="L111" s="202"/>
      <c r="M111" s="202"/>
      <c r="N111" s="202"/>
      <c r="O111" s="202"/>
      <c r="P111" s="202"/>
      <c r="Q111" s="202"/>
      <c r="R111" s="202"/>
      <c r="X111" s="202"/>
      <c r="Y111" s="202"/>
    </row>
    <row r="112" spans="1:25" x14ac:dyDescent="0.25">
      <c r="A112" s="382"/>
      <c r="B112" s="385"/>
      <c r="C112" s="401"/>
      <c r="D112" s="295"/>
      <c r="E112" s="295"/>
      <c r="F112" s="202"/>
      <c r="G112" s="384"/>
      <c r="H112" s="202"/>
      <c r="J112" s="202"/>
      <c r="K112" s="202"/>
      <c r="L112" s="202"/>
      <c r="M112" s="202"/>
      <c r="N112" s="202"/>
      <c r="O112" s="202"/>
      <c r="P112" s="202"/>
      <c r="Q112" s="202"/>
      <c r="R112" s="202"/>
      <c r="X112" s="202"/>
      <c r="Y112" s="202"/>
    </row>
    <row r="113" spans="1:25" x14ac:dyDescent="0.25">
      <c r="A113" s="402"/>
      <c r="B113" s="385"/>
      <c r="C113" s="244"/>
      <c r="D113" s="295"/>
      <c r="E113" s="295"/>
      <c r="F113" s="263"/>
      <c r="G113" s="384"/>
      <c r="L113" s="202"/>
      <c r="M113" s="202"/>
      <c r="N113" s="202"/>
      <c r="O113" s="202"/>
      <c r="P113" s="202"/>
      <c r="Q113" s="202"/>
      <c r="R113" s="202"/>
      <c r="X113" s="202"/>
      <c r="Y113" s="202"/>
    </row>
    <row r="114" spans="1:25" x14ac:dyDescent="0.25">
      <c r="A114" s="202"/>
      <c r="B114" s="403"/>
      <c r="C114" s="244"/>
      <c r="D114" s="263"/>
      <c r="E114" s="263"/>
      <c r="F114" s="243"/>
      <c r="G114" s="289"/>
    </row>
    <row r="115" spans="1:25" x14ac:dyDescent="0.25">
      <c r="A115" s="402"/>
      <c r="B115" s="385"/>
      <c r="C115" s="244"/>
      <c r="D115" s="305"/>
      <c r="E115" s="305"/>
      <c r="F115" s="263"/>
      <c r="G115" s="289"/>
    </row>
    <row r="116" spans="1:25" x14ac:dyDescent="0.25">
      <c r="A116" s="202"/>
      <c r="B116" s="385"/>
      <c r="C116" s="244"/>
      <c r="D116" s="305"/>
      <c r="E116" s="305"/>
      <c r="F116" s="263"/>
      <c r="G116" s="289"/>
      <c r="H116" s="378"/>
    </row>
    <row r="117" spans="1:25" x14ac:dyDescent="0.25">
      <c r="A117" s="202"/>
      <c r="B117" s="385"/>
      <c r="C117" s="244"/>
      <c r="D117" s="305"/>
      <c r="E117" s="305"/>
      <c r="F117" s="263"/>
      <c r="G117" s="289"/>
      <c r="H117" s="202"/>
      <c r="I117" s="202"/>
    </row>
    <row r="118" spans="1:25" x14ac:dyDescent="0.25">
      <c r="A118" s="202"/>
      <c r="B118" s="295"/>
      <c r="C118" s="384"/>
      <c r="D118" s="203"/>
      <c r="E118" s="203"/>
      <c r="F118" s="243"/>
      <c r="G118" s="289"/>
      <c r="H118" s="202"/>
      <c r="I118" s="202"/>
    </row>
    <row r="119" spans="1:25" x14ac:dyDescent="0.25">
      <c r="A119" s="402"/>
      <c r="B119" s="385"/>
      <c r="C119" s="244"/>
      <c r="D119" s="305"/>
      <c r="E119" s="305"/>
      <c r="F119" s="263"/>
      <c r="G119" s="289"/>
      <c r="H119" s="202"/>
      <c r="I119" s="202"/>
    </row>
    <row r="120" spans="1:25" x14ac:dyDescent="0.25">
      <c r="A120" s="402"/>
      <c r="B120" s="385"/>
      <c r="D120" s="203"/>
      <c r="E120" s="305"/>
      <c r="F120" s="263"/>
      <c r="G120" s="289"/>
      <c r="H120" s="202"/>
      <c r="I120" s="202"/>
    </row>
    <row r="121" spans="1:25" x14ac:dyDescent="0.25">
      <c r="A121" s="402"/>
      <c r="B121" s="385"/>
      <c r="C121" s="244"/>
      <c r="D121" s="305"/>
      <c r="E121" s="305"/>
      <c r="F121" s="263"/>
      <c r="G121" s="289"/>
      <c r="H121" s="202"/>
      <c r="I121" s="202"/>
    </row>
    <row r="122" spans="1:25" x14ac:dyDescent="0.25">
      <c r="A122" s="402"/>
      <c r="B122" s="225"/>
      <c r="C122" s="233"/>
      <c r="D122" s="233"/>
      <c r="E122" s="202"/>
      <c r="F122" s="263"/>
      <c r="G122" s="289"/>
      <c r="H122" s="202"/>
      <c r="I122" s="202"/>
    </row>
    <row r="123" spans="1:25" x14ac:dyDescent="0.25">
      <c r="A123" s="402"/>
      <c r="B123" s="202"/>
      <c r="C123" s="380"/>
      <c r="D123" s="380"/>
      <c r="E123" s="202"/>
      <c r="F123" s="263"/>
      <c r="G123" s="289"/>
      <c r="H123" s="202"/>
      <c r="I123" s="202"/>
      <c r="J123" s="202"/>
      <c r="K123" s="202"/>
    </row>
    <row r="124" spans="1:25" x14ac:dyDescent="0.25">
      <c r="B124" s="202"/>
      <c r="C124" s="380"/>
      <c r="D124" s="380"/>
      <c r="E124" s="202"/>
      <c r="G124" s="202"/>
      <c r="H124" s="202"/>
      <c r="I124" s="202"/>
      <c r="J124" s="202"/>
      <c r="K124" s="202"/>
    </row>
    <row r="125" spans="1:25" x14ac:dyDescent="0.25">
      <c r="A125" s="202"/>
      <c r="B125" s="202"/>
      <c r="C125" s="202"/>
      <c r="D125" s="202"/>
      <c r="E125" s="202"/>
      <c r="F125" s="202"/>
      <c r="G125" s="202"/>
      <c r="H125" s="202"/>
      <c r="I125" s="202"/>
      <c r="J125" s="202"/>
      <c r="K125" s="202"/>
    </row>
    <row r="126" spans="1:25" x14ac:dyDescent="0.25">
      <c r="B126" s="202"/>
      <c r="C126" s="202"/>
      <c r="D126" s="202"/>
      <c r="E126" s="202"/>
      <c r="G126" s="202"/>
      <c r="H126" s="202"/>
      <c r="I126" s="202"/>
      <c r="J126" s="202"/>
      <c r="K126" s="202"/>
    </row>
    <row r="127" spans="1:25" x14ac:dyDescent="0.25">
      <c r="B127" s="202"/>
      <c r="C127" s="202"/>
      <c r="D127" s="202"/>
      <c r="E127" s="202"/>
      <c r="G127" s="202"/>
      <c r="H127" s="202"/>
      <c r="I127" s="202"/>
      <c r="J127" s="202"/>
      <c r="K127" s="202"/>
    </row>
    <row r="128" spans="1:25" x14ac:dyDescent="0.25">
      <c r="B128" s="202"/>
      <c r="C128" s="202"/>
      <c r="D128" s="202"/>
      <c r="E128" s="202"/>
      <c r="G128" s="202"/>
      <c r="H128" s="202"/>
      <c r="I128" s="202"/>
      <c r="J128" s="202"/>
      <c r="K128" s="202"/>
    </row>
    <row r="129" spans="2:5" x14ac:dyDescent="0.25">
      <c r="B129" s="202"/>
      <c r="C129" s="202"/>
      <c r="D129" s="202"/>
      <c r="E129" s="202"/>
    </row>
    <row r="130" spans="2:5" x14ac:dyDescent="0.25">
      <c r="B130" s="202"/>
      <c r="C130" s="202"/>
      <c r="D130" s="202"/>
      <c r="E130" s="202"/>
    </row>
  </sheetData>
  <mergeCells count="8">
    <mergeCell ref="C51:D51"/>
    <mergeCell ref="E51:G51"/>
    <mergeCell ref="A6:E6"/>
    <mergeCell ref="A7:E7"/>
    <mergeCell ref="A8:E8"/>
    <mergeCell ref="A9:E9"/>
    <mergeCell ref="A10:E10"/>
    <mergeCell ref="C25:E2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E8:G14"/>
  <sheetViews>
    <sheetView workbookViewId="0">
      <selection activeCell="G8" sqref="G8"/>
    </sheetView>
  </sheetViews>
  <sheetFormatPr defaultRowHeight="15" x14ac:dyDescent="0.2"/>
  <cols>
    <col min="5" max="5" width="7.109375" customWidth="1"/>
    <col min="6" max="6" width="27.44140625" customWidth="1"/>
    <col min="7" max="7" width="9" bestFit="1" customWidth="1"/>
  </cols>
  <sheetData>
    <row r="8" spans="5:7" x14ac:dyDescent="0.2">
      <c r="E8">
        <v>1</v>
      </c>
      <c r="F8" s="3" t="s">
        <v>16</v>
      </c>
      <c r="G8">
        <f>Basic!F121/100</f>
        <v>0</v>
      </c>
    </row>
    <row r="9" spans="5:7" x14ac:dyDescent="0.2">
      <c r="F9" s="3" t="s">
        <v>321</v>
      </c>
      <c r="G9">
        <f>(Basic!F177+Basic!H177)/100</f>
        <v>0</v>
      </c>
    </row>
    <row r="10" spans="5:7" x14ac:dyDescent="0.2">
      <c r="F10" s="3" t="s">
        <v>29</v>
      </c>
      <c r="G10">
        <f>(Basic!F126+Basic!F130)/100</f>
        <v>0</v>
      </c>
    </row>
    <row r="11" spans="5:7" x14ac:dyDescent="0.2">
      <c r="F11" s="3" t="s">
        <v>319</v>
      </c>
      <c r="G11">
        <f>(Basic!F205+Basic!F231+Basic!F264)/100</f>
        <v>0</v>
      </c>
    </row>
    <row r="12" spans="5:7" x14ac:dyDescent="0.2">
      <c r="F12" s="3" t="s">
        <v>23</v>
      </c>
      <c r="G12">
        <f>Basic!F123/100</f>
        <v>0</v>
      </c>
    </row>
    <row r="13" spans="5:7" x14ac:dyDescent="0.2">
      <c r="F13" s="3" t="s">
        <v>369</v>
      </c>
      <c r="G13">
        <f>(Basic!F253+Basic!F260)/100</f>
        <v>0</v>
      </c>
    </row>
    <row r="14" spans="5:7" x14ac:dyDescent="0.2">
      <c r="F14" s="3"/>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C85"/>
  <sheetViews>
    <sheetView workbookViewId="0">
      <selection activeCell="B15" sqref="B15"/>
    </sheetView>
  </sheetViews>
  <sheetFormatPr defaultColWidth="8.77734375" defaultRowHeight="15" x14ac:dyDescent="0.2"/>
  <cols>
    <col min="1" max="1" width="5.6640625" style="107" customWidth="1"/>
    <col min="2" max="2" width="26.5546875" style="107" customWidth="1"/>
    <col min="3" max="3" width="11.44140625" style="107" customWidth="1"/>
    <col min="4" max="4" width="7.44140625" style="107" customWidth="1"/>
    <col min="5" max="5" width="8.5546875" style="107" customWidth="1"/>
    <col min="6" max="6" width="12.33203125" style="107" customWidth="1"/>
    <col min="7" max="7" width="11.77734375" style="107" customWidth="1"/>
    <col min="8" max="8" width="8.21875" style="107" customWidth="1"/>
    <col min="9" max="9" width="12" style="107" customWidth="1"/>
    <col min="10" max="10" width="8.77734375" style="107" customWidth="1"/>
    <col min="11" max="11" width="11.109375" style="107" customWidth="1"/>
    <col min="12" max="12" width="12.88671875" style="107" customWidth="1"/>
    <col min="13" max="13" width="12.5546875" style="107" customWidth="1"/>
    <col min="14" max="14" width="9.6640625" style="107" customWidth="1"/>
    <col min="15" max="15" width="9.88671875" style="107" customWidth="1"/>
    <col min="16" max="16" width="11.33203125" style="107" customWidth="1"/>
    <col min="17" max="17" width="11.5546875" style="107" customWidth="1"/>
    <col min="18" max="18" width="11.6640625" style="107" customWidth="1"/>
    <col min="19" max="19" width="10.33203125" style="107" customWidth="1"/>
    <col min="20" max="20" width="11.77734375" style="107" customWidth="1"/>
    <col min="21" max="21" width="12.109375" style="107" customWidth="1"/>
    <col min="22" max="22" width="11" style="107" customWidth="1"/>
    <col min="23" max="23" width="12.109375" style="107" customWidth="1"/>
    <col min="24" max="24" width="10.5546875" style="107" customWidth="1"/>
    <col min="25" max="25" width="9.88671875" style="107" customWidth="1"/>
    <col min="26" max="26" width="10.77734375" style="107" customWidth="1"/>
    <col min="27" max="27" width="9.77734375" style="107" customWidth="1"/>
    <col min="28" max="28" width="11.21875" style="107" customWidth="1"/>
    <col min="29" max="29" width="10.33203125" style="107" customWidth="1"/>
    <col min="30" max="30" width="11.88671875" style="107" customWidth="1"/>
    <col min="31" max="31" width="8.77734375" style="107"/>
    <col min="32" max="32" width="13.88671875" style="107" customWidth="1"/>
    <col min="33" max="33" width="10.88671875" style="107" customWidth="1"/>
    <col min="34" max="34" width="11.44140625" style="107" customWidth="1"/>
    <col min="35" max="35" width="11.77734375" style="107" customWidth="1"/>
    <col min="36" max="36" width="11.109375" style="107" customWidth="1"/>
    <col min="37" max="37" width="10.88671875" style="107" customWidth="1"/>
    <col min="38" max="41" width="8.77734375" style="107"/>
    <col min="42" max="42" width="11.44140625" style="107" bestFit="1" customWidth="1"/>
    <col min="43" max="43" width="10.21875" style="107" customWidth="1"/>
    <col min="44" max="44" width="11.5546875" style="107" customWidth="1"/>
    <col min="45" max="45" width="12.109375" style="107" customWidth="1"/>
    <col min="46" max="46" width="13.21875" style="107" customWidth="1"/>
    <col min="47" max="47" width="14.109375" style="107" customWidth="1"/>
    <col min="48" max="48" width="11.77734375" style="107" customWidth="1"/>
    <col min="49" max="49" width="9.6640625" style="107" customWidth="1"/>
    <col min="50" max="53" width="8.77734375" style="107"/>
    <col min="54" max="54" width="28.77734375" style="107" customWidth="1"/>
    <col min="55" max="55" width="11.77734375" style="107" customWidth="1"/>
    <col min="56" max="56" width="10" style="107" customWidth="1"/>
    <col min="57" max="57" width="10.44140625" style="107" customWidth="1"/>
    <col min="58" max="59" width="8.77734375" style="107"/>
    <col min="60" max="60" width="9.33203125" style="107" customWidth="1"/>
    <col min="61" max="61" width="18.44140625" style="107" customWidth="1"/>
    <col min="62" max="62" width="11" style="107" customWidth="1"/>
    <col min="63" max="63" width="9.5546875" style="107" customWidth="1"/>
    <col min="64" max="64" width="10.6640625" style="107" customWidth="1"/>
    <col min="65" max="65" width="9.88671875" style="107" customWidth="1"/>
    <col min="66" max="66" width="11.44140625" style="107" customWidth="1"/>
    <col min="67" max="67" width="9.88671875" style="107" customWidth="1"/>
    <col min="68" max="68" width="10" style="107" customWidth="1"/>
    <col min="69" max="69" width="6.77734375" style="107" customWidth="1"/>
    <col min="70" max="70" width="12.5546875" style="107" customWidth="1"/>
    <col min="71" max="71" width="9.5546875" style="107" customWidth="1"/>
    <col min="72" max="72" width="10.33203125" style="107" customWidth="1"/>
    <col min="73" max="73" width="7.77734375" style="107" customWidth="1"/>
    <col min="74" max="74" width="7.21875" style="107" customWidth="1"/>
    <col min="75" max="75" width="17.6640625" style="107" customWidth="1"/>
    <col min="76" max="76" width="8.77734375" style="107" customWidth="1"/>
    <col min="77" max="77" width="13.109375" style="107" bestFit="1" customWidth="1"/>
    <col min="78" max="78" width="13.77734375" style="107" customWidth="1"/>
    <col min="79" max="80" width="8.77734375" style="107"/>
    <col min="81" max="81" width="9" style="107" bestFit="1" customWidth="1"/>
    <col min="82" max="90" width="8.77734375" style="107"/>
    <col min="91" max="91" width="13.109375" style="107" customWidth="1"/>
    <col min="92" max="92" width="8.77734375" style="107"/>
    <col min="93" max="93" width="9.88671875" style="107" customWidth="1"/>
    <col min="94" max="97" width="8.77734375" style="107"/>
    <col min="98" max="98" width="8.5546875" style="107" customWidth="1"/>
    <col min="99" max="99" width="30.33203125" style="107" customWidth="1"/>
    <col min="100" max="100" width="9" style="107" bestFit="1" customWidth="1"/>
    <col min="101" max="101" width="8.77734375" style="107"/>
    <col min="102" max="102" width="5.88671875" style="107" customWidth="1"/>
    <col min="103" max="103" width="6.88671875" style="107" customWidth="1"/>
    <col min="104" max="104" width="23.88671875" style="107" customWidth="1"/>
    <col min="105" max="111" width="8.77734375" style="107"/>
    <col min="112" max="112" width="9" style="107" bestFit="1" customWidth="1"/>
    <col min="113" max="114" width="8.77734375" style="107"/>
    <col min="115" max="115" width="32.88671875" style="107" customWidth="1"/>
    <col min="116" max="116" width="16.6640625" style="107" customWidth="1"/>
    <col min="117" max="117" width="10.21875" style="107" customWidth="1"/>
    <col min="118" max="118" width="12.44140625" style="107" customWidth="1"/>
    <col min="119" max="119" width="10" style="107" bestFit="1" customWidth="1"/>
    <col min="120" max="120" width="8.77734375" style="107"/>
    <col min="121" max="121" width="9" style="107" bestFit="1" customWidth="1"/>
    <col min="122" max="123" width="8.77734375" style="107"/>
    <col min="124" max="124" width="11.6640625" style="107" customWidth="1"/>
    <col min="125" max="125" width="8.77734375" style="107"/>
    <col min="126" max="126" width="28.77734375" style="107" customWidth="1"/>
    <col min="127" max="127" width="12.33203125" style="107" customWidth="1"/>
    <col min="128" max="128" width="11.21875" style="107" customWidth="1"/>
    <col min="129" max="256" width="8.77734375" style="107"/>
    <col min="257" max="257" width="5.6640625" style="107" customWidth="1"/>
    <col min="258" max="258" width="26.5546875" style="107" customWidth="1"/>
    <col min="259" max="259" width="11.44140625" style="107" customWidth="1"/>
    <col min="260" max="260" width="7.44140625" style="107" customWidth="1"/>
    <col min="261" max="261" width="8.5546875" style="107" customWidth="1"/>
    <col min="262" max="262" width="12.33203125" style="107" customWidth="1"/>
    <col min="263" max="263" width="11.77734375" style="107" customWidth="1"/>
    <col min="264" max="264" width="8.21875" style="107" customWidth="1"/>
    <col min="265" max="265" width="12" style="107" customWidth="1"/>
    <col min="266" max="266" width="8.77734375" style="107" customWidth="1"/>
    <col min="267" max="267" width="11.109375" style="107" customWidth="1"/>
    <col min="268" max="268" width="12.88671875" style="107" customWidth="1"/>
    <col min="269" max="269" width="12.5546875" style="107" customWidth="1"/>
    <col min="270" max="270" width="9.6640625" style="107" customWidth="1"/>
    <col min="271" max="271" width="9.88671875" style="107" customWidth="1"/>
    <col min="272" max="272" width="11.33203125" style="107" customWidth="1"/>
    <col min="273" max="273" width="11.5546875" style="107" customWidth="1"/>
    <col min="274" max="274" width="11.6640625" style="107" customWidth="1"/>
    <col min="275" max="275" width="10.33203125" style="107" customWidth="1"/>
    <col min="276" max="276" width="11.77734375" style="107" customWidth="1"/>
    <col min="277" max="277" width="12.109375" style="107" customWidth="1"/>
    <col min="278" max="278" width="11" style="107" customWidth="1"/>
    <col min="279" max="279" width="12.109375" style="107" customWidth="1"/>
    <col min="280" max="280" width="10.5546875" style="107" customWidth="1"/>
    <col min="281" max="281" width="9.88671875" style="107" customWidth="1"/>
    <col min="282" max="282" width="10.77734375" style="107" customWidth="1"/>
    <col min="283" max="283" width="9.77734375" style="107" customWidth="1"/>
    <col min="284" max="284" width="11.21875" style="107" customWidth="1"/>
    <col min="285" max="285" width="10.33203125" style="107" customWidth="1"/>
    <col min="286" max="286" width="11.88671875" style="107" customWidth="1"/>
    <col min="287" max="287" width="8.77734375" style="107"/>
    <col min="288" max="288" width="13.88671875" style="107" customWidth="1"/>
    <col min="289" max="289" width="10.88671875" style="107" customWidth="1"/>
    <col min="290" max="290" width="11.44140625" style="107" customWidth="1"/>
    <col min="291" max="291" width="11.77734375" style="107" customWidth="1"/>
    <col min="292" max="292" width="11.109375" style="107" customWidth="1"/>
    <col min="293" max="293" width="10.88671875" style="107" customWidth="1"/>
    <col min="294" max="297" width="8.77734375" style="107"/>
    <col min="298" max="298" width="11.44140625" style="107" bestFit="1" customWidth="1"/>
    <col min="299" max="299" width="10.21875" style="107" customWidth="1"/>
    <col min="300" max="300" width="11.5546875" style="107" customWidth="1"/>
    <col min="301" max="301" width="12.109375" style="107" customWidth="1"/>
    <col min="302" max="302" width="13.21875" style="107" customWidth="1"/>
    <col min="303" max="303" width="14.109375" style="107" customWidth="1"/>
    <col min="304" max="304" width="11.77734375" style="107" customWidth="1"/>
    <col min="305" max="305" width="9.6640625" style="107" customWidth="1"/>
    <col min="306" max="309" width="8.77734375" style="107"/>
    <col min="310" max="310" width="28.77734375" style="107" customWidth="1"/>
    <col min="311" max="311" width="11.77734375" style="107" customWidth="1"/>
    <col min="312" max="312" width="10" style="107" customWidth="1"/>
    <col min="313" max="313" width="10.44140625" style="107" customWidth="1"/>
    <col min="314" max="315" width="8.77734375" style="107"/>
    <col min="316" max="316" width="9.33203125" style="107" customWidth="1"/>
    <col min="317" max="317" width="18.44140625" style="107" customWidth="1"/>
    <col min="318" max="318" width="11" style="107" customWidth="1"/>
    <col min="319" max="319" width="9.5546875" style="107" customWidth="1"/>
    <col min="320" max="320" width="10.6640625" style="107" customWidth="1"/>
    <col min="321" max="321" width="9.88671875" style="107" customWidth="1"/>
    <col min="322" max="322" width="11.44140625" style="107" customWidth="1"/>
    <col min="323" max="323" width="9.88671875" style="107" customWidth="1"/>
    <col min="324" max="324" width="10" style="107" customWidth="1"/>
    <col min="325" max="325" width="6.77734375" style="107" customWidth="1"/>
    <col min="326" max="326" width="12.5546875" style="107" customWidth="1"/>
    <col min="327" max="327" width="9.5546875" style="107" customWidth="1"/>
    <col min="328" max="328" width="10.33203125" style="107" customWidth="1"/>
    <col min="329" max="329" width="7.77734375" style="107" customWidth="1"/>
    <col min="330" max="330" width="7.21875" style="107" customWidth="1"/>
    <col min="331" max="331" width="17.6640625" style="107" customWidth="1"/>
    <col min="332" max="332" width="8.77734375" style="107" customWidth="1"/>
    <col min="333" max="333" width="13.109375" style="107" bestFit="1" customWidth="1"/>
    <col min="334" max="334" width="13.77734375" style="107" customWidth="1"/>
    <col min="335" max="336" width="8.77734375" style="107"/>
    <col min="337" max="337" width="9" style="107" bestFit="1" customWidth="1"/>
    <col min="338" max="346" width="8.77734375" style="107"/>
    <col min="347" max="347" width="13.109375" style="107" customWidth="1"/>
    <col min="348" max="348" width="8.77734375" style="107"/>
    <col min="349" max="349" width="9.88671875" style="107" customWidth="1"/>
    <col min="350" max="353" width="8.77734375" style="107"/>
    <col min="354" max="354" width="8.5546875" style="107" customWidth="1"/>
    <col min="355" max="355" width="30.33203125" style="107" customWidth="1"/>
    <col min="356" max="356" width="9" style="107" bestFit="1" customWidth="1"/>
    <col min="357" max="357" width="8.77734375" style="107"/>
    <col min="358" max="358" width="5.88671875" style="107" customWidth="1"/>
    <col min="359" max="359" width="6.88671875" style="107" customWidth="1"/>
    <col min="360" max="360" width="23.88671875" style="107" customWidth="1"/>
    <col min="361" max="367" width="8.77734375" style="107"/>
    <col min="368" max="368" width="9" style="107" bestFit="1" customWidth="1"/>
    <col min="369" max="370" width="8.77734375" style="107"/>
    <col min="371" max="371" width="32.88671875" style="107" customWidth="1"/>
    <col min="372" max="372" width="16.6640625" style="107" customWidth="1"/>
    <col min="373" max="373" width="10.21875" style="107" customWidth="1"/>
    <col min="374" max="374" width="12.44140625" style="107" customWidth="1"/>
    <col min="375" max="375" width="10" style="107" bestFit="1" customWidth="1"/>
    <col min="376" max="376" width="8.77734375" style="107"/>
    <col min="377" max="377" width="9" style="107" bestFit="1" customWidth="1"/>
    <col min="378" max="379" width="8.77734375" style="107"/>
    <col min="380" max="380" width="11.6640625" style="107" customWidth="1"/>
    <col min="381" max="381" width="8.77734375" style="107"/>
    <col min="382" max="382" width="28.77734375" style="107" customWidth="1"/>
    <col min="383" max="383" width="12.33203125" style="107" customWidth="1"/>
    <col min="384" max="384" width="11.21875" style="107" customWidth="1"/>
    <col min="385" max="512" width="8.77734375" style="107"/>
    <col min="513" max="513" width="5.6640625" style="107" customWidth="1"/>
    <col min="514" max="514" width="26.5546875" style="107" customWidth="1"/>
    <col min="515" max="515" width="11.44140625" style="107" customWidth="1"/>
    <col min="516" max="516" width="7.44140625" style="107" customWidth="1"/>
    <col min="517" max="517" width="8.5546875" style="107" customWidth="1"/>
    <col min="518" max="518" width="12.33203125" style="107" customWidth="1"/>
    <col min="519" max="519" width="11.77734375" style="107" customWidth="1"/>
    <col min="520" max="520" width="8.21875" style="107" customWidth="1"/>
    <col min="521" max="521" width="12" style="107" customWidth="1"/>
    <col min="522" max="522" width="8.77734375" style="107" customWidth="1"/>
    <col min="523" max="523" width="11.109375" style="107" customWidth="1"/>
    <col min="524" max="524" width="12.88671875" style="107" customWidth="1"/>
    <col min="525" max="525" width="12.5546875" style="107" customWidth="1"/>
    <col min="526" max="526" width="9.6640625" style="107" customWidth="1"/>
    <col min="527" max="527" width="9.88671875" style="107" customWidth="1"/>
    <col min="528" max="528" width="11.33203125" style="107" customWidth="1"/>
    <col min="529" max="529" width="11.5546875" style="107" customWidth="1"/>
    <col min="530" max="530" width="11.6640625" style="107" customWidth="1"/>
    <col min="531" max="531" width="10.33203125" style="107" customWidth="1"/>
    <col min="532" max="532" width="11.77734375" style="107" customWidth="1"/>
    <col min="533" max="533" width="12.109375" style="107" customWidth="1"/>
    <col min="534" max="534" width="11" style="107" customWidth="1"/>
    <col min="535" max="535" width="12.109375" style="107" customWidth="1"/>
    <col min="536" max="536" width="10.5546875" style="107" customWidth="1"/>
    <col min="537" max="537" width="9.88671875" style="107" customWidth="1"/>
    <col min="538" max="538" width="10.77734375" style="107" customWidth="1"/>
    <col min="539" max="539" width="9.77734375" style="107" customWidth="1"/>
    <col min="540" max="540" width="11.21875" style="107" customWidth="1"/>
    <col min="541" max="541" width="10.33203125" style="107" customWidth="1"/>
    <col min="542" max="542" width="11.88671875" style="107" customWidth="1"/>
    <col min="543" max="543" width="8.77734375" style="107"/>
    <col min="544" max="544" width="13.88671875" style="107" customWidth="1"/>
    <col min="545" max="545" width="10.88671875" style="107" customWidth="1"/>
    <col min="546" max="546" width="11.44140625" style="107" customWidth="1"/>
    <col min="547" max="547" width="11.77734375" style="107" customWidth="1"/>
    <col min="548" max="548" width="11.109375" style="107" customWidth="1"/>
    <col min="549" max="549" width="10.88671875" style="107" customWidth="1"/>
    <col min="550" max="553" width="8.77734375" style="107"/>
    <col min="554" max="554" width="11.44140625" style="107" bestFit="1" customWidth="1"/>
    <col min="555" max="555" width="10.21875" style="107" customWidth="1"/>
    <col min="556" max="556" width="11.5546875" style="107" customWidth="1"/>
    <col min="557" max="557" width="12.109375" style="107" customWidth="1"/>
    <col min="558" max="558" width="13.21875" style="107" customWidth="1"/>
    <col min="559" max="559" width="14.109375" style="107" customWidth="1"/>
    <col min="560" max="560" width="11.77734375" style="107" customWidth="1"/>
    <col min="561" max="561" width="9.6640625" style="107" customWidth="1"/>
    <col min="562" max="565" width="8.77734375" style="107"/>
    <col min="566" max="566" width="28.77734375" style="107" customWidth="1"/>
    <col min="567" max="567" width="11.77734375" style="107" customWidth="1"/>
    <col min="568" max="568" width="10" style="107" customWidth="1"/>
    <col min="569" max="569" width="10.44140625" style="107" customWidth="1"/>
    <col min="570" max="571" width="8.77734375" style="107"/>
    <col min="572" max="572" width="9.33203125" style="107" customWidth="1"/>
    <col min="573" max="573" width="18.44140625" style="107" customWidth="1"/>
    <col min="574" max="574" width="11" style="107" customWidth="1"/>
    <col min="575" max="575" width="9.5546875" style="107" customWidth="1"/>
    <col min="576" max="576" width="10.6640625" style="107" customWidth="1"/>
    <col min="577" max="577" width="9.88671875" style="107" customWidth="1"/>
    <col min="578" max="578" width="11.44140625" style="107" customWidth="1"/>
    <col min="579" max="579" width="9.88671875" style="107" customWidth="1"/>
    <col min="580" max="580" width="10" style="107" customWidth="1"/>
    <col min="581" max="581" width="6.77734375" style="107" customWidth="1"/>
    <col min="582" max="582" width="12.5546875" style="107" customWidth="1"/>
    <col min="583" max="583" width="9.5546875" style="107" customWidth="1"/>
    <col min="584" max="584" width="10.33203125" style="107" customWidth="1"/>
    <col min="585" max="585" width="7.77734375" style="107" customWidth="1"/>
    <col min="586" max="586" width="7.21875" style="107" customWidth="1"/>
    <col min="587" max="587" width="17.6640625" style="107" customWidth="1"/>
    <col min="588" max="588" width="8.77734375" style="107" customWidth="1"/>
    <col min="589" max="589" width="13.109375" style="107" bestFit="1" customWidth="1"/>
    <col min="590" max="590" width="13.77734375" style="107" customWidth="1"/>
    <col min="591" max="592" width="8.77734375" style="107"/>
    <col min="593" max="593" width="9" style="107" bestFit="1" customWidth="1"/>
    <col min="594" max="602" width="8.77734375" style="107"/>
    <col min="603" max="603" width="13.109375" style="107" customWidth="1"/>
    <col min="604" max="604" width="8.77734375" style="107"/>
    <col min="605" max="605" width="9.88671875" style="107" customWidth="1"/>
    <col min="606" max="609" width="8.77734375" style="107"/>
    <col min="610" max="610" width="8.5546875" style="107" customWidth="1"/>
    <col min="611" max="611" width="30.33203125" style="107" customWidth="1"/>
    <col min="612" max="612" width="9" style="107" bestFit="1" customWidth="1"/>
    <col min="613" max="613" width="8.77734375" style="107"/>
    <col min="614" max="614" width="5.88671875" style="107" customWidth="1"/>
    <col min="615" max="615" width="6.88671875" style="107" customWidth="1"/>
    <col min="616" max="616" width="23.88671875" style="107" customWidth="1"/>
    <col min="617" max="623" width="8.77734375" style="107"/>
    <col min="624" max="624" width="9" style="107" bestFit="1" customWidth="1"/>
    <col min="625" max="626" width="8.77734375" style="107"/>
    <col min="627" max="627" width="32.88671875" style="107" customWidth="1"/>
    <col min="628" max="628" width="16.6640625" style="107" customWidth="1"/>
    <col min="629" max="629" width="10.21875" style="107" customWidth="1"/>
    <col min="630" max="630" width="12.44140625" style="107" customWidth="1"/>
    <col min="631" max="631" width="10" style="107" bestFit="1" customWidth="1"/>
    <col min="632" max="632" width="8.77734375" style="107"/>
    <col min="633" max="633" width="9" style="107" bestFit="1" customWidth="1"/>
    <col min="634" max="635" width="8.77734375" style="107"/>
    <col min="636" max="636" width="11.6640625" style="107" customWidth="1"/>
    <col min="637" max="637" width="8.77734375" style="107"/>
    <col min="638" max="638" width="28.77734375" style="107" customWidth="1"/>
    <col min="639" max="639" width="12.33203125" style="107" customWidth="1"/>
    <col min="640" max="640" width="11.21875" style="107" customWidth="1"/>
    <col min="641" max="768" width="8.77734375" style="107"/>
    <col min="769" max="769" width="5.6640625" style="107" customWidth="1"/>
    <col min="770" max="770" width="26.5546875" style="107" customWidth="1"/>
    <col min="771" max="771" width="11.44140625" style="107" customWidth="1"/>
    <col min="772" max="772" width="7.44140625" style="107" customWidth="1"/>
    <col min="773" max="773" width="8.5546875" style="107" customWidth="1"/>
    <col min="774" max="774" width="12.33203125" style="107" customWidth="1"/>
    <col min="775" max="775" width="11.77734375" style="107" customWidth="1"/>
    <col min="776" max="776" width="8.21875" style="107" customWidth="1"/>
    <col min="777" max="777" width="12" style="107" customWidth="1"/>
    <col min="778" max="778" width="8.77734375" style="107" customWidth="1"/>
    <col min="779" max="779" width="11.109375" style="107" customWidth="1"/>
    <col min="780" max="780" width="12.88671875" style="107" customWidth="1"/>
    <col min="781" max="781" width="12.5546875" style="107" customWidth="1"/>
    <col min="782" max="782" width="9.6640625" style="107" customWidth="1"/>
    <col min="783" max="783" width="9.88671875" style="107" customWidth="1"/>
    <col min="784" max="784" width="11.33203125" style="107" customWidth="1"/>
    <col min="785" max="785" width="11.5546875" style="107" customWidth="1"/>
    <col min="786" max="786" width="11.6640625" style="107" customWidth="1"/>
    <col min="787" max="787" width="10.33203125" style="107" customWidth="1"/>
    <col min="788" max="788" width="11.77734375" style="107" customWidth="1"/>
    <col min="789" max="789" width="12.109375" style="107" customWidth="1"/>
    <col min="790" max="790" width="11" style="107" customWidth="1"/>
    <col min="791" max="791" width="12.109375" style="107" customWidth="1"/>
    <col min="792" max="792" width="10.5546875" style="107" customWidth="1"/>
    <col min="793" max="793" width="9.88671875" style="107" customWidth="1"/>
    <col min="794" max="794" width="10.77734375" style="107" customWidth="1"/>
    <col min="795" max="795" width="9.77734375" style="107" customWidth="1"/>
    <col min="796" max="796" width="11.21875" style="107" customWidth="1"/>
    <col min="797" max="797" width="10.33203125" style="107" customWidth="1"/>
    <col min="798" max="798" width="11.88671875" style="107" customWidth="1"/>
    <col min="799" max="799" width="8.77734375" style="107"/>
    <col min="800" max="800" width="13.88671875" style="107" customWidth="1"/>
    <col min="801" max="801" width="10.88671875" style="107" customWidth="1"/>
    <col min="802" max="802" width="11.44140625" style="107" customWidth="1"/>
    <col min="803" max="803" width="11.77734375" style="107" customWidth="1"/>
    <col min="804" max="804" width="11.109375" style="107" customWidth="1"/>
    <col min="805" max="805" width="10.88671875" style="107" customWidth="1"/>
    <col min="806" max="809" width="8.77734375" style="107"/>
    <col min="810" max="810" width="11.44140625" style="107" bestFit="1" customWidth="1"/>
    <col min="811" max="811" width="10.21875" style="107" customWidth="1"/>
    <col min="812" max="812" width="11.5546875" style="107" customWidth="1"/>
    <col min="813" max="813" width="12.109375" style="107" customWidth="1"/>
    <col min="814" max="814" width="13.21875" style="107" customWidth="1"/>
    <col min="815" max="815" width="14.109375" style="107" customWidth="1"/>
    <col min="816" max="816" width="11.77734375" style="107" customWidth="1"/>
    <col min="817" max="817" width="9.6640625" style="107" customWidth="1"/>
    <col min="818" max="821" width="8.77734375" style="107"/>
    <col min="822" max="822" width="28.77734375" style="107" customWidth="1"/>
    <col min="823" max="823" width="11.77734375" style="107" customWidth="1"/>
    <col min="824" max="824" width="10" style="107" customWidth="1"/>
    <col min="825" max="825" width="10.44140625" style="107" customWidth="1"/>
    <col min="826" max="827" width="8.77734375" style="107"/>
    <col min="828" max="828" width="9.33203125" style="107" customWidth="1"/>
    <col min="829" max="829" width="18.44140625" style="107" customWidth="1"/>
    <col min="830" max="830" width="11" style="107" customWidth="1"/>
    <col min="831" max="831" width="9.5546875" style="107" customWidth="1"/>
    <col min="832" max="832" width="10.6640625" style="107" customWidth="1"/>
    <col min="833" max="833" width="9.88671875" style="107" customWidth="1"/>
    <col min="834" max="834" width="11.44140625" style="107" customWidth="1"/>
    <col min="835" max="835" width="9.88671875" style="107" customWidth="1"/>
    <col min="836" max="836" width="10" style="107" customWidth="1"/>
    <col min="837" max="837" width="6.77734375" style="107" customWidth="1"/>
    <col min="838" max="838" width="12.5546875" style="107" customWidth="1"/>
    <col min="839" max="839" width="9.5546875" style="107" customWidth="1"/>
    <col min="840" max="840" width="10.33203125" style="107" customWidth="1"/>
    <col min="841" max="841" width="7.77734375" style="107" customWidth="1"/>
    <col min="842" max="842" width="7.21875" style="107" customWidth="1"/>
    <col min="843" max="843" width="17.6640625" style="107" customWidth="1"/>
    <col min="844" max="844" width="8.77734375" style="107" customWidth="1"/>
    <col min="845" max="845" width="13.109375" style="107" bestFit="1" customWidth="1"/>
    <col min="846" max="846" width="13.77734375" style="107" customWidth="1"/>
    <col min="847" max="848" width="8.77734375" style="107"/>
    <col min="849" max="849" width="9" style="107" bestFit="1" customWidth="1"/>
    <col min="850" max="858" width="8.77734375" style="107"/>
    <col min="859" max="859" width="13.109375" style="107" customWidth="1"/>
    <col min="860" max="860" width="8.77734375" style="107"/>
    <col min="861" max="861" width="9.88671875" style="107" customWidth="1"/>
    <col min="862" max="865" width="8.77734375" style="107"/>
    <col min="866" max="866" width="8.5546875" style="107" customWidth="1"/>
    <col min="867" max="867" width="30.33203125" style="107" customWidth="1"/>
    <col min="868" max="868" width="9" style="107" bestFit="1" customWidth="1"/>
    <col min="869" max="869" width="8.77734375" style="107"/>
    <col min="870" max="870" width="5.88671875" style="107" customWidth="1"/>
    <col min="871" max="871" width="6.88671875" style="107" customWidth="1"/>
    <col min="872" max="872" width="23.88671875" style="107" customWidth="1"/>
    <col min="873" max="879" width="8.77734375" style="107"/>
    <col min="880" max="880" width="9" style="107" bestFit="1" customWidth="1"/>
    <col min="881" max="882" width="8.77734375" style="107"/>
    <col min="883" max="883" width="32.88671875" style="107" customWidth="1"/>
    <col min="884" max="884" width="16.6640625" style="107" customWidth="1"/>
    <col min="885" max="885" width="10.21875" style="107" customWidth="1"/>
    <col min="886" max="886" width="12.44140625" style="107" customWidth="1"/>
    <col min="887" max="887" width="10" style="107" bestFit="1" customWidth="1"/>
    <col min="888" max="888" width="8.77734375" style="107"/>
    <col min="889" max="889" width="9" style="107" bestFit="1" customWidth="1"/>
    <col min="890" max="891" width="8.77734375" style="107"/>
    <col min="892" max="892" width="11.6640625" style="107" customWidth="1"/>
    <col min="893" max="893" width="8.77734375" style="107"/>
    <col min="894" max="894" width="28.77734375" style="107" customWidth="1"/>
    <col min="895" max="895" width="12.33203125" style="107" customWidth="1"/>
    <col min="896" max="896" width="11.21875" style="107" customWidth="1"/>
    <col min="897" max="1024" width="8.77734375" style="107"/>
    <col min="1025" max="1025" width="5.6640625" style="107" customWidth="1"/>
    <col min="1026" max="1026" width="26.5546875" style="107" customWidth="1"/>
    <col min="1027" max="1027" width="11.44140625" style="107" customWidth="1"/>
    <col min="1028" max="1028" width="7.44140625" style="107" customWidth="1"/>
    <col min="1029" max="1029" width="8.5546875" style="107" customWidth="1"/>
    <col min="1030" max="1030" width="12.33203125" style="107" customWidth="1"/>
    <col min="1031" max="1031" width="11.77734375" style="107" customWidth="1"/>
    <col min="1032" max="1032" width="8.21875" style="107" customWidth="1"/>
    <col min="1033" max="1033" width="12" style="107" customWidth="1"/>
    <col min="1034" max="1034" width="8.77734375" style="107" customWidth="1"/>
    <col min="1035" max="1035" width="11.109375" style="107" customWidth="1"/>
    <col min="1036" max="1036" width="12.88671875" style="107" customWidth="1"/>
    <col min="1037" max="1037" width="12.5546875" style="107" customWidth="1"/>
    <col min="1038" max="1038" width="9.6640625" style="107" customWidth="1"/>
    <col min="1039" max="1039" width="9.88671875" style="107" customWidth="1"/>
    <col min="1040" max="1040" width="11.33203125" style="107" customWidth="1"/>
    <col min="1041" max="1041" width="11.5546875" style="107" customWidth="1"/>
    <col min="1042" max="1042" width="11.6640625" style="107" customWidth="1"/>
    <col min="1043" max="1043" width="10.33203125" style="107" customWidth="1"/>
    <col min="1044" max="1044" width="11.77734375" style="107" customWidth="1"/>
    <col min="1045" max="1045" width="12.109375" style="107" customWidth="1"/>
    <col min="1046" max="1046" width="11" style="107" customWidth="1"/>
    <col min="1047" max="1047" width="12.109375" style="107" customWidth="1"/>
    <col min="1048" max="1048" width="10.5546875" style="107" customWidth="1"/>
    <col min="1049" max="1049" width="9.88671875" style="107" customWidth="1"/>
    <col min="1050" max="1050" width="10.77734375" style="107" customWidth="1"/>
    <col min="1051" max="1051" width="9.77734375" style="107" customWidth="1"/>
    <col min="1052" max="1052" width="11.21875" style="107" customWidth="1"/>
    <col min="1053" max="1053" width="10.33203125" style="107" customWidth="1"/>
    <col min="1054" max="1054" width="11.88671875" style="107" customWidth="1"/>
    <col min="1055" max="1055" width="8.77734375" style="107"/>
    <col min="1056" max="1056" width="13.88671875" style="107" customWidth="1"/>
    <col min="1057" max="1057" width="10.88671875" style="107" customWidth="1"/>
    <col min="1058" max="1058" width="11.44140625" style="107" customWidth="1"/>
    <col min="1059" max="1059" width="11.77734375" style="107" customWidth="1"/>
    <col min="1060" max="1060" width="11.109375" style="107" customWidth="1"/>
    <col min="1061" max="1061" width="10.88671875" style="107" customWidth="1"/>
    <col min="1062" max="1065" width="8.77734375" style="107"/>
    <col min="1066" max="1066" width="11.44140625" style="107" bestFit="1" customWidth="1"/>
    <col min="1067" max="1067" width="10.21875" style="107" customWidth="1"/>
    <col min="1068" max="1068" width="11.5546875" style="107" customWidth="1"/>
    <col min="1069" max="1069" width="12.109375" style="107" customWidth="1"/>
    <col min="1070" max="1070" width="13.21875" style="107" customWidth="1"/>
    <col min="1071" max="1071" width="14.109375" style="107" customWidth="1"/>
    <col min="1072" max="1072" width="11.77734375" style="107" customWidth="1"/>
    <col min="1073" max="1073" width="9.6640625" style="107" customWidth="1"/>
    <col min="1074" max="1077" width="8.77734375" style="107"/>
    <col min="1078" max="1078" width="28.77734375" style="107" customWidth="1"/>
    <col min="1079" max="1079" width="11.77734375" style="107" customWidth="1"/>
    <col min="1080" max="1080" width="10" style="107" customWidth="1"/>
    <col min="1081" max="1081" width="10.44140625" style="107" customWidth="1"/>
    <col min="1082" max="1083" width="8.77734375" style="107"/>
    <col min="1084" max="1084" width="9.33203125" style="107" customWidth="1"/>
    <col min="1085" max="1085" width="18.44140625" style="107" customWidth="1"/>
    <col min="1086" max="1086" width="11" style="107" customWidth="1"/>
    <col min="1087" max="1087" width="9.5546875" style="107" customWidth="1"/>
    <col min="1088" max="1088" width="10.6640625" style="107" customWidth="1"/>
    <col min="1089" max="1089" width="9.88671875" style="107" customWidth="1"/>
    <col min="1090" max="1090" width="11.44140625" style="107" customWidth="1"/>
    <col min="1091" max="1091" width="9.88671875" style="107" customWidth="1"/>
    <col min="1092" max="1092" width="10" style="107" customWidth="1"/>
    <col min="1093" max="1093" width="6.77734375" style="107" customWidth="1"/>
    <col min="1094" max="1094" width="12.5546875" style="107" customWidth="1"/>
    <col min="1095" max="1095" width="9.5546875" style="107" customWidth="1"/>
    <col min="1096" max="1096" width="10.33203125" style="107" customWidth="1"/>
    <col min="1097" max="1097" width="7.77734375" style="107" customWidth="1"/>
    <col min="1098" max="1098" width="7.21875" style="107" customWidth="1"/>
    <col min="1099" max="1099" width="17.6640625" style="107" customWidth="1"/>
    <col min="1100" max="1100" width="8.77734375" style="107" customWidth="1"/>
    <col min="1101" max="1101" width="13.109375" style="107" bestFit="1" customWidth="1"/>
    <col min="1102" max="1102" width="13.77734375" style="107" customWidth="1"/>
    <col min="1103" max="1104" width="8.77734375" style="107"/>
    <col min="1105" max="1105" width="9" style="107" bestFit="1" customWidth="1"/>
    <col min="1106" max="1114" width="8.77734375" style="107"/>
    <col min="1115" max="1115" width="13.109375" style="107" customWidth="1"/>
    <col min="1116" max="1116" width="8.77734375" style="107"/>
    <col min="1117" max="1117" width="9.88671875" style="107" customWidth="1"/>
    <col min="1118" max="1121" width="8.77734375" style="107"/>
    <col min="1122" max="1122" width="8.5546875" style="107" customWidth="1"/>
    <col min="1123" max="1123" width="30.33203125" style="107" customWidth="1"/>
    <col min="1124" max="1124" width="9" style="107" bestFit="1" customWidth="1"/>
    <col min="1125" max="1125" width="8.77734375" style="107"/>
    <col min="1126" max="1126" width="5.88671875" style="107" customWidth="1"/>
    <col min="1127" max="1127" width="6.88671875" style="107" customWidth="1"/>
    <col min="1128" max="1128" width="23.88671875" style="107" customWidth="1"/>
    <col min="1129" max="1135" width="8.77734375" style="107"/>
    <col min="1136" max="1136" width="9" style="107" bestFit="1" customWidth="1"/>
    <col min="1137" max="1138" width="8.77734375" style="107"/>
    <col min="1139" max="1139" width="32.88671875" style="107" customWidth="1"/>
    <col min="1140" max="1140" width="16.6640625" style="107" customWidth="1"/>
    <col min="1141" max="1141" width="10.21875" style="107" customWidth="1"/>
    <col min="1142" max="1142" width="12.44140625" style="107" customWidth="1"/>
    <col min="1143" max="1143" width="10" style="107" bestFit="1" customWidth="1"/>
    <col min="1144" max="1144" width="8.77734375" style="107"/>
    <col min="1145" max="1145" width="9" style="107" bestFit="1" customWidth="1"/>
    <col min="1146" max="1147" width="8.77734375" style="107"/>
    <col min="1148" max="1148" width="11.6640625" style="107" customWidth="1"/>
    <col min="1149" max="1149" width="8.77734375" style="107"/>
    <col min="1150" max="1150" width="28.77734375" style="107" customWidth="1"/>
    <col min="1151" max="1151" width="12.33203125" style="107" customWidth="1"/>
    <col min="1152" max="1152" width="11.21875" style="107" customWidth="1"/>
    <col min="1153" max="1280" width="8.77734375" style="107"/>
    <col min="1281" max="1281" width="5.6640625" style="107" customWidth="1"/>
    <col min="1282" max="1282" width="26.5546875" style="107" customWidth="1"/>
    <col min="1283" max="1283" width="11.44140625" style="107" customWidth="1"/>
    <col min="1284" max="1284" width="7.44140625" style="107" customWidth="1"/>
    <col min="1285" max="1285" width="8.5546875" style="107" customWidth="1"/>
    <col min="1286" max="1286" width="12.33203125" style="107" customWidth="1"/>
    <col min="1287" max="1287" width="11.77734375" style="107" customWidth="1"/>
    <col min="1288" max="1288" width="8.21875" style="107" customWidth="1"/>
    <col min="1289" max="1289" width="12" style="107" customWidth="1"/>
    <col min="1290" max="1290" width="8.77734375" style="107" customWidth="1"/>
    <col min="1291" max="1291" width="11.109375" style="107" customWidth="1"/>
    <col min="1292" max="1292" width="12.88671875" style="107" customWidth="1"/>
    <col min="1293" max="1293" width="12.5546875" style="107" customWidth="1"/>
    <col min="1294" max="1294" width="9.6640625" style="107" customWidth="1"/>
    <col min="1295" max="1295" width="9.88671875" style="107" customWidth="1"/>
    <col min="1296" max="1296" width="11.33203125" style="107" customWidth="1"/>
    <col min="1297" max="1297" width="11.5546875" style="107" customWidth="1"/>
    <col min="1298" max="1298" width="11.6640625" style="107" customWidth="1"/>
    <col min="1299" max="1299" width="10.33203125" style="107" customWidth="1"/>
    <col min="1300" max="1300" width="11.77734375" style="107" customWidth="1"/>
    <col min="1301" max="1301" width="12.109375" style="107" customWidth="1"/>
    <col min="1302" max="1302" width="11" style="107" customWidth="1"/>
    <col min="1303" max="1303" width="12.109375" style="107" customWidth="1"/>
    <col min="1304" max="1304" width="10.5546875" style="107" customWidth="1"/>
    <col min="1305" max="1305" width="9.88671875" style="107" customWidth="1"/>
    <col min="1306" max="1306" width="10.77734375" style="107" customWidth="1"/>
    <col min="1307" max="1307" width="9.77734375" style="107" customWidth="1"/>
    <col min="1308" max="1308" width="11.21875" style="107" customWidth="1"/>
    <col min="1309" max="1309" width="10.33203125" style="107" customWidth="1"/>
    <col min="1310" max="1310" width="11.88671875" style="107" customWidth="1"/>
    <col min="1311" max="1311" width="8.77734375" style="107"/>
    <col min="1312" max="1312" width="13.88671875" style="107" customWidth="1"/>
    <col min="1313" max="1313" width="10.88671875" style="107" customWidth="1"/>
    <col min="1314" max="1314" width="11.44140625" style="107" customWidth="1"/>
    <col min="1315" max="1315" width="11.77734375" style="107" customWidth="1"/>
    <col min="1316" max="1316" width="11.109375" style="107" customWidth="1"/>
    <col min="1317" max="1317" width="10.88671875" style="107" customWidth="1"/>
    <col min="1318" max="1321" width="8.77734375" style="107"/>
    <col min="1322" max="1322" width="11.44140625" style="107" bestFit="1" customWidth="1"/>
    <col min="1323" max="1323" width="10.21875" style="107" customWidth="1"/>
    <col min="1324" max="1324" width="11.5546875" style="107" customWidth="1"/>
    <col min="1325" max="1325" width="12.109375" style="107" customWidth="1"/>
    <col min="1326" max="1326" width="13.21875" style="107" customWidth="1"/>
    <col min="1327" max="1327" width="14.109375" style="107" customWidth="1"/>
    <col min="1328" max="1328" width="11.77734375" style="107" customWidth="1"/>
    <col min="1329" max="1329" width="9.6640625" style="107" customWidth="1"/>
    <col min="1330" max="1333" width="8.77734375" style="107"/>
    <col min="1334" max="1334" width="28.77734375" style="107" customWidth="1"/>
    <col min="1335" max="1335" width="11.77734375" style="107" customWidth="1"/>
    <col min="1336" max="1336" width="10" style="107" customWidth="1"/>
    <col min="1337" max="1337" width="10.44140625" style="107" customWidth="1"/>
    <col min="1338" max="1339" width="8.77734375" style="107"/>
    <col min="1340" max="1340" width="9.33203125" style="107" customWidth="1"/>
    <col min="1341" max="1341" width="18.44140625" style="107" customWidth="1"/>
    <col min="1342" max="1342" width="11" style="107" customWidth="1"/>
    <col min="1343" max="1343" width="9.5546875" style="107" customWidth="1"/>
    <col min="1344" max="1344" width="10.6640625" style="107" customWidth="1"/>
    <col min="1345" max="1345" width="9.88671875" style="107" customWidth="1"/>
    <col min="1346" max="1346" width="11.44140625" style="107" customWidth="1"/>
    <col min="1347" max="1347" width="9.88671875" style="107" customWidth="1"/>
    <col min="1348" max="1348" width="10" style="107" customWidth="1"/>
    <col min="1349" max="1349" width="6.77734375" style="107" customWidth="1"/>
    <col min="1350" max="1350" width="12.5546875" style="107" customWidth="1"/>
    <col min="1351" max="1351" width="9.5546875" style="107" customWidth="1"/>
    <col min="1352" max="1352" width="10.33203125" style="107" customWidth="1"/>
    <col min="1353" max="1353" width="7.77734375" style="107" customWidth="1"/>
    <col min="1354" max="1354" width="7.21875" style="107" customWidth="1"/>
    <col min="1355" max="1355" width="17.6640625" style="107" customWidth="1"/>
    <col min="1356" max="1356" width="8.77734375" style="107" customWidth="1"/>
    <col min="1357" max="1357" width="13.109375" style="107" bestFit="1" customWidth="1"/>
    <col min="1358" max="1358" width="13.77734375" style="107" customWidth="1"/>
    <col min="1359" max="1360" width="8.77734375" style="107"/>
    <col min="1361" max="1361" width="9" style="107" bestFit="1" customWidth="1"/>
    <col min="1362" max="1370" width="8.77734375" style="107"/>
    <col min="1371" max="1371" width="13.109375" style="107" customWidth="1"/>
    <col min="1372" max="1372" width="8.77734375" style="107"/>
    <col min="1373" max="1373" width="9.88671875" style="107" customWidth="1"/>
    <col min="1374" max="1377" width="8.77734375" style="107"/>
    <col min="1378" max="1378" width="8.5546875" style="107" customWidth="1"/>
    <col min="1379" max="1379" width="30.33203125" style="107" customWidth="1"/>
    <col min="1380" max="1380" width="9" style="107" bestFit="1" customWidth="1"/>
    <col min="1381" max="1381" width="8.77734375" style="107"/>
    <col min="1382" max="1382" width="5.88671875" style="107" customWidth="1"/>
    <col min="1383" max="1383" width="6.88671875" style="107" customWidth="1"/>
    <col min="1384" max="1384" width="23.88671875" style="107" customWidth="1"/>
    <col min="1385" max="1391" width="8.77734375" style="107"/>
    <col min="1392" max="1392" width="9" style="107" bestFit="1" customWidth="1"/>
    <col min="1393" max="1394" width="8.77734375" style="107"/>
    <col min="1395" max="1395" width="32.88671875" style="107" customWidth="1"/>
    <col min="1396" max="1396" width="16.6640625" style="107" customWidth="1"/>
    <col min="1397" max="1397" width="10.21875" style="107" customWidth="1"/>
    <col min="1398" max="1398" width="12.44140625" style="107" customWidth="1"/>
    <col min="1399" max="1399" width="10" style="107" bestFit="1" customWidth="1"/>
    <col min="1400" max="1400" width="8.77734375" style="107"/>
    <col min="1401" max="1401" width="9" style="107" bestFit="1" customWidth="1"/>
    <col min="1402" max="1403" width="8.77734375" style="107"/>
    <col min="1404" max="1404" width="11.6640625" style="107" customWidth="1"/>
    <col min="1405" max="1405" width="8.77734375" style="107"/>
    <col min="1406" max="1406" width="28.77734375" style="107" customWidth="1"/>
    <col min="1407" max="1407" width="12.33203125" style="107" customWidth="1"/>
    <col min="1408" max="1408" width="11.21875" style="107" customWidth="1"/>
    <col min="1409" max="1536" width="8.77734375" style="107"/>
    <col min="1537" max="1537" width="5.6640625" style="107" customWidth="1"/>
    <col min="1538" max="1538" width="26.5546875" style="107" customWidth="1"/>
    <col min="1539" max="1539" width="11.44140625" style="107" customWidth="1"/>
    <col min="1540" max="1540" width="7.44140625" style="107" customWidth="1"/>
    <col min="1541" max="1541" width="8.5546875" style="107" customWidth="1"/>
    <col min="1542" max="1542" width="12.33203125" style="107" customWidth="1"/>
    <col min="1543" max="1543" width="11.77734375" style="107" customWidth="1"/>
    <col min="1544" max="1544" width="8.21875" style="107" customWidth="1"/>
    <col min="1545" max="1545" width="12" style="107" customWidth="1"/>
    <col min="1546" max="1546" width="8.77734375" style="107" customWidth="1"/>
    <col min="1547" max="1547" width="11.109375" style="107" customWidth="1"/>
    <col min="1548" max="1548" width="12.88671875" style="107" customWidth="1"/>
    <col min="1549" max="1549" width="12.5546875" style="107" customWidth="1"/>
    <col min="1550" max="1550" width="9.6640625" style="107" customWidth="1"/>
    <col min="1551" max="1551" width="9.88671875" style="107" customWidth="1"/>
    <col min="1552" max="1552" width="11.33203125" style="107" customWidth="1"/>
    <col min="1553" max="1553" width="11.5546875" style="107" customWidth="1"/>
    <col min="1554" max="1554" width="11.6640625" style="107" customWidth="1"/>
    <col min="1555" max="1555" width="10.33203125" style="107" customWidth="1"/>
    <col min="1556" max="1556" width="11.77734375" style="107" customWidth="1"/>
    <col min="1557" max="1557" width="12.109375" style="107" customWidth="1"/>
    <col min="1558" max="1558" width="11" style="107" customWidth="1"/>
    <col min="1559" max="1559" width="12.109375" style="107" customWidth="1"/>
    <col min="1560" max="1560" width="10.5546875" style="107" customWidth="1"/>
    <col min="1561" max="1561" width="9.88671875" style="107" customWidth="1"/>
    <col min="1562" max="1562" width="10.77734375" style="107" customWidth="1"/>
    <col min="1563" max="1563" width="9.77734375" style="107" customWidth="1"/>
    <col min="1564" max="1564" width="11.21875" style="107" customWidth="1"/>
    <col min="1565" max="1565" width="10.33203125" style="107" customWidth="1"/>
    <col min="1566" max="1566" width="11.88671875" style="107" customWidth="1"/>
    <col min="1567" max="1567" width="8.77734375" style="107"/>
    <col min="1568" max="1568" width="13.88671875" style="107" customWidth="1"/>
    <col min="1569" max="1569" width="10.88671875" style="107" customWidth="1"/>
    <col min="1570" max="1570" width="11.44140625" style="107" customWidth="1"/>
    <col min="1571" max="1571" width="11.77734375" style="107" customWidth="1"/>
    <col min="1572" max="1572" width="11.109375" style="107" customWidth="1"/>
    <col min="1573" max="1573" width="10.88671875" style="107" customWidth="1"/>
    <col min="1574" max="1577" width="8.77734375" style="107"/>
    <col min="1578" max="1578" width="11.44140625" style="107" bestFit="1" customWidth="1"/>
    <col min="1579" max="1579" width="10.21875" style="107" customWidth="1"/>
    <col min="1580" max="1580" width="11.5546875" style="107" customWidth="1"/>
    <col min="1581" max="1581" width="12.109375" style="107" customWidth="1"/>
    <col min="1582" max="1582" width="13.21875" style="107" customWidth="1"/>
    <col min="1583" max="1583" width="14.109375" style="107" customWidth="1"/>
    <col min="1584" max="1584" width="11.77734375" style="107" customWidth="1"/>
    <col min="1585" max="1585" width="9.6640625" style="107" customWidth="1"/>
    <col min="1586" max="1589" width="8.77734375" style="107"/>
    <col min="1590" max="1590" width="28.77734375" style="107" customWidth="1"/>
    <col min="1591" max="1591" width="11.77734375" style="107" customWidth="1"/>
    <col min="1592" max="1592" width="10" style="107" customWidth="1"/>
    <col min="1593" max="1593" width="10.44140625" style="107" customWidth="1"/>
    <col min="1594" max="1595" width="8.77734375" style="107"/>
    <col min="1596" max="1596" width="9.33203125" style="107" customWidth="1"/>
    <col min="1597" max="1597" width="18.44140625" style="107" customWidth="1"/>
    <col min="1598" max="1598" width="11" style="107" customWidth="1"/>
    <col min="1599" max="1599" width="9.5546875" style="107" customWidth="1"/>
    <col min="1600" max="1600" width="10.6640625" style="107" customWidth="1"/>
    <col min="1601" max="1601" width="9.88671875" style="107" customWidth="1"/>
    <col min="1602" max="1602" width="11.44140625" style="107" customWidth="1"/>
    <col min="1603" max="1603" width="9.88671875" style="107" customWidth="1"/>
    <col min="1604" max="1604" width="10" style="107" customWidth="1"/>
    <col min="1605" max="1605" width="6.77734375" style="107" customWidth="1"/>
    <col min="1606" max="1606" width="12.5546875" style="107" customWidth="1"/>
    <col min="1607" max="1607" width="9.5546875" style="107" customWidth="1"/>
    <col min="1608" max="1608" width="10.33203125" style="107" customWidth="1"/>
    <col min="1609" max="1609" width="7.77734375" style="107" customWidth="1"/>
    <col min="1610" max="1610" width="7.21875" style="107" customWidth="1"/>
    <col min="1611" max="1611" width="17.6640625" style="107" customWidth="1"/>
    <col min="1612" max="1612" width="8.77734375" style="107" customWidth="1"/>
    <col min="1613" max="1613" width="13.109375" style="107" bestFit="1" customWidth="1"/>
    <col min="1614" max="1614" width="13.77734375" style="107" customWidth="1"/>
    <col min="1615" max="1616" width="8.77734375" style="107"/>
    <col min="1617" max="1617" width="9" style="107" bestFit="1" customWidth="1"/>
    <col min="1618" max="1626" width="8.77734375" style="107"/>
    <col min="1627" max="1627" width="13.109375" style="107" customWidth="1"/>
    <col min="1628" max="1628" width="8.77734375" style="107"/>
    <col min="1629" max="1629" width="9.88671875" style="107" customWidth="1"/>
    <col min="1630" max="1633" width="8.77734375" style="107"/>
    <col min="1634" max="1634" width="8.5546875" style="107" customWidth="1"/>
    <col min="1635" max="1635" width="30.33203125" style="107" customWidth="1"/>
    <col min="1636" max="1636" width="9" style="107" bestFit="1" customWidth="1"/>
    <col min="1637" max="1637" width="8.77734375" style="107"/>
    <col min="1638" max="1638" width="5.88671875" style="107" customWidth="1"/>
    <col min="1639" max="1639" width="6.88671875" style="107" customWidth="1"/>
    <col min="1640" max="1640" width="23.88671875" style="107" customWidth="1"/>
    <col min="1641" max="1647" width="8.77734375" style="107"/>
    <col min="1648" max="1648" width="9" style="107" bestFit="1" customWidth="1"/>
    <col min="1649" max="1650" width="8.77734375" style="107"/>
    <col min="1651" max="1651" width="32.88671875" style="107" customWidth="1"/>
    <col min="1652" max="1652" width="16.6640625" style="107" customWidth="1"/>
    <col min="1653" max="1653" width="10.21875" style="107" customWidth="1"/>
    <col min="1654" max="1654" width="12.44140625" style="107" customWidth="1"/>
    <col min="1655" max="1655" width="10" style="107" bestFit="1" customWidth="1"/>
    <col min="1656" max="1656" width="8.77734375" style="107"/>
    <col min="1657" max="1657" width="9" style="107" bestFit="1" customWidth="1"/>
    <col min="1658" max="1659" width="8.77734375" style="107"/>
    <col min="1660" max="1660" width="11.6640625" style="107" customWidth="1"/>
    <col min="1661" max="1661" width="8.77734375" style="107"/>
    <col min="1662" max="1662" width="28.77734375" style="107" customWidth="1"/>
    <col min="1663" max="1663" width="12.33203125" style="107" customWidth="1"/>
    <col min="1664" max="1664" width="11.21875" style="107" customWidth="1"/>
    <col min="1665" max="1792" width="8.77734375" style="107"/>
    <col min="1793" max="1793" width="5.6640625" style="107" customWidth="1"/>
    <col min="1794" max="1794" width="26.5546875" style="107" customWidth="1"/>
    <col min="1795" max="1795" width="11.44140625" style="107" customWidth="1"/>
    <col min="1796" max="1796" width="7.44140625" style="107" customWidth="1"/>
    <col min="1797" max="1797" width="8.5546875" style="107" customWidth="1"/>
    <col min="1798" max="1798" width="12.33203125" style="107" customWidth="1"/>
    <col min="1799" max="1799" width="11.77734375" style="107" customWidth="1"/>
    <col min="1800" max="1800" width="8.21875" style="107" customWidth="1"/>
    <col min="1801" max="1801" width="12" style="107" customWidth="1"/>
    <col min="1802" max="1802" width="8.77734375" style="107" customWidth="1"/>
    <col min="1803" max="1803" width="11.109375" style="107" customWidth="1"/>
    <col min="1804" max="1804" width="12.88671875" style="107" customWidth="1"/>
    <col min="1805" max="1805" width="12.5546875" style="107" customWidth="1"/>
    <col min="1806" max="1806" width="9.6640625" style="107" customWidth="1"/>
    <col min="1807" max="1807" width="9.88671875" style="107" customWidth="1"/>
    <col min="1808" max="1808" width="11.33203125" style="107" customWidth="1"/>
    <col min="1809" max="1809" width="11.5546875" style="107" customWidth="1"/>
    <col min="1810" max="1810" width="11.6640625" style="107" customWidth="1"/>
    <col min="1811" max="1811" width="10.33203125" style="107" customWidth="1"/>
    <col min="1812" max="1812" width="11.77734375" style="107" customWidth="1"/>
    <col min="1813" max="1813" width="12.109375" style="107" customWidth="1"/>
    <col min="1814" max="1814" width="11" style="107" customWidth="1"/>
    <col min="1815" max="1815" width="12.109375" style="107" customWidth="1"/>
    <col min="1816" max="1816" width="10.5546875" style="107" customWidth="1"/>
    <col min="1817" max="1817" width="9.88671875" style="107" customWidth="1"/>
    <col min="1818" max="1818" width="10.77734375" style="107" customWidth="1"/>
    <col min="1819" max="1819" width="9.77734375" style="107" customWidth="1"/>
    <col min="1820" max="1820" width="11.21875" style="107" customWidth="1"/>
    <col min="1821" max="1821" width="10.33203125" style="107" customWidth="1"/>
    <col min="1822" max="1822" width="11.88671875" style="107" customWidth="1"/>
    <col min="1823" max="1823" width="8.77734375" style="107"/>
    <col min="1824" max="1824" width="13.88671875" style="107" customWidth="1"/>
    <col min="1825" max="1825" width="10.88671875" style="107" customWidth="1"/>
    <col min="1826" max="1826" width="11.44140625" style="107" customWidth="1"/>
    <col min="1827" max="1827" width="11.77734375" style="107" customWidth="1"/>
    <col min="1828" max="1828" width="11.109375" style="107" customWidth="1"/>
    <col min="1829" max="1829" width="10.88671875" style="107" customWidth="1"/>
    <col min="1830" max="1833" width="8.77734375" style="107"/>
    <col min="1834" max="1834" width="11.44140625" style="107" bestFit="1" customWidth="1"/>
    <col min="1835" max="1835" width="10.21875" style="107" customWidth="1"/>
    <col min="1836" max="1836" width="11.5546875" style="107" customWidth="1"/>
    <col min="1837" max="1837" width="12.109375" style="107" customWidth="1"/>
    <col min="1838" max="1838" width="13.21875" style="107" customWidth="1"/>
    <col min="1839" max="1839" width="14.109375" style="107" customWidth="1"/>
    <col min="1840" max="1840" width="11.77734375" style="107" customWidth="1"/>
    <col min="1841" max="1841" width="9.6640625" style="107" customWidth="1"/>
    <col min="1842" max="1845" width="8.77734375" style="107"/>
    <col min="1846" max="1846" width="28.77734375" style="107" customWidth="1"/>
    <col min="1847" max="1847" width="11.77734375" style="107" customWidth="1"/>
    <col min="1848" max="1848" width="10" style="107" customWidth="1"/>
    <col min="1849" max="1849" width="10.44140625" style="107" customWidth="1"/>
    <col min="1850" max="1851" width="8.77734375" style="107"/>
    <col min="1852" max="1852" width="9.33203125" style="107" customWidth="1"/>
    <col min="1853" max="1853" width="18.44140625" style="107" customWidth="1"/>
    <col min="1854" max="1854" width="11" style="107" customWidth="1"/>
    <col min="1855" max="1855" width="9.5546875" style="107" customWidth="1"/>
    <col min="1856" max="1856" width="10.6640625" style="107" customWidth="1"/>
    <col min="1857" max="1857" width="9.88671875" style="107" customWidth="1"/>
    <col min="1858" max="1858" width="11.44140625" style="107" customWidth="1"/>
    <col min="1859" max="1859" width="9.88671875" style="107" customWidth="1"/>
    <col min="1860" max="1860" width="10" style="107" customWidth="1"/>
    <col min="1861" max="1861" width="6.77734375" style="107" customWidth="1"/>
    <col min="1862" max="1862" width="12.5546875" style="107" customWidth="1"/>
    <col min="1863" max="1863" width="9.5546875" style="107" customWidth="1"/>
    <col min="1864" max="1864" width="10.33203125" style="107" customWidth="1"/>
    <col min="1865" max="1865" width="7.77734375" style="107" customWidth="1"/>
    <col min="1866" max="1866" width="7.21875" style="107" customWidth="1"/>
    <col min="1867" max="1867" width="17.6640625" style="107" customWidth="1"/>
    <col min="1868" max="1868" width="8.77734375" style="107" customWidth="1"/>
    <col min="1869" max="1869" width="13.109375" style="107" bestFit="1" customWidth="1"/>
    <col min="1870" max="1870" width="13.77734375" style="107" customWidth="1"/>
    <col min="1871" max="1872" width="8.77734375" style="107"/>
    <col min="1873" max="1873" width="9" style="107" bestFit="1" customWidth="1"/>
    <col min="1874" max="1882" width="8.77734375" style="107"/>
    <col min="1883" max="1883" width="13.109375" style="107" customWidth="1"/>
    <col min="1884" max="1884" width="8.77734375" style="107"/>
    <col min="1885" max="1885" width="9.88671875" style="107" customWidth="1"/>
    <col min="1886" max="1889" width="8.77734375" style="107"/>
    <col min="1890" max="1890" width="8.5546875" style="107" customWidth="1"/>
    <col min="1891" max="1891" width="30.33203125" style="107" customWidth="1"/>
    <col min="1892" max="1892" width="9" style="107" bestFit="1" customWidth="1"/>
    <col min="1893" max="1893" width="8.77734375" style="107"/>
    <col min="1894" max="1894" width="5.88671875" style="107" customWidth="1"/>
    <col min="1895" max="1895" width="6.88671875" style="107" customWidth="1"/>
    <col min="1896" max="1896" width="23.88671875" style="107" customWidth="1"/>
    <col min="1897" max="1903" width="8.77734375" style="107"/>
    <col min="1904" max="1904" width="9" style="107" bestFit="1" customWidth="1"/>
    <col min="1905" max="1906" width="8.77734375" style="107"/>
    <col min="1907" max="1907" width="32.88671875" style="107" customWidth="1"/>
    <col min="1908" max="1908" width="16.6640625" style="107" customWidth="1"/>
    <col min="1909" max="1909" width="10.21875" style="107" customWidth="1"/>
    <col min="1910" max="1910" width="12.44140625" style="107" customWidth="1"/>
    <col min="1911" max="1911" width="10" style="107" bestFit="1" customWidth="1"/>
    <col min="1912" max="1912" width="8.77734375" style="107"/>
    <col min="1913" max="1913" width="9" style="107" bestFit="1" customWidth="1"/>
    <col min="1914" max="1915" width="8.77734375" style="107"/>
    <col min="1916" max="1916" width="11.6640625" style="107" customWidth="1"/>
    <col min="1917" max="1917" width="8.77734375" style="107"/>
    <col min="1918" max="1918" width="28.77734375" style="107" customWidth="1"/>
    <col min="1919" max="1919" width="12.33203125" style="107" customWidth="1"/>
    <col min="1920" max="1920" width="11.21875" style="107" customWidth="1"/>
    <col min="1921" max="2048" width="8.77734375" style="107"/>
    <col min="2049" max="2049" width="5.6640625" style="107" customWidth="1"/>
    <col min="2050" max="2050" width="26.5546875" style="107" customWidth="1"/>
    <col min="2051" max="2051" width="11.44140625" style="107" customWidth="1"/>
    <col min="2052" max="2052" width="7.44140625" style="107" customWidth="1"/>
    <col min="2053" max="2053" width="8.5546875" style="107" customWidth="1"/>
    <col min="2054" max="2054" width="12.33203125" style="107" customWidth="1"/>
    <col min="2055" max="2055" width="11.77734375" style="107" customWidth="1"/>
    <col min="2056" max="2056" width="8.21875" style="107" customWidth="1"/>
    <col min="2057" max="2057" width="12" style="107" customWidth="1"/>
    <col min="2058" max="2058" width="8.77734375" style="107" customWidth="1"/>
    <col min="2059" max="2059" width="11.109375" style="107" customWidth="1"/>
    <col min="2060" max="2060" width="12.88671875" style="107" customWidth="1"/>
    <col min="2061" max="2061" width="12.5546875" style="107" customWidth="1"/>
    <col min="2062" max="2062" width="9.6640625" style="107" customWidth="1"/>
    <col min="2063" max="2063" width="9.88671875" style="107" customWidth="1"/>
    <col min="2064" max="2064" width="11.33203125" style="107" customWidth="1"/>
    <col min="2065" max="2065" width="11.5546875" style="107" customWidth="1"/>
    <col min="2066" max="2066" width="11.6640625" style="107" customWidth="1"/>
    <col min="2067" max="2067" width="10.33203125" style="107" customWidth="1"/>
    <col min="2068" max="2068" width="11.77734375" style="107" customWidth="1"/>
    <col min="2069" max="2069" width="12.109375" style="107" customWidth="1"/>
    <col min="2070" max="2070" width="11" style="107" customWidth="1"/>
    <col min="2071" max="2071" width="12.109375" style="107" customWidth="1"/>
    <col min="2072" max="2072" width="10.5546875" style="107" customWidth="1"/>
    <col min="2073" max="2073" width="9.88671875" style="107" customWidth="1"/>
    <col min="2074" max="2074" width="10.77734375" style="107" customWidth="1"/>
    <col min="2075" max="2075" width="9.77734375" style="107" customWidth="1"/>
    <col min="2076" max="2076" width="11.21875" style="107" customWidth="1"/>
    <col min="2077" max="2077" width="10.33203125" style="107" customWidth="1"/>
    <col min="2078" max="2078" width="11.88671875" style="107" customWidth="1"/>
    <col min="2079" max="2079" width="8.77734375" style="107"/>
    <col min="2080" max="2080" width="13.88671875" style="107" customWidth="1"/>
    <col min="2081" max="2081" width="10.88671875" style="107" customWidth="1"/>
    <col min="2082" max="2082" width="11.44140625" style="107" customWidth="1"/>
    <col min="2083" max="2083" width="11.77734375" style="107" customWidth="1"/>
    <col min="2084" max="2084" width="11.109375" style="107" customWidth="1"/>
    <col min="2085" max="2085" width="10.88671875" style="107" customWidth="1"/>
    <col min="2086" max="2089" width="8.77734375" style="107"/>
    <col min="2090" max="2090" width="11.44140625" style="107" bestFit="1" customWidth="1"/>
    <col min="2091" max="2091" width="10.21875" style="107" customWidth="1"/>
    <col min="2092" max="2092" width="11.5546875" style="107" customWidth="1"/>
    <col min="2093" max="2093" width="12.109375" style="107" customWidth="1"/>
    <col min="2094" max="2094" width="13.21875" style="107" customWidth="1"/>
    <col min="2095" max="2095" width="14.109375" style="107" customWidth="1"/>
    <col min="2096" max="2096" width="11.77734375" style="107" customWidth="1"/>
    <col min="2097" max="2097" width="9.6640625" style="107" customWidth="1"/>
    <col min="2098" max="2101" width="8.77734375" style="107"/>
    <col min="2102" max="2102" width="28.77734375" style="107" customWidth="1"/>
    <col min="2103" max="2103" width="11.77734375" style="107" customWidth="1"/>
    <col min="2104" max="2104" width="10" style="107" customWidth="1"/>
    <col min="2105" max="2105" width="10.44140625" style="107" customWidth="1"/>
    <col min="2106" max="2107" width="8.77734375" style="107"/>
    <col min="2108" max="2108" width="9.33203125" style="107" customWidth="1"/>
    <col min="2109" max="2109" width="18.44140625" style="107" customWidth="1"/>
    <col min="2110" max="2110" width="11" style="107" customWidth="1"/>
    <col min="2111" max="2111" width="9.5546875" style="107" customWidth="1"/>
    <col min="2112" max="2112" width="10.6640625" style="107" customWidth="1"/>
    <col min="2113" max="2113" width="9.88671875" style="107" customWidth="1"/>
    <col min="2114" max="2114" width="11.44140625" style="107" customWidth="1"/>
    <col min="2115" max="2115" width="9.88671875" style="107" customWidth="1"/>
    <col min="2116" max="2116" width="10" style="107" customWidth="1"/>
    <col min="2117" max="2117" width="6.77734375" style="107" customWidth="1"/>
    <col min="2118" max="2118" width="12.5546875" style="107" customWidth="1"/>
    <col min="2119" max="2119" width="9.5546875" style="107" customWidth="1"/>
    <col min="2120" max="2120" width="10.33203125" style="107" customWidth="1"/>
    <col min="2121" max="2121" width="7.77734375" style="107" customWidth="1"/>
    <col min="2122" max="2122" width="7.21875" style="107" customWidth="1"/>
    <col min="2123" max="2123" width="17.6640625" style="107" customWidth="1"/>
    <col min="2124" max="2124" width="8.77734375" style="107" customWidth="1"/>
    <col min="2125" max="2125" width="13.109375" style="107" bestFit="1" customWidth="1"/>
    <col min="2126" max="2126" width="13.77734375" style="107" customWidth="1"/>
    <col min="2127" max="2128" width="8.77734375" style="107"/>
    <col min="2129" max="2129" width="9" style="107" bestFit="1" customWidth="1"/>
    <col min="2130" max="2138" width="8.77734375" style="107"/>
    <col min="2139" max="2139" width="13.109375" style="107" customWidth="1"/>
    <col min="2140" max="2140" width="8.77734375" style="107"/>
    <col min="2141" max="2141" width="9.88671875" style="107" customWidth="1"/>
    <col min="2142" max="2145" width="8.77734375" style="107"/>
    <col min="2146" max="2146" width="8.5546875" style="107" customWidth="1"/>
    <col min="2147" max="2147" width="30.33203125" style="107" customWidth="1"/>
    <col min="2148" max="2148" width="9" style="107" bestFit="1" customWidth="1"/>
    <col min="2149" max="2149" width="8.77734375" style="107"/>
    <col min="2150" max="2150" width="5.88671875" style="107" customWidth="1"/>
    <col min="2151" max="2151" width="6.88671875" style="107" customWidth="1"/>
    <col min="2152" max="2152" width="23.88671875" style="107" customWidth="1"/>
    <col min="2153" max="2159" width="8.77734375" style="107"/>
    <col min="2160" max="2160" width="9" style="107" bestFit="1" customWidth="1"/>
    <col min="2161" max="2162" width="8.77734375" style="107"/>
    <col min="2163" max="2163" width="32.88671875" style="107" customWidth="1"/>
    <col min="2164" max="2164" width="16.6640625" style="107" customWidth="1"/>
    <col min="2165" max="2165" width="10.21875" style="107" customWidth="1"/>
    <col min="2166" max="2166" width="12.44140625" style="107" customWidth="1"/>
    <col min="2167" max="2167" width="10" style="107" bestFit="1" customWidth="1"/>
    <col min="2168" max="2168" width="8.77734375" style="107"/>
    <col min="2169" max="2169" width="9" style="107" bestFit="1" customWidth="1"/>
    <col min="2170" max="2171" width="8.77734375" style="107"/>
    <col min="2172" max="2172" width="11.6640625" style="107" customWidth="1"/>
    <col min="2173" max="2173" width="8.77734375" style="107"/>
    <col min="2174" max="2174" width="28.77734375" style="107" customWidth="1"/>
    <col min="2175" max="2175" width="12.33203125" style="107" customWidth="1"/>
    <col min="2176" max="2176" width="11.21875" style="107" customWidth="1"/>
    <col min="2177" max="2304" width="8.77734375" style="107"/>
    <col min="2305" max="2305" width="5.6640625" style="107" customWidth="1"/>
    <col min="2306" max="2306" width="26.5546875" style="107" customWidth="1"/>
    <col min="2307" max="2307" width="11.44140625" style="107" customWidth="1"/>
    <col min="2308" max="2308" width="7.44140625" style="107" customWidth="1"/>
    <col min="2309" max="2309" width="8.5546875" style="107" customWidth="1"/>
    <col min="2310" max="2310" width="12.33203125" style="107" customWidth="1"/>
    <col min="2311" max="2311" width="11.77734375" style="107" customWidth="1"/>
    <col min="2312" max="2312" width="8.21875" style="107" customWidth="1"/>
    <col min="2313" max="2313" width="12" style="107" customWidth="1"/>
    <col min="2314" max="2314" width="8.77734375" style="107" customWidth="1"/>
    <col min="2315" max="2315" width="11.109375" style="107" customWidth="1"/>
    <col min="2316" max="2316" width="12.88671875" style="107" customWidth="1"/>
    <col min="2317" max="2317" width="12.5546875" style="107" customWidth="1"/>
    <col min="2318" max="2318" width="9.6640625" style="107" customWidth="1"/>
    <col min="2319" max="2319" width="9.88671875" style="107" customWidth="1"/>
    <col min="2320" max="2320" width="11.33203125" style="107" customWidth="1"/>
    <col min="2321" max="2321" width="11.5546875" style="107" customWidth="1"/>
    <col min="2322" max="2322" width="11.6640625" style="107" customWidth="1"/>
    <col min="2323" max="2323" width="10.33203125" style="107" customWidth="1"/>
    <col min="2324" max="2324" width="11.77734375" style="107" customWidth="1"/>
    <col min="2325" max="2325" width="12.109375" style="107" customWidth="1"/>
    <col min="2326" max="2326" width="11" style="107" customWidth="1"/>
    <col min="2327" max="2327" width="12.109375" style="107" customWidth="1"/>
    <col min="2328" max="2328" width="10.5546875" style="107" customWidth="1"/>
    <col min="2329" max="2329" width="9.88671875" style="107" customWidth="1"/>
    <col min="2330" max="2330" width="10.77734375" style="107" customWidth="1"/>
    <col min="2331" max="2331" width="9.77734375" style="107" customWidth="1"/>
    <col min="2332" max="2332" width="11.21875" style="107" customWidth="1"/>
    <col min="2333" max="2333" width="10.33203125" style="107" customWidth="1"/>
    <col min="2334" max="2334" width="11.88671875" style="107" customWidth="1"/>
    <col min="2335" max="2335" width="8.77734375" style="107"/>
    <col min="2336" max="2336" width="13.88671875" style="107" customWidth="1"/>
    <col min="2337" max="2337" width="10.88671875" style="107" customWidth="1"/>
    <col min="2338" max="2338" width="11.44140625" style="107" customWidth="1"/>
    <col min="2339" max="2339" width="11.77734375" style="107" customWidth="1"/>
    <col min="2340" max="2340" width="11.109375" style="107" customWidth="1"/>
    <col min="2341" max="2341" width="10.88671875" style="107" customWidth="1"/>
    <col min="2342" max="2345" width="8.77734375" style="107"/>
    <col min="2346" max="2346" width="11.44140625" style="107" bestFit="1" customWidth="1"/>
    <col min="2347" max="2347" width="10.21875" style="107" customWidth="1"/>
    <col min="2348" max="2348" width="11.5546875" style="107" customWidth="1"/>
    <col min="2349" max="2349" width="12.109375" style="107" customWidth="1"/>
    <col min="2350" max="2350" width="13.21875" style="107" customWidth="1"/>
    <col min="2351" max="2351" width="14.109375" style="107" customWidth="1"/>
    <col min="2352" max="2352" width="11.77734375" style="107" customWidth="1"/>
    <col min="2353" max="2353" width="9.6640625" style="107" customWidth="1"/>
    <col min="2354" max="2357" width="8.77734375" style="107"/>
    <col min="2358" max="2358" width="28.77734375" style="107" customWidth="1"/>
    <col min="2359" max="2359" width="11.77734375" style="107" customWidth="1"/>
    <col min="2360" max="2360" width="10" style="107" customWidth="1"/>
    <col min="2361" max="2361" width="10.44140625" style="107" customWidth="1"/>
    <col min="2362" max="2363" width="8.77734375" style="107"/>
    <col min="2364" max="2364" width="9.33203125" style="107" customWidth="1"/>
    <col min="2365" max="2365" width="18.44140625" style="107" customWidth="1"/>
    <col min="2366" max="2366" width="11" style="107" customWidth="1"/>
    <col min="2367" max="2367" width="9.5546875" style="107" customWidth="1"/>
    <col min="2368" max="2368" width="10.6640625" style="107" customWidth="1"/>
    <col min="2369" max="2369" width="9.88671875" style="107" customWidth="1"/>
    <col min="2370" max="2370" width="11.44140625" style="107" customWidth="1"/>
    <col min="2371" max="2371" width="9.88671875" style="107" customWidth="1"/>
    <col min="2372" max="2372" width="10" style="107" customWidth="1"/>
    <col min="2373" max="2373" width="6.77734375" style="107" customWidth="1"/>
    <col min="2374" max="2374" width="12.5546875" style="107" customWidth="1"/>
    <col min="2375" max="2375" width="9.5546875" style="107" customWidth="1"/>
    <col min="2376" max="2376" width="10.33203125" style="107" customWidth="1"/>
    <col min="2377" max="2377" width="7.77734375" style="107" customWidth="1"/>
    <col min="2378" max="2378" width="7.21875" style="107" customWidth="1"/>
    <col min="2379" max="2379" width="17.6640625" style="107" customWidth="1"/>
    <col min="2380" max="2380" width="8.77734375" style="107" customWidth="1"/>
    <col min="2381" max="2381" width="13.109375" style="107" bestFit="1" customWidth="1"/>
    <col min="2382" max="2382" width="13.77734375" style="107" customWidth="1"/>
    <col min="2383" max="2384" width="8.77734375" style="107"/>
    <col min="2385" max="2385" width="9" style="107" bestFit="1" customWidth="1"/>
    <col min="2386" max="2394" width="8.77734375" style="107"/>
    <col min="2395" max="2395" width="13.109375" style="107" customWidth="1"/>
    <col min="2396" max="2396" width="8.77734375" style="107"/>
    <col min="2397" max="2397" width="9.88671875" style="107" customWidth="1"/>
    <col min="2398" max="2401" width="8.77734375" style="107"/>
    <col min="2402" max="2402" width="8.5546875" style="107" customWidth="1"/>
    <col min="2403" max="2403" width="30.33203125" style="107" customWidth="1"/>
    <col min="2404" max="2404" width="9" style="107" bestFit="1" customWidth="1"/>
    <col min="2405" max="2405" width="8.77734375" style="107"/>
    <col min="2406" max="2406" width="5.88671875" style="107" customWidth="1"/>
    <col min="2407" max="2407" width="6.88671875" style="107" customWidth="1"/>
    <col min="2408" max="2408" width="23.88671875" style="107" customWidth="1"/>
    <col min="2409" max="2415" width="8.77734375" style="107"/>
    <col min="2416" max="2416" width="9" style="107" bestFit="1" customWidth="1"/>
    <col min="2417" max="2418" width="8.77734375" style="107"/>
    <col min="2419" max="2419" width="32.88671875" style="107" customWidth="1"/>
    <col min="2420" max="2420" width="16.6640625" style="107" customWidth="1"/>
    <col min="2421" max="2421" width="10.21875" style="107" customWidth="1"/>
    <col min="2422" max="2422" width="12.44140625" style="107" customWidth="1"/>
    <col min="2423" max="2423" width="10" style="107" bestFit="1" customWidth="1"/>
    <col min="2424" max="2424" width="8.77734375" style="107"/>
    <col min="2425" max="2425" width="9" style="107" bestFit="1" customWidth="1"/>
    <col min="2426" max="2427" width="8.77734375" style="107"/>
    <col min="2428" max="2428" width="11.6640625" style="107" customWidth="1"/>
    <col min="2429" max="2429" width="8.77734375" style="107"/>
    <col min="2430" max="2430" width="28.77734375" style="107" customWidth="1"/>
    <col min="2431" max="2431" width="12.33203125" style="107" customWidth="1"/>
    <col min="2432" max="2432" width="11.21875" style="107" customWidth="1"/>
    <col min="2433" max="2560" width="8.77734375" style="107"/>
    <col min="2561" max="2561" width="5.6640625" style="107" customWidth="1"/>
    <col min="2562" max="2562" width="26.5546875" style="107" customWidth="1"/>
    <col min="2563" max="2563" width="11.44140625" style="107" customWidth="1"/>
    <col min="2564" max="2564" width="7.44140625" style="107" customWidth="1"/>
    <col min="2565" max="2565" width="8.5546875" style="107" customWidth="1"/>
    <col min="2566" max="2566" width="12.33203125" style="107" customWidth="1"/>
    <col min="2567" max="2567" width="11.77734375" style="107" customWidth="1"/>
    <col min="2568" max="2568" width="8.21875" style="107" customWidth="1"/>
    <col min="2569" max="2569" width="12" style="107" customWidth="1"/>
    <col min="2570" max="2570" width="8.77734375" style="107" customWidth="1"/>
    <col min="2571" max="2571" width="11.109375" style="107" customWidth="1"/>
    <col min="2572" max="2572" width="12.88671875" style="107" customWidth="1"/>
    <col min="2573" max="2573" width="12.5546875" style="107" customWidth="1"/>
    <col min="2574" max="2574" width="9.6640625" style="107" customWidth="1"/>
    <col min="2575" max="2575" width="9.88671875" style="107" customWidth="1"/>
    <col min="2576" max="2576" width="11.33203125" style="107" customWidth="1"/>
    <col min="2577" max="2577" width="11.5546875" style="107" customWidth="1"/>
    <col min="2578" max="2578" width="11.6640625" style="107" customWidth="1"/>
    <col min="2579" max="2579" width="10.33203125" style="107" customWidth="1"/>
    <col min="2580" max="2580" width="11.77734375" style="107" customWidth="1"/>
    <col min="2581" max="2581" width="12.109375" style="107" customWidth="1"/>
    <col min="2582" max="2582" width="11" style="107" customWidth="1"/>
    <col min="2583" max="2583" width="12.109375" style="107" customWidth="1"/>
    <col min="2584" max="2584" width="10.5546875" style="107" customWidth="1"/>
    <col min="2585" max="2585" width="9.88671875" style="107" customWidth="1"/>
    <col min="2586" max="2586" width="10.77734375" style="107" customWidth="1"/>
    <col min="2587" max="2587" width="9.77734375" style="107" customWidth="1"/>
    <col min="2588" max="2588" width="11.21875" style="107" customWidth="1"/>
    <col min="2589" max="2589" width="10.33203125" style="107" customWidth="1"/>
    <col min="2590" max="2590" width="11.88671875" style="107" customWidth="1"/>
    <col min="2591" max="2591" width="8.77734375" style="107"/>
    <col min="2592" max="2592" width="13.88671875" style="107" customWidth="1"/>
    <col min="2593" max="2593" width="10.88671875" style="107" customWidth="1"/>
    <col min="2594" max="2594" width="11.44140625" style="107" customWidth="1"/>
    <col min="2595" max="2595" width="11.77734375" style="107" customWidth="1"/>
    <col min="2596" max="2596" width="11.109375" style="107" customWidth="1"/>
    <col min="2597" max="2597" width="10.88671875" style="107" customWidth="1"/>
    <col min="2598" max="2601" width="8.77734375" style="107"/>
    <col min="2602" max="2602" width="11.44140625" style="107" bestFit="1" customWidth="1"/>
    <col min="2603" max="2603" width="10.21875" style="107" customWidth="1"/>
    <col min="2604" max="2604" width="11.5546875" style="107" customWidth="1"/>
    <col min="2605" max="2605" width="12.109375" style="107" customWidth="1"/>
    <col min="2606" max="2606" width="13.21875" style="107" customWidth="1"/>
    <col min="2607" max="2607" width="14.109375" style="107" customWidth="1"/>
    <col min="2608" max="2608" width="11.77734375" style="107" customWidth="1"/>
    <col min="2609" max="2609" width="9.6640625" style="107" customWidth="1"/>
    <col min="2610" max="2613" width="8.77734375" style="107"/>
    <col min="2614" max="2614" width="28.77734375" style="107" customWidth="1"/>
    <col min="2615" max="2615" width="11.77734375" style="107" customWidth="1"/>
    <col min="2616" max="2616" width="10" style="107" customWidth="1"/>
    <col min="2617" max="2617" width="10.44140625" style="107" customWidth="1"/>
    <col min="2618" max="2619" width="8.77734375" style="107"/>
    <col min="2620" max="2620" width="9.33203125" style="107" customWidth="1"/>
    <col min="2621" max="2621" width="18.44140625" style="107" customWidth="1"/>
    <col min="2622" max="2622" width="11" style="107" customWidth="1"/>
    <col min="2623" max="2623" width="9.5546875" style="107" customWidth="1"/>
    <col min="2624" max="2624" width="10.6640625" style="107" customWidth="1"/>
    <col min="2625" max="2625" width="9.88671875" style="107" customWidth="1"/>
    <col min="2626" max="2626" width="11.44140625" style="107" customWidth="1"/>
    <col min="2627" max="2627" width="9.88671875" style="107" customWidth="1"/>
    <col min="2628" max="2628" width="10" style="107" customWidth="1"/>
    <col min="2629" max="2629" width="6.77734375" style="107" customWidth="1"/>
    <col min="2630" max="2630" width="12.5546875" style="107" customWidth="1"/>
    <col min="2631" max="2631" width="9.5546875" style="107" customWidth="1"/>
    <col min="2632" max="2632" width="10.33203125" style="107" customWidth="1"/>
    <col min="2633" max="2633" width="7.77734375" style="107" customWidth="1"/>
    <col min="2634" max="2634" width="7.21875" style="107" customWidth="1"/>
    <col min="2635" max="2635" width="17.6640625" style="107" customWidth="1"/>
    <col min="2636" max="2636" width="8.77734375" style="107" customWidth="1"/>
    <col min="2637" max="2637" width="13.109375" style="107" bestFit="1" customWidth="1"/>
    <col min="2638" max="2638" width="13.77734375" style="107" customWidth="1"/>
    <col min="2639" max="2640" width="8.77734375" style="107"/>
    <col min="2641" max="2641" width="9" style="107" bestFit="1" customWidth="1"/>
    <col min="2642" max="2650" width="8.77734375" style="107"/>
    <col min="2651" max="2651" width="13.109375" style="107" customWidth="1"/>
    <col min="2652" max="2652" width="8.77734375" style="107"/>
    <col min="2653" max="2653" width="9.88671875" style="107" customWidth="1"/>
    <col min="2654" max="2657" width="8.77734375" style="107"/>
    <col min="2658" max="2658" width="8.5546875" style="107" customWidth="1"/>
    <col min="2659" max="2659" width="30.33203125" style="107" customWidth="1"/>
    <col min="2660" max="2660" width="9" style="107" bestFit="1" customWidth="1"/>
    <col min="2661" max="2661" width="8.77734375" style="107"/>
    <col min="2662" max="2662" width="5.88671875" style="107" customWidth="1"/>
    <col min="2663" max="2663" width="6.88671875" style="107" customWidth="1"/>
    <col min="2664" max="2664" width="23.88671875" style="107" customWidth="1"/>
    <col min="2665" max="2671" width="8.77734375" style="107"/>
    <col min="2672" max="2672" width="9" style="107" bestFit="1" customWidth="1"/>
    <col min="2673" max="2674" width="8.77734375" style="107"/>
    <col min="2675" max="2675" width="32.88671875" style="107" customWidth="1"/>
    <col min="2676" max="2676" width="16.6640625" style="107" customWidth="1"/>
    <col min="2677" max="2677" width="10.21875" style="107" customWidth="1"/>
    <col min="2678" max="2678" width="12.44140625" style="107" customWidth="1"/>
    <col min="2679" max="2679" width="10" style="107" bestFit="1" customWidth="1"/>
    <col min="2680" max="2680" width="8.77734375" style="107"/>
    <col min="2681" max="2681" width="9" style="107" bestFit="1" customWidth="1"/>
    <col min="2682" max="2683" width="8.77734375" style="107"/>
    <col min="2684" max="2684" width="11.6640625" style="107" customWidth="1"/>
    <col min="2685" max="2685" width="8.77734375" style="107"/>
    <col min="2686" max="2686" width="28.77734375" style="107" customWidth="1"/>
    <col min="2687" max="2687" width="12.33203125" style="107" customWidth="1"/>
    <col min="2688" max="2688" width="11.21875" style="107" customWidth="1"/>
    <col min="2689" max="2816" width="8.77734375" style="107"/>
    <col min="2817" max="2817" width="5.6640625" style="107" customWidth="1"/>
    <col min="2818" max="2818" width="26.5546875" style="107" customWidth="1"/>
    <col min="2819" max="2819" width="11.44140625" style="107" customWidth="1"/>
    <col min="2820" max="2820" width="7.44140625" style="107" customWidth="1"/>
    <col min="2821" max="2821" width="8.5546875" style="107" customWidth="1"/>
    <col min="2822" max="2822" width="12.33203125" style="107" customWidth="1"/>
    <col min="2823" max="2823" width="11.77734375" style="107" customWidth="1"/>
    <col min="2824" max="2824" width="8.21875" style="107" customWidth="1"/>
    <col min="2825" max="2825" width="12" style="107" customWidth="1"/>
    <col min="2826" max="2826" width="8.77734375" style="107" customWidth="1"/>
    <col min="2827" max="2827" width="11.109375" style="107" customWidth="1"/>
    <col min="2828" max="2828" width="12.88671875" style="107" customWidth="1"/>
    <col min="2829" max="2829" width="12.5546875" style="107" customWidth="1"/>
    <col min="2830" max="2830" width="9.6640625" style="107" customWidth="1"/>
    <col min="2831" max="2831" width="9.88671875" style="107" customWidth="1"/>
    <col min="2832" max="2832" width="11.33203125" style="107" customWidth="1"/>
    <col min="2833" max="2833" width="11.5546875" style="107" customWidth="1"/>
    <col min="2834" max="2834" width="11.6640625" style="107" customWidth="1"/>
    <col min="2835" max="2835" width="10.33203125" style="107" customWidth="1"/>
    <col min="2836" max="2836" width="11.77734375" style="107" customWidth="1"/>
    <col min="2837" max="2837" width="12.109375" style="107" customWidth="1"/>
    <col min="2838" max="2838" width="11" style="107" customWidth="1"/>
    <col min="2839" max="2839" width="12.109375" style="107" customWidth="1"/>
    <col min="2840" max="2840" width="10.5546875" style="107" customWidth="1"/>
    <col min="2841" max="2841" width="9.88671875" style="107" customWidth="1"/>
    <col min="2842" max="2842" width="10.77734375" style="107" customWidth="1"/>
    <col min="2843" max="2843" width="9.77734375" style="107" customWidth="1"/>
    <col min="2844" max="2844" width="11.21875" style="107" customWidth="1"/>
    <col min="2845" max="2845" width="10.33203125" style="107" customWidth="1"/>
    <col min="2846" max="2846" width="11.88671875" style="107" customWidth="1"/>
    <col min="2847" max="2847" width="8.77734375" style="107"/>
    <col min="2848" max="2848" width="13.88671875" style="107" customWidth="1"/>
    <col min="2849" max="2849" width="10.88671875" style="107" customWidth="1"/>
    <col min="2850" max="2850" width="11.44140625" style="107" customWidth="1"/>
    <col min="2851" max="2851" width="11.77734375" style="107" customWidth="1"/>
    <col min="2852" max="2852" width="11.109375" style="107" customWidth="1"/>
    <col min="2853" max="2853" width="10.88671875" style="107" customWidth="1"/>
    <col min="2854" max="2857" width="8.77734375" style="107"/>
    <col min="2858" max="2858" width="11.44140625" style="107" bestFit="1" customWidth="1"/>
    <col min="2859" max="2859" width="10.21875" style="107" customWidth="1"/>
    <col min="2860" max="2860" width="11.5546875" style="107" customWidth="1"/>
    <col min="2861" max="2861" width="12.109375" style="107" customWidth="1"/>
    <col min="2862" max="2862" width="13.21875" style="107" customWidth="1"/>
    <col min="2863" max="2863" width="14.109375" style="107" customWidth="1"/>
    <col min="2864" max="2864" width="11.77734375" style="107" customWidth="1"/>
    <col min="2865" max="2865" width="9.6640625" style="107" customWidth="1"/>
    <col min="2866" max="2869" width="8.77734375" style="107"/>
    <col min="2870" max="2870" width="28.77734375" style="107" customWidth="1"/>
    <col min="2871" max="2871" width="11.77734375" style="107" customWidth="1"/>
    <col min="2872" max="2872" width="10" style="107" customWidth="1"/>
    <col min="2873" max="2873" width="10.44140625" style="107" customWidth="1"/>
    <col min="2874" max="2875" width="8.77734375" style="107"/>
    <col min="2876" max="2876" width="9.33203125" style="107" customWidth="1"/>
    <col min="2877" max="2877" width="18.44140625" style="107" customWidth="1"/>
    <col min="2878" max="2878" width="11" style="107" customWidth="1"/>
    <col min="2879" max="2879" width="9.5546875" style="107" customWidth="1"/>
    <col min="2880" max="2880" width="10.6640625" style="107" customWidth="1"/>
    <col min="2881" max="2881" width="9.88671875" style="107" customWidth="1"/>
    <col min="2882" max="2882" width="11.44140625" style="107" customWidth="1"/>
    <col min="2883" max="2883" width="9.88671875" style="107" customWidth="1"/>
    <col min="2884" max="2884" width="10" style="107" customWidth="1"/>
    <col min="2885" max="2885" width="6.77734375" style="107" customWidth="1"/>
    <col min="2886" max="2886" width="12.5546875" style="107" customWidth="1"/>
    <col min="2887" max="2887" width="9.5546875" style="107" customWidth="1"/>
    <col min="2888" max="2888" width="10.33203125" style="107" customWidth="1"/>
    <col min="2889" max="2889" width="7.77734375" style="107" customWidth="1"/>
    <col min="2890" max="2890" width="7.21875" style="107" customWidth="1"/>
    <col min="2891" max="2891" width="17.6640625" style="107" customWidth="1"/>
    <col min="2892" max="2892" width="8.77734375" style="107" customWidth="1"/>
    <col min="2893" max="2893" width="13.109375" style="107" bestFit="1" customWidth="1"/>
    <col min="2894" max="2894" width="13.77734375" style="107" customWidth="1"/>
    <col min="2895" max="2896" width="8.77734375" style="107"/>
    <col min="2897" max="2897" width="9" style="107" bestFit="1" customWidth="1"/>
    <col min="2898" max="2906" width="8.77734375" style="107"/>
    <col min="2907" max="2907" width="13.109375" style="107" customWidth="1"/>
    <col min="2908" max="2908" width="8.77734375" style="107"/>
    <col min="2909" max="2909" width="9.88671875" style="107" customWidth="1"/>
    <col min="2910" max="2913" width="8.77734375" style="107"/>
    <col min="2914" max="2914" width="8.5546875" style="107" customWidth="1"/>
    <col min="2915" max="2915" width="30.33203125" style="107" customWidth="1"/>
    <col min="2916" max="2916" width="9" style="107" bestFit="1" customWidth="1"/>
    <col min="2917" max="2917" width="8.77734375" style="107"/>
    <col min="2918" max="2918" width="5.88671875" style="107" customWidth="1"/>
    <col min="2919" max="2919" width="6.88671875" style="107" customWidth="1"/>
    <col min="2920" max="2920" width="23.88671875" style="107" customWidth="1"/>
    <col min="2921" max="2927" width="8.77734375" style="107"/>
    <col min="2928" max="2928" width="9" style="107" bestFit="1" customWidth="1"/>
    <col min="2929" max="2930" width="8.77734375" style="107"/>
    <col min="2931" max="2931" width="32.88671875" style="107" customWidth="1"/>
    <col min="2932" max="2932" width="16.6640625" style="107" customWidth="1"/>
    <col min="2933" max="2933" width="10.21875" style="107" customWidth="1"/>
    <col min="2934" max="2934" width="12.44140625" style="107" customWidth="1"/>
    <col min="2935" max="2935" width="10" style="107" bestFit="1" customWidth="1"/>
    <col min="2936" max="2936" width="8.77734375" style="107"/>
    <col min="2937" max="2937" width="9" style="107" bestFit="1" customWidth="1"/>
    <col min="2938" max="2939" width="8.77734375" style="107"/>
    <col min="2940" max="2940" width="11.6640625" style="107" customWidth="1"/>
    <col min="2941" max="2941" width="8.77734375" style="107"/>
    <col min="2942" max="2942" width="28.77734375" style="107" customWidth="1"/>
    <col min="2943" max="2943" width="12.33203125" style="107" customWidth="1"/>
    <col min="2944" max="2944" width="11.21875" style="107" customWidth="1"/>
    <col min="2945" max="3072" width="8.77734375" style="107"/>
    <col min="3073" max="3073" width="5.6640625" style="107" customWidth="1"/>
    <col min="3074" max="3074" width="26.5546875" style="107" customWidth="1"/>
    <col min="3075" max="3075" width="11.44140625" style="107" customWidth="1"/>
    <col min="3076" max="3076" width="7.44140625" style="107" customWidth="1"/>
    <col min="3077" max="3077" width="8.5546875" style="107" customWidth="1"/>
    <col min="3078" max="3078" width="12.33203125" style="107" customWidth="1"/>
    <col min="3079" max="3079" width="11.77734375" style="107" customWidth="1"/>
    <col min="3080" max="3080" width="8.21875" style="107" customWidth="1"/>
    <col min="3081" max="3081" width="12" style="107" customWidth="1"/>
    <col min="3082" max="3082" width="8.77734375" style="107" customWidth="1"/>
    <col min="3083" max="3083" width="11.109375" style="107" customWidth="1"/>
    <col min="3084" max="3084" width="12.88671875" style="107" customWidth="1"/>
    <col min="3085" max="3085" width="12.5546875" style="107" customWidth="1"/>
    <col min="3086" max="3086" width="9.6640625" style="107" customWidth="1"/>
    <col min="3087" max="3087" width="9.88671875" style="107" customWidth="1"/>
    <col min="3088" max="3088" width="11.33203125" style="107" customWidth="1"/>
    <col min="3089" max="3089" width="11.5546875" style="107" customWidth="1"/>
    <col min="3090" max="3090" width="11.6640625" style="107" customWidth="1"/>
    <col min="3091" max="3091" width="10.33203125" style="107" customWidth="1"/>
    <col min="3092" max="3092" width="11.77734375" style="107" customWidth="1"/>
    <col min="3093" max="3093" width="12.109375" style="107" customWidth="1"/>
    <col min="3094" max="3094" width="11" style="107" customWidth="1"/>
    <col min="3095" max="3095" width="12.109375" style="107" customWidth="1"/>
    <col min="3096" max="3096" width="10.5546875" style="107" customWidth="1"/>
    <col min="3097" max="3097" width="9.88671875" style="107" customWidth="1"/>
    <col min="3098" max="3098" width="10.77734375" style="107" customWidth="1"/>
    <col min="3099" max="3099" width="9.77734375" style="107" customWidth="1"/>
    <col min="3100" max="3100" width="11.21875" style="107" customWidth="1"/>
    <col min="3101" max="3101" width="10.33203125" style="107" customWidth="1"/>
    <col min="3102" max="3102" width="11.88671875" style="107" customWidth="1"/>
    <col min="3103" max="3103" width="8.77734375" style="107"/>
    <col min="3104" max="3104" width="13.88671875" style="107" customWidth="1"/>
    <col min="3105" max="3105" width="10.88671875" style="107" customWidth="1"/>
    <col min="3106" max="3106" width="11.44140625" style="107" customWidth="1"/>
    <col min="3107" max="3107" width="11.77734375" style="107" customWidth="1"/>
    <col min="3108" max="3108" width="11.109375" style="107" customWidth="1"/>
    <col min="3109" max="3109" width="10.88671875" style="107" customWidth="1"/>
    <col min="3110" max="3113" width="8.77734375" style="107"/>
    <col min="3114" max="3114" width="11.44140625" style="107" bestFit="1" customWidth="1"/>
    <col min="3115" max="3115" width="10.21875" style="107" customWidth="1"/>
    <col min="3116" max="3116" width="11.5546875" style="107" customWidth="1"/>
    <col min="3117" max="3117" width="12.109375" style="107" customWidth="1"/>
    <col min="3118" max="3118" width="13.21875" style="107" customWidth="1"/>
    <col min="3119" max="3119" width="14.109375" style="107" customWidth="1"/>
    <col min="3120" max="3120" width="11.77734375" style="107" customWidth="1"/>
    <col min="3121" max="3121" width="9.6640625" style="107" customWidth="1"/>
    <col min="3122" max="3125" width="8.77734375" style="107"/>
    <col min="3126" max="3126" width="28.77734375" style="107" customWidth="1"/>
    <col min="3127" max="3127" width="11.77734375" style="107" customWidth="1"/>
    <col min="3128" max="3128" width="10" style="107" customWidth="1"/>
    <col min="3129" max="3129" width="10.44140625" style="107" customWidth="1"/>
    <col min="3130" max="3131" width="8.77734375" style="107"/>
    <col min="3132" max="3132" width="9.33203125" style="107" customWidth="1"/>
    <col min="3133" max="3133" width="18.44140625" style="107" customWidth="1"/>
    <col min="3134" max="3134" width="11" style="107" customWidth="1"/>
    <col min="3135" max="3135" width="9.5546875" style="107" customWidth="1"/>
    <col min="3136" max="3136" width="10.6640625" style="107" customWidth="1"/>
    <col min="3137" max="3137" width="9.88671875" style="107" customWidth="1"/>
    <col min="3138" max="3138" width="11.44140625" style="107" customWidth="1"/>
    <col min="3139" max="3139" width="9.88671875" style="107" customWidth="1"/>
    <col min="3140" max="3140" width="10" style="107" customWidth="1"/>
    <col min="3141" max="3141" width="6.77734375" style="107" customWidth="1"/>
    <col min="3142" max="3142" width="12.5546875" style="107" customWidth="1"/>
    <col min="3143" max="3143" width="9.5546875" style="107" customWidth="1"/>
    <col min="3144" max="3144" width="10.33203125" style="107" customWidth="1"/>
    <col min="3145" max="3145" width="7.77734375" style="107" customWidth="1"/>
    <col min="3146" max="3146" width="7.21875" style="107" customWidth="1"/>
    <col min="3147" max="3147" width="17.6640625" style="107" customWidth="1"/>
    <col min="3148" max="3148" width="8.77734375" style="107" customWidth="1"/>
    <col min="3149" max="3149" width="13.109375" style="107" bestFit="1" customWidth="1"/>
    <col min="3150" max="3150" width="13.77734375" style="107" customWidth="1"/>
    <col min="3151" max="3152" width="8.77734375" style="107"/>
    <col min="3153" max="3153" width="9" style="107" bestFit="1" customWidth="1"/>
    <col min="3154" max="3162" width="8.77734375" style="107"/>
    <col min="3163" max="3163" width="13.109375" style="107" customWidth="1"/>
    <col min="3164" max="3164" width="8.77734375" style="107"/>
    <col min="3165" max="3165" width="9.88671875" style="107" customWidth="1"/>
    <col min="3166" max="3169" width="8.77734375" style="107"/>
    <col min="3170" max="3170" width="8.5546875" style="107" customWidth="1"/>
    <col min="3171" max="3171" width="30.33203125" style="107" customWidth="1"/>
    <col min="3172" max="3172" width="9" style="107" bestFit="1" customWidth="1"/>
    <col min="3173" max="3173" width="8.77734375" style="107"/>
    <col min="3174" max="3174" width="5.88671875" style="107" customWidth="1"/>
    <col min="3175" max="3175" width="6.88671875" style="107" customWidth="1"/>
    <col min="3176" max="3176" width="23.88671875" style="107" customWidth="1"/>
    <col min="3177" max="3183" width="8.77734375" style="107"/>
    <col min="3184" max="3184" width="9" style="107" bestFit="1" customWidth="1"/>
    <col min="3185" max="3186" width="8.77734375" style="107"/>
    <col min="3187" max="3187" width="32.88671875" style="107" customWidth="1"/>
    <col min="3188" max="3188" width="16.6640625" style="107" customWidth="1"/>
    <col min="3189" max="3189" width="10.21875" style="107" customWidth="1"/>
    <col min="3190" max="3190" width="12.44140625" style="107" customWidth="1"/>
    <col min="3191" max="3191" width="10" style="107" bestFit="1" customWidth="1"/>
    <col min="3192" max="3192" width="8.77734375" style="107"/>
    <col min="3193" max="3193" width="9" style="107" bestFit="1" customWidth="1"/>
    <col min="3194" max="3195" width="8.77734375" style="107"/>
    <col min="3196" max="3196" width="11.6640625" style="107" customWidth="1"/>
    <col min="3197" max="3197" width="8.77734375" style="107"/>
    <col min="3198" max="3198" width="28.77734375" style="107" customWidth="1"/>
    <col min="3199" max="3199" width="12.33203125" style="107" customWidth="1"/>
    <col min="3200" max="3200" width="11.21875" style="107" customWidth="1"/>
    <col min="3201" max="3328" width="8.77734375" style="107"/>
    <col min="3329" max="3329" width="5.6640625" style="107" customWidth="1"/>
    <col min="3330" max="3330" width="26.5546875" style="107" customWidth="1"/>
    <col min="3331" max="3331" width="11.44140625" style="107" customWidth="1"/>
    <col min="3332" max="3332" width="7.44140625" style="107" customWidth="1"/>
    <col min="3333" max="3333" width="8.5546875" style="107" customWidth="1"/>
    <col min="3334" max="3334" width="12.33203125" style="107" customWidth="1"/>
    <col min="3335" max="3335" width="11.77734375" style="107" customWidth="1"/>
    <col min="3336" max="3336" width="8.21875" style="107" customWidth="1"/>
    <col min="3337" max="3337" width="12" style="107" customWidth="1"/>
    <col min="3338" max="3338" width="8.77734375" style="107" customWidth="1"/>
    <col min="3339" max="3339" width="11.109375" style="107" customWidth="1"/>
    <col min="3340" max="3340" width="12.88671875" style="107" customWidth="1"/>
    <col min="3341" max="3341" width="12.5546875" style="107" customWidth="1"/>
    <col min="3342" max="3342" width="9.6640625" style="107" customWidth="1"/>
    <col min="3343" max="3343" width="9.88671875" style="107" customWidth="1"/>
    <col min="3344" max="3344" width="11.33203125" style="107" customWidth="1"/>
    <col min="3345" max="3345" width="11.5546875" style="107" customWidth="1"/>
    <col min="3346" max="3346" width="11.6640625" style="107" customWidth="1"/>
    <col min="3347" max="3347" width="10.33203125" style="107" customWidth="1"/>
    <col min="3348" max="3348" width="11.77734375" style="107" customWidth="1"/>
    <col min="3349" max="3349" width="12.109375" style="107" customWidth="1"/>
    <col min="3350" max="3350" width="11" style="107" customWidth="1"/>
    <col min="3351" max="3351" width="12.109375" style="107" customWidth="1"/>
    <col min="3352" max="3352" width="10.5546875" style="107" customWidth="1"/>
    <col min="3353" max="3353" width="9.88671875" style="107" customWidth="1"/>
    <col min="3354" max="3354" width="10.77734375" style="107" customWidth="1"/>
    <col min="3355" max="3355" width="9.77734375" style="107" customWidth="1"/>
    <col min="3356" max="3356" width="11.21875" style="107" customWidth="1"/>
    <col min="3357" max="3357" width="10.33203125" style="107" customWidth="1"/>
    <col min="3358" max="3358" width="11.88671875" style="107" customWidth="1"/>
    <col min="3359" max="3359" width="8.77734375" style="107"/>
    <col min="3360" max="3360" width="13.88671875" style="107" customWidth="1"/>
    <col min="3361" max="3361" width="10.88671875" style="107" customWidth="1"/>
    <col min="3362" max="3362" width="11.44140625" style="107" customWidth="1"/>
    <col min="3363" max="3363" width="11.77734375" style="107" customWidth="1"/>
    <col min="3364" max="3364" width="11.109375" style="107" customWidth="1"/>
    <col min="3365" max="3365" width="10.88671875" style="107" customWidth="1"/>
    <col min="3366" max="3369" width="8.77734375" style="107"/>
    <col min="3370" max="3370" width="11.44140625" style="107" bestFit="1" customWidth="1"/>
    <col min="3371" max="3371" width="10.21875" style="107" customWidth="1"/>
    <col min="3372" max="3372" width="11.5546875" style="107" customWidth="1"/>
    <col min="3373" max="3373" width="12.109375" style="107" customWidth="1"/>
    <col min="3374" max="3374" width="13.21875" style="107" customWidth="1"/>
    <col min="3375" max="3375" width="14.109375" style="107" customWidth="1"/>
    <col min="3376" max="3376" width="11.77734375" style="107" customWidth="1"/>
    <col min="3377" max="3377" width="9.6640625" style="107" customWidth="1"/>
    <col min="3378" max="3381" width="8.77734375" style="107"/>
    <col min="3382" max="3382" width="28.77734375" style="107" customWidth="1"/>
    <col min="3383" max="3383" width="11.77734375" style="107" customWidth="1"/>
    <col min="3384" max="3384" width="10" style="107" customWidth="1"/>
    <col min="3385" max="3385" width="10.44140625" style="107" customWidth="1"/>
    <col min="3386" max="3387" width="8.77734375" style="107"/>
    <col min="3388" max="3388" width="9.33203125" style="107" customWidth="1"/>
    <col min="3389" max="3389" width="18.44140625" style="107" customWidth="1"/>
    <col min="3390" max="3390" width="11" style="107" customWidth="1"/>
    <col min="3391" max="3391" width="9.5546875" style="107" customWidth="1"/>
    <col min="3392" max="3392" width="10.6640625" style="107" customWidth="1"/>
    <col min="3393" max="3393" width="9.88671875" style="107" customWidth="1"/>
    <col min="3394" max="3394" width="11.44140625" style="107" customWidth="1"/>
    <col min="3395" max="3395" width="9.88671875" style="107" customWidth="1"/>
    <col min="3396" max="3396" width="10" style="107" customWidth="1"/>
    <col min="3397" max="3397" width="6.77734375" style="107" customWidth="1"/>
    <col min="3398" max="3398" width="12.5546875" style="107" customWidth="1"/>
    <col min="3399" max="3399" width="9.5546875" style="107" customWidth="1"/>
    <col min="3400" max="3400" width="10.33203125" style="107" customWidth="1"/>
    <col min="3401" max="3401" width="7.77734375" style="107" customWidth="1"/>
    <col min="3402" max="3402" width="7.21875" style="107" customWidth="1"/>
    <col min="3403" max="3403" width="17.6640625" style="107" customWidth="1"/>
    <col min="3404" max="3404" width="8.77734375" style="107" customWidth="1"/>
    <col min="3405" max="3405" width="13.109375" style="107" bestFit="1" customWidth="1"/>
    <col min="3406" max="3406" width="13.77734375" style="107" customWidth="1"/>
    <col min="3407" max="3408" width="8.77734375" style="107"/>
    <col min="3409" max="3409" width="9" style="107" bestFit="1" customWidth="1"/>
    <col min="3410" max="3418" width="8.77734375" style="107"/>
    <col min="3419" max="3419" width="13.109375" style="107" customWidth="1"/>
    <col min="3420" max="3420" width="8.77734375" style="107"/>
    <col min="3421" max="3421" width="9.88671875" style="107" customWidth="1"/>
    <col min="3422" max="3425" width="8.77734375" style="107"/>
    <col min="3426" max="3426" width="8.5546875" style="107" customWidth="1"/>
    <col min="3427" max="3427" width="30.33203125" style="107" customWidth="1"/>
    <col min="3428" max="3428" width="9" style="107" bestFit="1" customWidth="1"/>
    <col min="3429" max="3429" width="8.77734375" style="107"/>
    <col min="3430" max="3430" width="5.88671875" style="107" customWidth="1"/>
    <col min="3431" max="3431" width="6.88671875" style="107" customWidth="1"/>
    <col min="3432" max="3432" width="23.88671875" style="107" customWidth="1"/>
    <col min="3433" max="3439" width="8.77734375" style="107"/>
    <col min="3440" max="3440" width="9" style="107" bestFit="1" customWidth="1"/>
    <col min="3441" max="3442" width="8.77734375" style="107"/>
    <col min="3443" max="3443" width="32.88671875" style="107" customWidth="1"/>
    <col min="3444" max="3444" width="16.6640625" style="107" customWidth="1"/>
    <col min="3445" max="3445" width="10.21875" style="107" customWidth="1"/>
    <col min="3446" max="3446" width="12.44140625" style="107" customWidth="1"/>
    <col min="3447" max="3447" width="10" style="107" bestFit="1" customWidth="1"/>
    <col min="3448" max="3448" width="8.77734375" style="107"/>
    <col min="3449" max="3449" width="9" style="107" bestFit="1" customWidth="1"/>
    <col min="3450" max="3451" width="8.77734375" style="107"/>
    <col min="3452" max="3452" width="11.6640625" style="107" customWidth="1"/>
    <col min="3453" max="3453" width="8.77734375" style="107"/>
    <col min="3454" max="3454" width="28.77734375" style="107" customWidth="1"/>
    <col min="3455" max="3455" width="12.33203125" style="107" customWidth="1"/>
    <col min="3456" max="3456" width="11.21875" style="107" customWidth="1"/>
    <col min="3457" max="3584" width="8.77734375" style="107"/>
    <col min="3585" max="3585" width="5.6640625" style="107" customWidth="1"/>
    <col min="3586" max="3586" width="26.5546875" style="107" customWidth="1"/>
    <col min="3587" max="3587" width="11.44140625" style="107" customWidth="1"/>
    <col min="3588" max="3588" width="7.44140625" style="107" customWidth="1"/>
    <col min="3589" max="3589" width="8.5546875" style="107" customWidth="1"/>
    <col min="3590" max="3590" width="12.33203125" style="107" customWidth="1"/>
    <col min="3591" max="3591" width="11.77734375" style="107" customWidth="1"/>
    <col min="3592" max="3592" width="8.21875" style="107" customWidth="1"/>
    <col min="3593" max="3593" width="12" style="107" customWidth="1"/>
    <col min="3594" max="3594" width="8.77734375" style="107" customWidth="1"/>
    <col min="3595" max="3595" width="11.109375" style="107" customWidth="1"/>
    <col min="3596" max="3596" width="12.88671875" style="107" customWidth="1"/>
    <col min="3597" max="3597" width="12.5546875" style="107" customWidth="1"/>
    <col min="3598" max="3598" width="9.6640625" style="107" customWidth="1"/>
    <col min="3599" max="3599" width="9.88671875" style="107" customWidth="1"/>
    <col min="3600" max="3600" width="11.33203125" style="107" customWidth="1"/>
    <col min="3601" max="3601" width="11.5546875" style="107" customWidth="1"/>
    <col min="3602" max="3602" width="11.6640625" style="107" customWidth="1"/>
    <col min="3603" max="3603" width="10.33203125" style="107" customWidth="1"/>
    <col min="3604" max="3604" width="11.77734375" style="107" customWidth="1"/>
    <col min="3605" max="3605" width="12.109375" style="107" customWidth="1"/>
    <col min="3606" max="3606" width="11" style="107" customWidth="1"/>
    <col min="3607" max="3607" width="12.109375" style="107" customWidth="1"/>
    <col min="3608" max="3608" width="10.5546875" style="107" customWidth="1"/>
    <col min="3609" max="3609" width="9.88671875" style="107" customWidth="1"/>
    <col min="3610" max="3610" width="10.77734375" style="107" customWidth="1"/>
    <col min="3611" max="3611" width="9.77734375" style="107" customWidth="1"/>
    <col min="3612" max="3612" width="11.21875" style="107" customWidth="1"/>
    <col min="3613" max="3613" width="10.33203125" style="107" customWidth="1"/>
    <col min="3614" max="3614" width="11.88671875" style="107" customWidth="1"/>
    <col min="3615" max="3615" width="8.77734375" style="107"/>
    <col min="3616" max="3616" width="13.88671875" style="107" customWidth="1"/>
    <col min="3617" max="3617" width="10.88671875" style="107" customWidth="1"/>
    <col min="3618" max="3618" width="11.44140625" style="107" customWidth="1"/>
    <col min="3619" max="3619" width="11.77734375" style="107" customWidth="1"/>
    <col min="3620" max="3620" width="11.109375" style="107" customWidth="1"/>
    <col min="3621" max="3621" width="10.88671875" style="107" customWidth="1"/>
    <col min="3622" max="3625" width="8.77734375" style="107"/>
    <col min="3626" max="3626" width="11.44140625" style="107" bestFit="1" customWidth="1"/>
    <col min="3627" max="3627" width="10.21875" style="107" customWidth="1"/>
    <col min="3628" max="3628" width="11.5546875" style="107" customWidth="1"/>
    <col min="3629" max="3629" width="12.109375" style="107" customWidth="1"/>
    <col min="3630" max="3630" width="13.21875" style="107" customWidth="1"/>
    <col min="3631" max="3631" width="14.109375" style="107" customWidth="1"/>
    <col min="3632" max="3632" width="11.77734375" style="107" customWidth="1"/>
    <col min="3633" max="3633" width="9.6640625" style="107" customWidth="1"/>
    <col min="3634" max="3637" width="8.77734375" style="107"/>
    <col min="3638" max="3638" width="28.77734375" style="107" customWidth="1"/>
    <col min="3639" max="3639" width="11.77734375" style="107" customWidth="1"/>
    <col min="3640" max="3640" width="10" style="107" customWidth="1"/>
    <col min="3641" max="3641" width="10.44140625" style="107" customWidth="1"/>
    <col min="3642" max="3643" width="8.77734375" style="107"/>
    <col min="3644" max="3644" width="9.33203125" style="107" customWidth="1"/>
    <col min="3645" max="3645" width="18.44140625" style="107" customWidth="1"/>
    <col min="3646" max="3646" width="11" style="107" customWidth="1"/>
    <col min="3647" max="3647" width="9.5546875" style="107" customWidth="1"/>
    <col min="3648" max="3648" width="10.6640625" style="107" customWidth="1"/>
    <col min="3649" max="3649" width="9.88671875" style="107" customWidth="1"/>
    <col min="3650" max="3650" width="11.44140625" style="107" customWidth="1"/>
    <col min="3651" max="3651" width="9.88671875" style="107" customWidth="1"/>
    <col min="3652" max="3652" width="10" style="107" customWidth="1"/>
    <col min="3653" max="3653" width="6.77734375" style="107" customWidth="1"/>
    <col min="3654" max="3654" width="12.5546875" style="107" customWidth="1"/>
    <col min="3655" max="3655" width="9.5546875" style="107" customWidth="1"/>
    <col min="3656" max="3656" width="10.33203125" style="107" customWidth="1"/>
    <col min="3657" max="3657" width="7.77734375" style="107" customWidth="1"/>
    <col min="3658" max="3658" width="7.21875" style="107" customWidth="1"/>
    <col min="3659" max="3659" width="17.6640625" style="107" customWidth="1"/>
    <col min="3660" max="3660" width="8.77734375" style="107" customWidth="1"/>
    <col min="3661" max="3661" width="13.109375" style="107" bestFit="1" customWidth="1"/>
    <col min="3662" max="3662" width="13.77734375" style="107" customWidth="1"/>
    <col min="3663" max="3664" width="8.77734375" style="107"/>
    <col min="3665" max="3665" width="9" style="107" bestFit="1" customWidth="1"/>
    <col min="3666" max="3674" width="8.77734375" style="107"/>
    <col min="3675" max="3675" width="13.109375" style="107" customWidth="1"/>
    <col min="3676" max="3676" width="8.77734375" style="107"/>
    <col min="3677" max="3677" width="9.88671875" style="107" customWidth="1"/>
    <col min="3678" max="3681" width="8.77734375" style="107"/>
    <col min="3682" max="3682" width="8.5546875" style="107" customWidth="1"/>
    <col min="3683" max="3683" width="30.33203125" style="107" customWidth="1"/>
    <col min="3684" max="3684" width="9" style="107" bestFit="1" customWidth="1"/>
    <col min="3685" max="3685" width="8.77734375" style="107"/>
    <col min="3686" max="3686" width="5.88671875" style="107" customWidth="1"/>
    <col min="3687" max="3687" width="6.88671875" style="107" customWidth="1"/>
    <col min="3688" max="3688" width="23.88671875" style="107" customWidth="1"/>
    <col min="3689" max="3695" width="8.77734375" style="107"/>
    <col min="3696" max="3696" width="9" style="107" bestFit="1" customWidth="1"/>
    <col min="3697" max="3698" width="8.77734375" style="107"/>
    <col min="3699" max="3699" width="32.88671875" style="107" customWidth="1"/>
    <col min="3700" max="3700" width="16.6640625" style="107" customWidth="1"/>
    <col min="3701" max="3701" width="10.21875" style="107" customWidth="1"/>
    <col min="3702" max="3702" width="12.44140625" style="107" customWidth="1"/>
    <col min="3703" max="3703" width="10" style="107" bestFit="1" customWidth="1"/>
    <col min="3704" max="3704" width="8.77734375" style="107"/>
    <col min="3705" max="3705" width="9" style="107" bestFit="1" customWidth="1"/>
    <col min="3706" max="3707" width="8.77734375" style="107"/>
    <col min="3708" max="3708" width="11.6640625" style="107" customWidth="1"/>
    <col min="3709" max="3709" width="8.77734375" style="107"/>
    <col min="3710" max="3710" width="28.77734375" style="107" customWidth="1"/>
    <col min="3711" max="3711" width="12.33203125" style="107" customWidth="1"/>
    <col min="3712" max="3712" width="11.21875" style="107" customWidth="1"/>
    <col min="3713" max="3840" width="8.77734375" style="107"/>
    <col min="3841" max="3841" width="5.6640625" style="107" customWidth="1"/>
    <col min="3842" max="3842" width="26.5546875" style="107" customWidth="1"/>
    <col min="3843" max="3843" width="11.44140625" style="107" customWidth="1"/>
    <col min="3844" max="3844" width="7.44140625" style="107" customWidth="1"/>
    <col min="3845" max="3845" width="8.5546875" style="107" customWidth="1"/>
    <col min="3846" max="3846" width="12.33203125" style="107" customWidth="1"/>
    <col min="3847" max="3847" width="11.77734375" style="107" customWidth="1"/>
    <col min="3848" max="3848" width="8.21875" style="107" customWidth="1"/>
    <col min="3849" max="3849" width="12" style="107" customWidth="1"/>
    <col min="3850" max="3850" width="8.77734375" style="107" customWidth="1"/>
    <col min="3851" max="3851" width="11.109375" style="107" customWidth="1"/>
    <col min="3852" max="3852" width="12.88671875" style="107" customWidth="1"/>
    <col min="3853" max="3853" width="12.5546875" style="107" customWidth="1"/>
    <col min="3854" max="3854" width="9.6640625" style="107" customWidth="1"/>
    <col min="3855" max="3855" width="9.88671875" style="107" customWidth="1"/>
    <col min="3856" max="3856" width="11.33203125" style="107" customWidth="1"/>
    <col min="3857" max="3857" width="11.5546875" style="107" customWidth="1"/>
    <col min="3858" max="3858" width="11.6640625" style="107" customWidth="1"/>
    <col min="3859" max="3859" width="10.33203125" style="107" customWidth="1"/>
    <col min="3860" max="3860" width="11.77734375" style="107" customWidth="1"/>
    <col min="3861" max="3861" width="12.109375" style="107" customWidth="1"/>
    <col min="3862" max="3862" width="11" style="107" customWidth="1"/>
    <col min="3863" max="3863" width="12.109375" style="107" customWidth="1"/>
    <col min="3864" max="3864" width="10.5546875" style="107" customWidth="1"/>
    <col min="3865" max="3865" width="9.88671875" style="107" customWidth="1"/>
    <col min="3866" max="3866" width="10.77734375" style="107" customWidth="1"/>
    <col min="3867" max="3867" width="9.77734375" style="107" customWidth="1"/>
    <col min="3868" max="3868" width="11.21875" style="107" customWidth="1"/>
    <col min="3869" max="3869" width="10.33203125" style="107" customWidth="1"/>
    <col min="3870" max="3870" width="11.88671875" style="107" customWidth="1"/>
    <col min="3871" max="3871" width="8.77734375" style="107"/>
    <col min="3872" max="3872" width="13.88671875" style="107" customWidth="1"/>
    <col min="3873" max="3873" width="10.88671875" style="107" customWidth="1"/>
    <col min="3874" max="3874" width="11.44140625" style="107" customWidth="1"/>
    <col min="3875" max="3875" width="11.77734375" style="107" customWidth="1"/>
    <col min="3876" max="3876" width="11.109375" style="107" customWidth="1"/>
    <col min="3877" max="3877" width="10.88671875" style="107" customWidth="1"/>
    <col min="3878" max="3881" width="8.77734375" style="107"/>
    <col min="3882" max="3882" width="11.44140625" style="107" bestFit="1" customWidth="1"/>
    <col min="3883" max="3883" width="10.21875" style="107" customWidth="1"/>
    <col min="3884" max="3884" width="11.5546875" style="107" customWidth="1"/>
    <col min="3885" max="3885" width="12.109375" style="107" customWidth="1"/>
    <col min="3886" max="3886" width="13.21875" style="107" customWidth="1"/>
    <col min="3887" max="3887" width="14.109375" style="107" customWidth="1"/>
    <col min="3888" max="3888" width="11.77734375" style="107" customWidth="1"/>
    <col min="3889" max="3889" width="9.6640625" style="107" customWidth="1"/>
    <col min="3890" max="3893" width="8.77734375" style="107"/>
    <col min="3894" max="3894" width="28.77734375" style="107" customWidth="1"/>
    <col min="3895" max="3895" width="11.77734375" style="107" customWidth="1"/>
    <col min="3896" max="3896" width="10" style="107" customWidth="1"/>
    <col min="3897" max="3897" width="10.44140625" style="107" customWidth="1"/>
    <col min="3898" max="3899" width="8.77734375" style="107"/>
    <col min="3900" max="3900" width="9.33203125" style="107" customWidth="1"/>
    <col min="3901" max="3901" width="18.44140625" style="107" customWidth="1"/>
    <col min="3902" max="3902" width="11" style="107" customWidth="1"/>
    <col min="3903" max="3903" width="9.5546875" style="107" customWidth="1"/>
    <col min="3904" max="3904" width="10.6640625" style="107" customWidth="1"/>
    <col min="3905" max="3905" width="9.88671875" style="107" customWidth="1"/>
    <col min="3906" max="3906" width="11.44140625" style="107" customWidth="1"/>
    <col min="3907" max="3907" width="9.88671875" style="107" customWidth="1"/>
    <col min="3908" max="3908" width="10" style="107" customWidth="1"/>
    <col min="3909" max="3909" width="6.77734375" style="107" customWidth="1"/>
    <col min="3910" max="3910" width="12.5546875" style="107" customWidth="1"/>
    <col min="3911" max="3911" width="9.5546875" style="107" customWidth="1"/>
    <col min="3912" max="3912" width="10.33203125" style="107" customWidth="1"/>
    <col min="3913" max="3913" width="7.77734375" style="107" customWidth="1"/>
    <col min="3914" max="3914" width="7.21875" style="107" customWidth="1"/>
    <col min="3915" max="3915" width="17.6640625" style="107" customWidth="1"/>
    <col min="3916" max="3916" width="8.77734375" style="107" customWidth="1"/>
    <col min="3917" max="3917" width="13.109375" style="107" bestFit="1" customWidth="1"/>
    <col min="3918" max="3918" width="13.77734375" style="107" customWidth="1"/>
    <col min="3919" max="3920" width="8.77734375" style="107"/>
    <col min="3921" max="3921" width="9" style="107" bestFit="1" customWidth="1"/>
    <col min="3922" max="3930" width="8.77734375" style="107"/>
    <col min="3931" max="3931" width="13.109375" style="107" customWidth="1"/>
    <col min="3932" max="3932" width="8.77734375" style="107"/>
    <col min="3933" max="3933" width="9.88671875" style="107" customWidth="1"/>
    <col min="3934" max="3937" width="8.77734375" style="107"/>
    <col min="3938" max="3938" width="8.5546875" style="107" customWidth="1"/>
    <col min="3939" max="3939" width="30.33203125" style="107" customWidth="1"/>
    <col min="3940" max="3940" width="9" style="107" bestFit="1" customWidth="1"/>
    <col min="3941" max="3941" width="8.77734375" style="107"/>
    <col min="3942" max="3942" width="5.88671875" style="107" customWidth="1"/>
    <col min="3943" max="3943" width="6.88671875" style="107" customWidth="1"/>
    <col min="3944" max="3944" width="23.88671875" style="107" customWidth="1"/>
    <col min="3945" max="3951" width="8.77734375" style="107"/>
    <col min="3952" max="3952" width="9" style="107" bestFit="1" customWidth="1"/>
    <col min="3953" max="3954" width="8.77734375" style="107"/>
    <col min="3955" max="3955" width="32.88671875" style="107" customWidth="1"/>
    <col min="3956" max="3956" width="16.6640625" style="107" customWidth="1"/>
    <col min="3957" max="3957" width="10.21875" style="107" customWidth="1"/>
    <col min="3958" max="3958" width="12.44140625" style="107" customWidth="1"/>
    <col min="3959" max="3959" width="10" style="107" bestFit="1" customWidth="1"/>
    <col min="3960" max="3960" width="8.77734375" style="107"/>
    <col min="3961" max="3961" width="9" style="107" bestFit="1" customWidth="1"/>
    <col min="3962" max="3963" width="8.77734375" style="107"/>
    <col min="3964" max="3964" width="11.6640625" style="107" customWidth="1"/>
    <col min="3965" max="3965" width="8.77734375" style="107"/>
    <col min="3966" max="3966" width="28.77734375" style="107" customWidth="1"/>
    <col min="3967" max="3967" width="12.33203125" style="107" customWidth="1"/>
    <col min="3968" max="3968" width="11.21875" style="107" customWidth="1"/>
    <col min="3969" max="4096" width="8.77734375" style="107"/>
    <col min="4097" max="4097" width="5.6640625" style="107" customWidth="1"/>
    <col min="4098" max="4098" width="26.5546875" style="107" customWidth="1"/>
    <col min="4099" max="4099" width="11.44140625" style="107" customWidth="1"/>
    <col min="4100" max="4100" width="7.44140625" style="107" customWidth="1"/>
    <col min="4101" max="4101" width="8.5546875" style="107" customWidth="1"/>
    <col min="4102" max="4102" width="12.33203125" style="107" customWidth="1"/>
    <col min="4103" max="4103" width="11.77734375" style="107" customWidth="1"/>
    <col min="4104" max="4104" width="8.21875" style="107" customWidth="1"/>
    <col min="4105" max="4105" width="12" style="107" customWidth="1"/>
    <col min="4106" max="4106" width="8.77734375" style="107" customWidth="1"/>
    <col min="4107" max="4107" width="11.109375" style="107" customWidth="1"/>
    <col min="4108" max="4108" width="12.88671875" style="107" customWidth="1"/>
    <col min="4109" max="4109" width="12.5546875" style="107" customWidth="1"/>
    <col min="4110" max="4110" width="9.6640625" style="107" customWidth="1"/>
    <col min="4111" max="4111" width="9.88671875" style="107" customWidth="1"/>
    <col min="4112" max="4112" width="11.33203125" style="107" customWidth="1"/>
    <col min="4113" max="4113" width="11.5546875" style="107" customWidth="1"/>
    <col min="4114" max="4114" width="11.6640625" style="107" customWidth="1"/>
    <col min="4115" max="4115" width="10.33203125" style="107" customWidth="1"/>
    <col min="4116" max="4116" width="11.77734375" style="107" customWidth="1"/>
    <col min="4117" max="4117" width="12.109375" style="107" customWidth="1"/>
    <col min="4118" max="4118" width="11" style="107" customWidth="1"/>
    <col min="4119" max="4119" width="12.109375" style="107" customWidth="1"/>
    <col min="4120" max="4120" width="10.5546875" style="107" customWidth="1"/>
    <col min="4121" max="4121" width="9.88671875" style="107" customWidth="1"/>
    <col min="4122" max="4122" width="10.77734375" style="107" customWidth="1"/>
    <col min="4123" max="4123" width="9.77734375" style="107" customWidth="1"/>
    <col min="4124" max="4124" width="11.21875" style="107" customWidth="1"/>
    <col min="4125" max="4125" width="10.33203125" style="107" customWidth="1"/>
    <col min="4126" max="4126" width="11.88671875" style="107" customWidth="1"/>
    <col min="4127" max="4127" width="8.77734375" style="107"/>
    <col min="4128" max="4128" width="13.88671875" style="107" customWidth="1"/>
    <col min="4129" max="4129" width="10.88671875" style="107" customWidth="1"/>
    <col min="4130" max="4130" width="11.44140625" style="107" customWidth="1"/>
    <col min="4131" max="4131" width="11.77734375" style="107" customWidth="1"/>
    <col min="4132" max="4132" width="11.109375" style="107" customWidth="1"/>
    <col min="4133" max="4133" width="10.88671875" style="107" customWidth="1"/>
    <col min="4134" max="4137" width="8.77734375" style="107"/>
    <col min="4138" max="4138" width="11.44140625" style="107" bestFit="1" customWidth="1"/>
    <col min="4139" max="4139" width="10.21875" style="107" customWidth="1"/>
    <col min="4140" max="4140" width="11.5546875" style="107" customWidth="1"/>
    <col min="4141" max="4141" width="12.109375" style="107" customWidth="1"/>
    <col min="4142" max="4142" width="13.21875" style="107" customWidth="1"/>
    <col min="4143" max="4143" width="14.109375" style="107" customWidth="1"/>
    <col min="4144" max="4144" width="11.77734375" style="107" customWidth="1"/>
    <col min="4145" max="4145" width="9.6640625" style="107" customWidth="1"/>
    <col min="4146" max="4149" width="8.77734375" style="107"/>
    <col min="4150" max="4150" width="28.77734375" style="107" customWidth="1"/>
    <col min="4151" max="4151" width="11.77734375" style="107" customWidth="1"/>
    <col min="4152" max="4152" width="10" style="107" customWidth="1"/>
    <col min="4153" max="4153" width="10.44140625" style="107" customWidth="1"/>
    <col min="4154" max="4155" width="8.77734375" style="107"/>
    <col min="4156" max="4156" width="9.33203125" style="107" customWidth="1"/>
    <col min="4157" max="4157" width="18.44140625" style="107" customWidth="1"/>
    <col min="4158" max="4158" width="11" style="107" customWidth="1"/>
    <col min="4159" max="4159" width="9.5546875" style="107" customWidth="1"/>
    <col min="4160" max="4160" width="10.6640625" style="107" customWidth="1"/>
    <col min="4161" max="4161" width="9.88671875" style="107" customWidth="1"/>
    <col min="4162" max="4162" width="11.44140625" style="107" customWidth="1"/>
    <col min="4163" max="4163" width="9.88671875" style="107" customWidth="1"/>
    <col min="4164" max="4164" width="10" style="107" customWidth="1"/>
    <col min="4165" max="4165" width="6.77734375" style="107" customWidth="1"/>
    <col min="4166" max="4166" width="12.5546875" style="107" customWidth="1"/>
    <col min="4167" max="4167" width="9.5546875" style="107" customWidth="1"/>
    <col min="4168" max="4168" width="10.33203125" style="107" customWidth="1"/>
    <col min="4169" max="4169" width="7.77734375" style="107" customWidth="1"/>
    <col min="4170" max="4170" width="7.21875" style="107" customWidth="1"/>
    <col min="4171" max="4171" width="17.6640625" style="107" customWidth="1"/>
    <col min="4172" max="4172" width="8.77734375" style="107" customWidth="1"/>
    <col min="4173" max="4173" width="13.109375" style="107" bestFit="1" customWidth="1"/>
    <col min="4174" max="4174" width="13.77734375" style="107" customWidth="1"/>
    <col min="4175" max="4176" width="8.77734375" style="107"/>
    <col min="4177" max="4177" width="9" style="107" bestFit="1" customWidth="1"/>
    <col min="4178" max="4186" width="8.77734375" style="107"/>
    <col min="4187" max="4187" width="13.109375" style="107" customWidth="1"/>
    <col min="4188" max="4188" width="8.77734375" style="107"/>
    <col min="4189" max="4189" width="9.88671875" style="107" customWidth="1"/>
    <col min="4190" max="4193" width="8.77734375" style="107"/>
    <col min="4194" max="4194" width="8.5546875" style="107" customWidth="1"/>
    <col min="4195" max="4195" width="30.33203125" style="107" customWidth="1"/>
    <col min="4196" max="4196" width="9" style="107" bestFit="1" customWidth="1"/>
    <col min="4197" max="4197" width="8.77734375" style="107"/>
    <col min="4198" max="4198" width="5.88671875" style="107" customWidth="1"/>
    <col min="4199" max="4199" width="6.88671875" style="107" customWidth="1"/>
    <col min="4200" max="4200" width="23.88671875" style="107" customWidth="1"/>
    <col min="4201" max="4207" width="8.77734375" style="107"/>
    <col min="4208" max="4208" width="9" style="107" bestFit="1" customWidth="1"/>
    <col min="4209" max="4210" width="8.77734375" style="107"/>
    <col min="4211" max="4211" width="32.88671875" style="107" customWidth="1"/>
    <col min="4212" max="4212" width="16.6640625" style="107" customWidth="1"/>
    <col min="4213" max="4213" width="10.21875" style="107" customWidth="1"/>
    <col min="4214" max="4214" width="12.44140625" style="107" customWidth="1"/>
    <col min="4215" max="4215" width="10" style="107" bestFit="1" customWidth="1"/>
    <col min="4216" max="4216" width="8.77734375" style="107"/>
    <col min="4217" max="4217" width="9" style="107" bestFit="1" customWidth="1"/>
    <col min="4218" max="4219" width="8.77734375" style="107"/>
    <col min="4220" max="4220" width="11.6640625" style="107" customWidth="1"/>
    <col min="4221" max="4221" width="8.77734375" style="107"/>
    <col min="4222" max="4222" width="28.77734375" style="107" customWidth="1"/>
    <col min="4223" max="4223" width="12.33203125" style="107" customWidth="1"/>
    <col min="4224" max="4224" width="11.21875" style="107" customWidth="1"/>
    <col min="4225" max="4352" width="8.77734375" style="107"/>
    <col min="4353" max="4353" width="5.6640625" style="107" customWidth="1"/>
    <col min="4354" max="4354" width="26.5546875" style="107" customWidth="1"/>
    <col min="4355" max="4355" width="11.44140625" style="107" customWidth="1"/>
    <col min="4356" max="4356" width="7.44140625" style="107" customWidth="1"/>
    <col min="4357" max="4357" width="8.5546875" style="107" customWidth="1"/>
    <col min="4358" max="4358" width="12.33203125" style="107" customWidth="1"/>
    <col min="4359" max="4359" width="11.77734375" style="107" customWidth="1"/>
    <col min="4360" max="4360" width="8.21875" style="107" customWidth="1"/>
    <col min="4361" max="4361" width="12" style="107" customWidth="1"/>
    <col min="4362" max="4362" width="8.77734375" style="107" customWidth="1"/>
    <col min="4363" max="4363" width="11.109375" style="107" customWidth="1"/>
    <col min="4364" max="4364" width="12.88671875" style="107" customWidth="1"/>
    <col min="4365" max="4365" width="12.5546875" style="107" customWidth="1"/>
    <col min="4366" max="4366" width="9.6640625" style="107" customWidth="1"/>
    <col min="4367" max="4367" width="9.88671875" style="107" customWidth="1"/>
    <col min="4368" max="4368" width="11.33203125" style="107" customWidth="1"/>
    <col min="4369" max="4369" width="11.5546875" style="107" customWidth="1"/>
    <col min="4370" max="4370" width="11.6640625" style="107" customWidth="1"/>
    <col min="4371" max="4371" width="10.33203125" style="107" customWidth="1"/>
    <col min="4372" max="4372" width="11.77734375" style="107" customWidth="1"/>
    <col min="4373" max="4373" width="12.109375" style="107" customWidth="1"/>
    <col min="4374" max="4374" width="11" style="107" customWidth="1"/>
    <col min="4375" max="4375" width="12.109375" style="107" customWidth="1"/>
    <col min="4376" max="4376" width="10.5546875" style="107" customWidth="1"/>
    <col min="4377" max="4377" width="9.88671875" style="107" customWidth="1"/>
    <col min="4378" max="4378" width="10.77734375" style="107" customWidth="1"/>
    <col min="4379" max="4379" width="9.77734375" style="107" customWidth="1"/>
    <col min="4380" max="4380" width="11.21875" style="107" customWidth="1"/>
    <col min="4381" max="4381" width="10.33203125" style="107" customWidth="1"/>
    <col min="4382" max="4382" width="11.88671875" style="107" customWidth="1"/>
    <col min="4383" max="4383" width="8.77734375" style="107"/>
    <col min="4384" max="4384" width="13.88671875" style="107" customWidth="1"/>
    <col min="4385" max="4385" width="10.88671875" style="107" customWidth="1"/>
    <col min="4386" max="4386" width="11.44140625" style="107" customWidth="1"/>
    <col min="4387" max="4387" width="11.77734375" style="107" customWidth="1"/>
    <col min="4388" max="4388" width="11.109375" style="107" customWidth="1"/>
    <col min="4389" max="4389" width="10.88671875" style="107" customWidth="1"/>
    <col min="4390" max="4393" width="8.77734375" style="107"/>
    <col min="4394" max="4394" width="11.44140625" style="107" bestFit="1" customWidth="1"/>
    <col min="4395" max="4395" width="10.21875" style="107" customWidth="1"/>
    <col min="4396" max="4396" width="11.5546875" style="107" customWidth="1"/>
    <col min="4397" max="4397" width="12.109375" style="107" customWidth="1"/>
    <col min="4398" max="4398" width="13.21875" style="107" customWidth="1"/>
    <col min="4399" max="4399" width="14.109375" style="107" customWidth="1"/>
    <col min="4400" max="4400" width="11.77734375" style="107" customWidth="1"/>
    <col min="4401" max="4401" width="9.6640625" style="107" customWidth="1"/>
    <col min="4402" max="4405" width="8.77734375" style="107"/>
    <col min="4406" max="4406" width="28.77734375" style="107" customWidth="1"/>
    <col min="4407" max="4407" width="11.77734375" style="107" customWidth="1"/>
    <col min="4408" max="4408" width="10" style="107" customWidth="1"/>
    <col min="4409" max="4409" width="10.44140625" style="107" customWidth="1"/>
    <col min="4410" max="4411" width="8.77734375" style="107"/>
    <col min="4412" max="4412" width="9.33203125" style="107" customWidth="1"/>
    <col min="4413" max="4413" width="18.44140625" style="107" customWidth="1"/>
    <col min="4414" max="4414" width="11" style="107" customWidth="1"/>
    <col min="4415" max="4415" width="9.5546875" style="107" customWidth="1"/>
    <col min="4416" max="4416" width="10.6640625" style="107" customWidth="1"/>
    <col min="4417" max="4417" width="9.88671875" style="107" customWidth="1"/>
    <col min="4418" max="4418" width="11.44140625" style="107" customWidth="1"/>
    <col min="4419" max="4419" width="9.88671875" style="107" customWidth="1"/>
    <col min="4420" max="4420" width="10" style="107" customWidth="1"/>
    <col min="4421" max="4421" width="6.77734375" style="107" customWidth="1"/>
    <col min="4422" max="4422" width="12.5546875" style="107" customWidth="1"/>
    <col min="4423" max="4423" width="9.5546875" style="107" customWidth="1"/>
    <col min="4424" max="4424" width="10.33203125" style="107" customWidth="1"/>
    <col min="4425" max="4425" width="7.77734375" style="107" customWidth="1"/>
    <col min="4426" max="4426" width="7.21875" style="107" customWidth="1"/>
    <col min="4427" max="4427" width="17.6640625" style="107" customWidth="1"/>
    <col min="4428" max="4428" width="8.77734375" style="107" customWidth="1"/>
    <col min="4429" max="4429" width="13.109375" style="107" bestFit="1" customWidth="1"/>
    <col min="4430" max="4430" width="13.77734375" style="107" customWidth="1"/>
    <col min="4431" max="4432" width="8.77734375" style="107"/>
    <col min="4433" max="4433" width="9" style="107" bestFit="1" customWidth="1"/>
    <col min="4434" max="4442" width="8.77734375" style="107"/>
    <col min="4443" max="4443" width="13.109375" style="107" customWidth="1"/>
    <col min="4444" max="4444" width="8.77734375" style="107"/>
    <col min="4445" max="4445" width="9.88671875" style="107" customWidth="1"/>
    <col min="4446" max="4449" width="8.77734375" style="107"/>
    <col min="4450" max="4450" width="8.5546875" style="107" customWidth="1"/>
    <col min="4451" max="4451" width="30.33203125" style="107" customWidth="1"/>
    <col min="4452" max="4452" width="9" style="107" bestFit="1" customWidth="1"/>
    <col min="4453" max="4453" width="8.77734375" style="107"/>
    <col min="4454" max="4454" width="5.88671875" style="107" customWidth="1"/>
    <col min="4455" max="4455" width="6.88671875" style="107" customWidth="1"/>
    <col min="4456" max="4456" width="23.88671875" style="107" customWidth="1"/>
    <col min="4457" max="4463" width="8.77734375" style="107"/>
    <col min="4464" max="4464" width="9" style="107" bestFit="1" customWidth="1"/>
    <col min="4465" max="4466" width="8.77734375" style="107"/>
    <col min="4467" max="4467" width="32.88671875" style="107" customWidth="1"/>
    <col min="4468" max="4468" width="16.6640625" style="107" customWidth="1"/>
    <col min="4469" max="4469" width="10.21875" style="107" customWidth="1"/>
    <col min="4470" max="4470" width="12.44140625" style="107" customWidth="1"/>
    <col min="4471" max="4471" width="10" style="107" bestFit="1" customWidth="1"/>
    <col min="4472" max="4472" width="8.77734375" style="107"/>
    <col min="4473" max="4473" width="9" style="107" bestFit="1" customWidth="1"/>
    <col min="4474" max="4475" width="8.77734375" style="107"/>
    <col min="4476" max="4476" width="11.6640625" style="107" customWidth="1"/>
    <col min="4477" max="4477" width="8.77734375" style="107"/>
    <col min="4478" max="4478" width="28.77734375" style="107" customWidth="1"/>
    <col min="4479" max="4479" width="12.33203125" style="107" customWidth="1"/>
    <col min="4480" max="4480" width="11.21875" style="107" customWidth="1"/>
    <col min="4481" max="4608" width="8.77734375" style="107"/>
    <col min="4609" max="4609" width="5.6640625" style="107" customWidth="1"/>
    <col min="4610" max="4610" width="26.5546875" style="107" customWidth="1"/>
    <col min="4611" max="4611" width="11.44140625" style="107" customWidth="1"/>
    <col min="4612" max="4612" width="7.44140625" style="107" customWidth="1"/>
    <col min="4613" max="4613" width="8.5546875" style="107" customWidth="1"/>
    <col min="4614" max="4614" width="12.33203125" style="107" customWidth="1"/>
    <col min="4615" max="4615" width="11.77734375" style="107" customWidth="1"/>
    <col min="4616" max="4616" width="8.21875" style="107" customWidth="1"/>
    <col min="4617" max="4617" width="12" style="107" customWidth="1"/>
    <col min="4618" max="4618" width="8.77734375" style="107" customWidth="1"/>
    <col min="4619" max="4619" width="11.109375" style="107" customWidth="1"/>
    <col min="4620" max="4620" width="12.88671875" style="107" customWidth="1"/>
    <col min="4621" max="4621" width="12.5546875" style="107" customWidth="1"/>
    <col min="4622" max="4622" width="9.6640625" style="107" customWidth="1"/>
    <col min="4623" max="4623" width="9.88671875" style="107" customWidth="1"/>
    <col min="4624" max="4624" width="11.33203125" style="107" customWidth="1"/>
    <col min="4625" max="4625" width="11.5546875" style="107" customWidth="1"/>
    <col min="4626" max="4626" width="11.6640625" style="107" customWidth="1"/>
    <col min="4627" max="4627" width="10.33203125" style="107" customWidth="1"/>
    <col min="4628" max="4628" width="11.77734375" style="107" customWidth="1"/>
    <col min="4629" max="4629" width="12.109375" style="107" customWidth="1"/>
    <col min="4630" max="4630" width="11" style="107" customWidth="1"/>
    <col min="4631" max="4631" width="12.109375" style="107" customWidth="1"/>
    <col min="4632" max="4632" width="10.5546875" style="107" customWidth="1"/>
    <col min="4633" max="4633" width="9.88671875" style="107" customWidth="1"/>
    <col min="4634" max="4634" width="10.77734375" style="107" customWidth="1"/>
    <col min="4635" max="4635" width="9.77734375" style="107" customWidth="1"/>
    <col min="4636" max="4636" width="11.21875" style="107" customWidth="1"/>
    <col min="4637" max="4637" width="10.33203125" style="107" customWidth="1"/>
    <col min="4638" max="4638" width="11.88671875" style="107" customWidth="1"/>
    <col min="4639" max="4639" width="8.77734375" style="107"/>
    <col min="4640" max="4640" width="13.88671875" style="107" customWidth="1"/>
    <col min="4641" max="4641" width="10.88671875" style="107" customWidth="1"/>
    <col min="4642" max="4642" width="11.44140625" style="107" customWidth="1"/>
    <col min="4643" max="4643" width="11.77734375" style="107" customWidth="1"/>
    <col min="4644" max="4644" width="11.109375" style="107" customWidth="1"/>
    <col min="4645" max="4645" width="10.88671875" style="107" customWidth="1"/>
    <col min="4646" max="4649" width="8.77734375" style="107"/>
    <col min="4650" max="4650" width="11.44140625" style="107" bestFit="1" customWidth="1"/>
    <col min="4651" max="4651" width="10.21875" style="107" customWidth="1"/>
    <col min="4652" max="4652" width="11.5546875" style="107" customWidth="1"/>
    <col min="4653" max="4653" width="12.109375" style="107" customWidth="1"/>
    <col min="4654" max="4654" width="13.21875" style="107" customWidth="1"/>
    <col min="4655" max="4655" width="14.109375" style="107" customWidth="1"/>
    <col min="4656" max="4656" width="11.77734375" style="107" customWidth="1"/>
    <col min="4657" max="4657" width="9.6640625" style="107" customWidth="1"/>
    <col min="4658" max="4661" width="8.77734375" style="107"/>
    <col min="4662" max="4662" width="28.77734375" style="107" customWidth="1"/>
    <col min="4663" max="4663" width="11.77734375" style="107" customWidth="1"/>
    <col min="4664" max="4664" width="10" style="107" customWidth="1"/>
    <col min="4665" max="4665" width="10.44140625" style="107" customWidth="1"/>
    <col min="4666" max="4667" width="8.77734375" style="107"/>
    <col min="4668" max="4668" width="9.33203125" style="107" customWidth="1"/>
    <col min="4669" max="4669" width="18.44140625" style="107" customWidth="1"/>
    <col min="4670" max="4670" width="11" style="107" customWidth="1"/>
    <col min="4671" max="4671" width="9.5546875" style="107" customWidth="1"/>
    <col min="4672" max="4672" width="10.6640625" style="107" customWidth="1"/>
    <col min="4673" max="4673" width="9.88671875" style="107" customWidth="1"/>
    <col min="4674" max="4674" width="11.44140625" style="107" customWidth="1"/>
    <col min="4675" max="4675" width="9.88671875" style="107" customWidth="1"/>
    <col min="4676" max="4676" width="10" style="107" customWidth="1"/>
    <col min="4677" max="4677" width="6.77734375" style="107" customWidth="1"/>
    <col min="4678" max="4678" width="12.5546875" style="107" customWidth="1"/>
    <col min="4679" max="4679" width="9.5546875" style="107" customWidth="1"/>
    <col min="4680" max="4680" width="10.33203125" style="107" customWidth="1"/>
    <col min="4681" max="4681" width="7.77734375" style="107" customWidth="1"/>
    <col min="4682" max="4682" width="7.21875" style="107" customWidth="1"/>
    <col min="4683" max="4683" width="17.6640625" style="107" customWidth="1"/>
    <col min="4684" max="4684" width="8.77734375" style="107" customWidth="1"/>
    <col min="4685" max="4685" width="13.109375" style="107" bestFit="1" customWidth="1"/>
    <col min="4686" max="4686" width="13.77734375" style="107" customWidth="1"/>
    <col min="4687" max="4688" width="8.77734375" style="107"/>
    <col min="4689" max="4689" width="9" style="107" bestFit="1" customWidth="1"/>
    <col min="4690" max="4698" width="8.77734375" style="107"/>
    <col min="4699" max="4699" width="13.109375" style="107" customWidth="1"/>
    <col min="4700" max="4700" width="8.77734375" style="107"/>
    <col min="4701" max="4701" width="9.88671875" style="107" customWidth="1"/>
    <col min="4702" max="4705" width="8.77734375" style="107"/>
    <col min="4706" max="4706" width="8.5546875" style="107" customWidth="1"/>
    <col min="4707" max="4707" width="30.33203125" style="107" customWidth="1"/>
    <col min="4708" max="4708" width="9" style="107" bestFit="1" customWidth="1"/>
    <col min="4709" max="4709" width="8.77734375" style="107"/>
    <col min="4710" max="4710" width="5.88671875" style="107" customWidth="1"/>
    <col min="4711" max="4711" width="6.88671875" style="107" customWidth="1"/>
    <col min="4712" max="4712" width="23.88671875" style="107" customWidth="1"/>
    <col min="4713" max="4719" width="8.77734375" style="107"/>
    <col min="4720" max="4720" width="9" style="107" bestFit="1" customWidth="1"/>
    <col min="4721" max="4722" width="8.77734375" style="107"/>
    <col min="4723" max="4723" width="32.88671875" style="107" customWidth="1"/>
    <col min="4724" max="4724" width="16.6640625" style="107" customWidth="1"/>
    <col min="4725" max="4725" width="10.21875" style="107" customWidth="1"/>
    <col min="4726" max="4726" width="12.44140625" style="107" customWidth="1"/>
    <col min="4727" max="4727" width="10" style="107" bestFit="1" customWidth="1"/>
    <col min="4728" max="4728" width="8.77734375" style="107"/>
    <col min="4729" max="4729" width="9" style="107" bestFit="1" customWidth="1"/>
    <col min="4730" max="4731" width="8.77734375" style="107"/>
    <col min="4732" max="4732" width="11.6640625" style="107" customWidth="1"/>
    <col min="4733" max="4733" width="8.77734375" style="107"/>
    <col min="4734" max="4734" width="28.77734375" style="107" customWidth="1"/>
    <col min="4735" max="4735" width="12.33203125" style="107" customWidth="1"/>
    <col min="4736" max="4736" width="11.21875" style="107" customWidth="1"/>
    <col min="4737" max="4864" width="8.77734375" style="107"/>
    <col min="4865" max="4865" width="5.6640625" style="107" customWidth="1"/>
    <col min="4866" max="4866" width="26.5546875" style="107" customWidth="1"/>
    <col min="4867" max="4867" width="11.44140625" style="107" customWidth="1"/>
    <col min="4868" max="4868" width="7.44140625" style="107" customWidth="1"/>
    <col min="4869" max="4869" width="8.5546875" style="107" customWidth="1"/>
    <col min="4870" max="4870" width="12.33203125" style="107" customWidth="1"/>
    <col min="4871" max="4871" width="11.77734375" style="107" customWidth="1"/>
    <col min="4872" max="4872" width="8.21875" style="107" customWidth="1"/>
    <col min="4873" max="4873" width="12" style="107" customWidth="1"/>
    <col min="4874" max="4874" width="8.77734375" style="107" customWidth="1"/>
    <col min="4875" max="4875" width="11.109375" style="107" customWidth="1"/>
    <col min="4876" max="4876" width="12.88671875" style="107" customWidth="1"/>
    <col min="4877" max="4877" width="12.5546875" style="107" customWidth="1"/>
    <col min="4878" max="4878" width="9.6640625" style="107" customWidth="1"/>
    <col min="4879" max="4879" width="9.88671875" style="107" customWidth="1"/>
    <col min="4880" max="4880" width="11.33203125" style="107" customWidth="1"/>
    <col min="4881" max="4881" width="11.5546875" style="107" customWidth="1"/>
    <col min="4882" max="4882" width="11.6640625" style="107" customWidth="1"/>
    <col min="4883" max="4883" width="10.33203125" style="107" customWidth="1"/>
    <col min="4884" max="4884" width="11.77734375" style="107" customWidth="1"/>
    <col min="4885" max="4885" width="12.109375" style="107" customWidth="1"/>
    <col min="4886" max="4886" width="11" style="107" customWidth="1"/>
    <col min="4887" max="4887" width="12.109375" style="107" customWidth="1"/>
    <col min="4888" max="4888" width="10.5546875" style="107" customWidth="1"/>
    <col min="4889" max="4889" width="9.88671875" style="107" customWidth="1"/>
    <col min="4890" max="4890" width="10.77734375" style="107" customWidth="1"/>
    <col min="4891" max="4891" width="9.77734375" style="107" customWidth="1"/>
    <col min="4892" max="4892" width="11.21875" style="107" customWidth="1"/>
    <col min="4893" max="4893" width="10.33203125" style="107" customWidth="1"/>
    <col min="4894" max="4894" width="11.88671875" style="107" customWidth="1"/>
    <col min="4895" max="4895" width="8.77734375" style="107"/>
    <col min="4896" max="4896" width="13.88671875" style="107" customWidth="1"/>
    <col min="4897" max="4897" width="10.88671875" style="107" customWidth="1"/>
    <col min="4898" max="4898" width="11.44140625" style="107" customWidth="1"/>
    <col min="4899" max="4899" width="11.77734375" style="107" customWidth="1"/>
    <col min="4900" max="4900" width="11.109375" style="107" customWidth="1"/>
    <col min="4901" max="4901" width="10.88671875" style="107" customWidth="1"/>
    <col min="4902" max="4905" width="8.77734375" style="107"/>
    <col min="4906" max="4906" width="11.44140625" style="107" bestFit="1" customWidth="1"/>
    <col min="4907" max="4907" width="10.21875" style="107" customWidth="1"/>
    <col min="4908" max="4908" width="11.5546875" style="107" customWidth="1"/>
    <col min="4909" max="4909" width="12.109375" style="107" customWidth="1"/>
    <col min="4910" max="4910" width="13.21875" style="107" customWidth="1"/>
    <col min="4911" max="4911" width="14.109375" style="107" customWidth="1"/>
    <col min="4912" max="4912" width="11.77734375" style="107" customWidth="1"/>
    <col min="4913" max="4913" width="9.6640625" style="107" customWidth="1"/>
    <col min="4914" max="4917" width="8.77734375" style="107"/>
    <col min="4918" max="4918" width="28.77734375" style="107" customWidth="1"/>
    <col min="4919" max="4919" width="11.77734375" style="107" customWidth="1"/>
    <col min="4920" max="4920" width="10" style="107" customWidth="1"/>
    <col min="4921" max="4921" width="10.44140625" style="107" customWidth="1"/>
    <col min="4922" max="4923" width="8.77734375" style="107"/>
    <col min="4924" max="4924" width="9.33203125" style="107" customWidth="1"/>
    <col min="4925" max="4925" width="18.44140625" style="107" customWidth="1"/>
    <col min="4926" max="4926" width="11" style="107" customWidth="1"/>
    <col min="4927" max="4927" width="9.5546875" style="107" customWidth="1"/>
    <col min="4928" max="4928" width="10.6640625" style="107" customWidth="1"/>
    <col min="4929" max="4929" width="9.88671875" style="107" customWidth="1"/>
    <col min="4930" max="4930" width="11.44140625" style="107" customWidth="1"/>
    <col min="4931" max="4931" width="9.88671875" style="107" customWidth="1"/>
    <col min="4932" max="4932" width="10" style="107" customWidth="1"/>
    <col min="4933" max="4933" width="6.77734375" style="107" customWidth="1"/>
    <col min="4934" max="4934" width="12.5546875" style="107" customWidth="1"/>
    <col min="4935" max="4935" width="9.5546875" style="107" customWidth="1"/>
    <col min="4936" max="4936" width="10.33203125" style="107" customWidth="1"/>
    <col min="4937" max="4937" width="7.77734375" style="107" customWidth="1"/>
    <col min="4938" max="4938" width="7.21875" style="107" customWidth="1"/>
    <col min="4939" max="4939" width="17.6640625" style="107" customWidth="1"/>
    <col min="4940" max="4940" width="8.77734375" style="107" customWidth="1"/>
    <col min="4941" max="4941" width="13.109375" style="107" bestFit="1" customWidth="1"/>
    <col min="4942" max="4942" width="13.77734375" style="107" customWidth="1"/>
    <col min="4943" max="4944" width="8.77734375" style="107"/>
    <col min="4945" max="4945" width="9" style="107" bestFit="1" customWidth="1"/>
    <col min="4946" max="4954" width="8.77734375" style="107"/>
    <col min="4955" max="4955" width="13.109375" style="107" customWidth="1"/>
    <col min="4956" max="4956" width="8.77734375" style="107"/>
    <col min="4957" max="4957" width="9.88671875" style="107" customWidth="1"/>
    <col min="4958" max="4961" width="8.77734375" style="107"/>
    <col min="4962" max="4962" width="8.5546875" style="107" customWidth="1"/>
    <col min="4963" max="4963" width="30.33203125" style="107" customWidth="1"/>
    <col min="4964" max="4964" width="9" style="107" bestFit="1" customWidth="1"/>
    <col min="4965" max="4965" width="8.77734375" style="107"/>
    <col min="4966" max="4966" width="5.88671875" style="107" customWidth="1"/>
    <col min="4967" max="4967" width="6.88671875" style="107" customWidth="1"/>
    <col min="4968" max="4968" width="23.88671875" style="107" customWidth="1"/>
    <col min="4969" max="4975" width="8.77734375" style="107"/>
    <col min="4976" max="4976" width="9" style="107" bestFit="1" customWidth="1"/>
    <col min="4977" max="4978" width="8.77734375" style="107"/>
    <col min="4979" max="4979" width="32.88671875" style="107" customWidth="1"/>
    <col min="4980" max="4980" width="16.6640625" style="107" customWidth="1"/>
    <col min="4981" max="4981" width="10.21875" style="107" customWidth="1"/>
    <col min="4982" max="4982" width="12.44140625" style="107" customWidth="1"/>
    <col min="4983" max="4983" width="10" style="107" bestFit="1" customWidth="1"/>
    <col min="4984" max="4984" width="8.77734375" style="107"/>
    <col min="4985" max="4985" width="9" style="107" bestFit="1" customWidth="1"/>
    <col min="4986" max="4987" width="8.77734375" style="107"/>
    <col min="4988" max="4988" width="11.6640625" style="107" customWidth="1"/>
    <col min="4989" max="4989" width="8.77734375" style="107"/>
    <col min="4990" max="4990" width="28.77734375" style="107" customWidth="1"/>
    <col min="4991" max="4991" width="12.33203125" style="107" customWidth="1"/>
    <col min="4992" max="4992" width="11.21875" style="107" customWidth="1"/>
    <col min="4993" max="5120" width="8.77734375" style="107"/>
    <col min="5121" max="5121" width="5.6640625" style="107" customWidth="1"/>
    <col min="5122" max="5122" width="26.5546875" style="107" customWidth="1"/>
    <col min="5123" max="5123" width="11.44140625" style="107" customWidth="1"/>
    <col min="5124" max="5124" width="7.44140625" style="107" customWidth="1"/>
    <col min="5125" max="5125" width="8.5546875" style="107" customWidth="1"/>
    <col min="5126" max="5126" width="12.33203125" style="107" customWidth="1"/>
    <col min="5127" max="5127" width="11.77734375" style="107" customWidth="1"/>
    <col min="5128" max="5128" width="8.21875" style="107" customWidth="1"/>
    <col min="5129" max="5129" width="12" style="107" customWidth="1"/>
    <col min="5130" max="5130" width="8.77734375" style="107" customWidth="1"/>
    <col min="5131" max="5131" width="11.109375" style="107" customWidth="1"/>
    <col min="5132" max="5132" width="12.88671875" style="107" customWidth="1"/>
    <col min="5133" max="5133" width="12.5546875" style="107" customWidth="1"/>
    <col min="5134" max="5134" width="9.6640625" style="107" customWidth="1"/>
    <col min="5135" max="5135" width="9.88671875" style="107" customWidth="1"/>
    <col min="5136" max="5136" width="11.33203125" style="107" customWidth="1"/>
    <col min="5137" max="5137" width="11.5546875" style="107" customWidth="1"/>
    <col min="5138" max="5138" width="11.6640625" style="107" customWidth="1"/>
    <col min="5139" max="5139" width="10.33203125" style="107" customWidth="1"/>
    <col min="5140" max="5140" width="11.77734375" style="107" customWidth="1"/>
    <col min="5141" max="5141" width="12.109375" style="107" customWidth="1"/>
    <col min="5142" max="5142" width="11" style="107" customWidth="1"/>
    <col min="5143" max="5143" width="12.109375" style="107" customWidth="1"/>
    <col min="5144" max="5144" width="10.5546875" style="107" customWidth="1"/>
    <col min="5145" max="5145" width="9.88671875" style="107" customWidth="1"/>
    <col min="5146" max="5146" width="10.77734375" style="107" customWidth="1"/>
    <col min="5147" max="5147" width="9.77734375" style="107" customWidth="1"/>
    <col min="5148" max="5148" width="11.21875" style="107" customWidth="1"/>
    <col min="5149" max="5149" width="10.33203125" style="107" customWidth="1"/>
    <col min="5150" max="5150" width="11.88671875" style="107" customWidth="1"/>
    <col min="5151" max="5151" width="8.77734375" style="107"/>
    <col min="5152" max="5152" width="13.88671875" style="107" customWidth="1"/>
    <col min="5153" max="5153" width="10.88671875" style="107" customWidth="1"/>
    <col min="5154" max="5154" width="11.44140625" style="107" customWidth="1"/>
    <col min="5155" max="5155" width="11.77734375" style="107" customWidth="1"/>
    <col min="5156" max="5156" width="11.109375" style="107" customWidth="1"/>
    <col min="5157" max="5157" width="10.88671875" style="107" customWidth="1"/>
    <col min="5158" max="5161" width="8.77734375" style="107"/>
    <col min="5162" max="5162" width="11.44140625" style="107" bestFit="1" customWidth="1"/>
    <col min="5163" max="5163" width="10.21875" style="107" customWidth="1"/>
    <col min="5164" max="5164" width="11.5546875" style="107" customWidth="1"/>
    <col min="5165" max="5165" width="12.109375" style="107" customWidth="1"/>
    <col min="5166" max="5166" width="13.21875" style="107" customWidth="1"/>
    <col min="5167" max="5167" width="14.109375" style="107" customWidth="1"/>
    <col min="5168" max="5168" width="11.77734375" style="107" customWidth="1"/>
    <col min="5169" max="5169" width="9.6640625" style="107" customWidth="1"/>
    <col min="5170" max="5173" width="8.77734375" style="107"/>
    <col min="5174" max="5174" width="28.77734375" style="107" customWidth="1"/>
    <col min="5175" max="5175" width="11.77734375" style="107" customWidth="1"/>
    <col min="5176" max="5176" width="10" style="107" customWidth="1"/>
    <col min="5177" max="5177" width="10.44140625" style="107" customWidth="1"/>
    <col min="5178" max="5179" width="8.77734375" style="107"/>
    <col min="5180" max="5180" width="9.33203125" style="107" customWidth="1"/>
    <col min="5181" max="5181" width="18.44140625" style="107" customWidth="1"/>
    <col min="5182" max="5182" width="11" style="107" customWidth="1"/>
    <col min="5183" max="5183" width="9.5546875" style="107" customWidth="1"/>
    <col min="5184" max="5184" width="10.6640625" style="107" customWidth="1"/>
    <col min="5185" max="5185" width="9.88671875" style="107" customWidth="1"/>
    <col min="5186" max="5186" width="11.44140625" style="107" customWidth="1"/>
    <col min="5187" max="5187" width="9.88671875" style="107" customWidth="1"/>
    <col min="5188" max="5188" width="10" style="107" customWidth="1"/>
    <col min="5189" max="5189" width="6.77734375" style="107" customWidth="1"/>
    <col min="5190" max="5190" width="12.5546875" style="107" customWidth="1"/>
    <col min="5191" max="5191" width="9.5546875" style="107" customWidth="1"/>
    <col min="5192" max="5192" width="10.33203125" style="107" customWidth="1"/>
    <col min="5193" max="5193" width="7.77734375" style="107" customWidth="1"/>
    <col min="5194" max="5194" width="7.21875" style="107" customWidth="1"/>
    <col min="5195" max="5195" width="17.6640625" style="107" customWidth="1"/>
    <col min="5196" max="5196" width="8.77734375" style="107" customWidth="1"/>
    <col min="5197" max="5197" width="13.109375" style="107" bestFit="1" customWidth="1"/>
    <col min="5198" max="5198" width="13.77734375" style="107" customWidth="1"/>
    <col min="5199" max="5200" width="8.77734375" style="107"/>
    <col min="5201" max="5201" width="9" style="107" bestFit="1" customWidth="1"/>
    <col min="5202" max="5210" width="8.77734375" style="107"/>
    <col min="5211" max="5211" width="13.109375" style="107" customWidth="1"/>
    <col min="5212" max="5212" width="8.77734375" style="107"/>
    <col min="5213" max="5213" width="9.88671875" style="107" customWidth="1"/>
    <col min="5214" max="5217" width="8.77734375" style="107"/>
    <col min="5218" max="5218" width="8.5546875" style="107" customWidth="1"/>
    <col min="5219" max="5219" width="30.33203125" style="107" customWidth="1"/>
    <col min="5220" max="5220" width="9" style="107" bestFit="1" customWidth="1"/>
    <col min="5221" max="5221" width="8.77734375" style="107"/>
    <col min="5222" max="5222" width="5.88671875" style="107" customWidth="1"/>
    <col min="5223" max="5223" width="6.88671875" style="107" customWidth="1"/>
    <col min="5224" max="5224" width="23.88671875" style="107" customWidth="1"/>
    <col min="5225" max="5231" width="8.77734375" style="107"/>
    <col min="5232" max="5232" width="9" style="107" bestFit="1" customWidth="1"/>
    <col min="5233" max="5234" width="8.77734375" style="107"/>
    <col min="5235" max="5235" width="32.88671875" style="107" customWidth="1"/>
    <col min="5236" max="5236" width="16.6640625" style="107" customWidth="1"/>
    <col min="5237" max="5237" width="10.21875" style="107" customWidth="1"/>
    <col min="5238" max="5238" width="12.44140625" style="107" customWidth="1"/>
    <col min="5239" max="5239" width="10" style="107" bestFit="1" customWidth="1"/>
    <col min="5240" max="5240" width="8.77734375" style="107"/>
    <col min="5241" max="5241" width="9" style="107" bestFit="1" customWidth="1"/>
    <col min="5242" max="5243" width="8.77734375" style="107"/>
    <col min="5244" max="5244" width="11.6640625" style="107" customWidth="1"/>
    <col min="5245" max="5245" width="8.77734375" style="107"/>
    <col min="5246" max="5246" width="28.77734375" style="107" customWidth="1"/>
    <col min="5247" max="5247" width="12.33203125" style="107" customWidth="1"/>
    <col min="5248" max="5248" width="11.21875" style="107" customWidth="1"/>
    <col min="5249" max="5376" width="8.77734375" style="107"/>
    <col min="5377" max="5377" width="5.6640625" style="107" customWidth="1"/>
    <col min="5378" max="5378" width="26.5546875" style="107" customWidth="1"/>
    <col min="5379" max="5379" width="11.44140625" style="107" customWidth="1"/>
    <col min="5380" max="5380" width="7.44140625" style="107" customWidth="1"/>
    <col min="5381" max="5381" width="8.5546875" style="107" customWidth="1"/>
    <col min="5382" max="5382" width="12.33203125" style="107" customWidth="1"/>
    <col min="5383" max="5383" width="11.77734375" style="107" customWidth="1"/>
    <col min="5384" max="5384" width="8.21875" style="107" customWidth="1"/>
    <col min="5385" max="5385" width="12" style="107" customWidth="1"/>
    <col min="5386" max="5386" width="8.77734375" style="107" customWidth="1"/>
    <col min="5387" max="5387" width="11.109375" style="107" customWidth="1"/>
    <col min="5388" max="5388" width="12.88671875" style="107" customWidth="1"/>
    <col min="5389" max="5389" width="12.5546875" style="107" customWidth="1"/>
    <col min="5390" max="5390" width="9.6640625" style="107" customWidth="1"/>
    <col min="5391" max="5391" width="9.88671875" style="107" customWidth="1"/>
    <col min="5392" max="5392" width="11.33203125" style="107" customWidth="1"/>
    <col min="5393" max="5393" width="11.5546875" style="107" customWidth="1"/>
    <col min="5394" max="5394" width="11.6640625" style="107" customWidth="1"/>
    <col min="5395" max="5395" width="10.33203125" style="107" customWidth="1"/>
    <col min="5396" max="5396" width="11.77734375" style="107" customWidth="1"/>
    <col min="5397" max="5397" width="12.109375" style="107" customWidth="1"/>
    <col min="5398" max="5398" width="11" style="107" customWidth="1"/>
    <col min="5399" max="5399" width="12.109375" style="107" customWidth="1"/>
    <col min="5400" max="5400" width="10.5546875" style="107" customWidth="1"/>
    <col min="5401" max="5401" width="9.88671875" style="107" customWidth="1"/>
    <col min="5402" max="5402" width="10.77734375" style="107" customWidth="1"/>
    <col min="5403" max="5403" width="9.77734375" style="107" customWidth="1"/>
    <col min="5404" max="5404" width="11.21875" style="107" customWidth="1"/>
    <col min="5405" max="5405" width="10.33203125" style="107" customWidth="1"/>
    <col min="5406" max="5406" width="11.88671875" style="107" customWidth="1"/>
    <col min="5407" max="5407" width="8.77734375" style="107"/>
    <col min="5408" max="5408" width="13.88671875" style="107" customWidth="1"/>
    <col min="5409" max="5409" width="10.88671875" style="107" customWidth="1"/>
    <col min="5410" max="5410" width="11.44140625" style="107" customWidth="1"/>
    <col min="5411" max="5411" width="11.77734375" style="107" customWidth="1"/>
    <col min="5412" max="5412" width="11.109375" style="107" customWidth="1"/>
    <col min="5413" max="5413" width="10.88671875" style="107" customWidth="1"/>
    <col min="5414" max="5417" width="8.77734375" style="107"/>
    <col min="5418" max="5418" width="11.44140625" style="107" bestFit="1" customWidth="1"/>
    <col min="5419" max="5419" width="10.21875" style="107" customWidth="1"/>
    <col min="5420" max="5420" width="11.5546875" style="107" customWidth="1"/>
    <col min="5421" max="5421" width="12.109375" style="107" customWidth="1"/>
    <col min="5422" max="5422" width="13.21875" style="107" customWidth="1"/>
    <col min="5423" max="5423" width="14.109375" style="107" customWidth="1"/>
    <col min="5424" max="5424" width="11.77734375" style="107" customWidth="1"/>
    <col min="5425" max="5425" width="9.6640625" style="107" customWidth="1"/>
    <col min="5426" max="5429" width="8.77734375" style="107"/>
    <col min="5430" max="5430" width="28.77734375" style="107" customWidth="1"/>
    <col min="5431" max="5431" width="11.77734375" style="107" customWidth="1"/>
    <col min="5432" max="5432" width="10" style="107" customWidth="1"/>
    <col min="5433" max="5433" width="10.44140625" style="107" customWidth="1"/>
    <col min="5434" max="5435" width="8.77734375" style="107"/>
    <col min="5436" max="5436" width="9.33203125" style="107" customWidth="1"/>
    <col min="5437" max="5437" width="18.44140625" style="107" customWidth="1"/>
    <col min="5438" max="5438" width="11" style="107" customWidth="1"/>
    <col min="5439" max="5439" width="9.5546875" style="107" customWidth="1"/>
    <col min="5440" max="5440" width="10.6640625" style="107" customWidth="1"/>
    <col min="5441" max="5441" width="9.88671875" style="107" customWidth="1"/>
    <col min="5442" max="5442" width="11.44140625" style="107" customWidth="1"/>
    <col min="5443" max="5443" width="9.88671875" style="107" customWidth="1"/>
    <col min="5444" max="5444" width="10" style="107" customWidth="1"/>
    <col min="5445" max="5445" width="6.77734375" style="107" customWidth="1"/>
    <col min="5446" max="5446" width="12.5546875" style="107" customWidth="1"/>
    <col min="5447" max="5447" width="9.5546875" style="107" customWidth="1"/>
    <col min="5448" max="5448" width="10.33203125" style="107" customWidth="1"/>
    <col min="5449" max="5449" width="7.77734375" style="107" customWidth="1"/>
    <col min="5450" max="5450" width="7.21875" style="107" customWidth="1"/>
    <col min="5451" max="5451" width="17.6640625" style="107" customWidth="1"/>
    <col min="5452" max="5452" width="8.77734375" style="107" customWidth="1"/>
    <col min="5453" max="5453" width="13.109375" style="107" bestFit="1" customWidth="1"/>
    <col min="5454" max="5454" width="13.77734375" style="107" customWidth="1"/>
    <col min="5455" max="5456" width="8.77734375" style="107"/>
    <col min="5457" max="5457" width="9" style="107" bestFit="1" customWidth="1"/>
    <col min="5458" max="5466" width="8.77734375" style="107"/>
    <col min="5467" max="5467" width="13.109375" style="107" customWidth="1"/>
    <col min="5468" max="5468" width="8.77734375" style="107"/>
    <col min="5469" max="5469" width="9.88671875" style="107" customWidth="1"/>
    <col min="5470" max="5473" width="8.77734375" style="107"/>
    <col min="5474" max="5474" width="8.5546875" style="107" customWidth="1"/>
    <col min="5475" max="5475" width="30.33203125" style="107" customWidth="1"/>
    <col min="5476" max="5476" width="9" style="107" bestFit="1" customWidth="1"/>
    <col min="5477" max="5477" width="8.77734375" style="107"/>
    <col min="5478" max="5478" width="5.88671875" style="107" customWidth="1"/>
    <col min="5479" max="5479" width="6.88671875" style="107" customWidth="1"/>
    <col min="5480" max="5480" width="23.88671875" style="107" customWidth="1"/>
    <col min="5481" max="5487" width="8.77734375" style="107"/>
    <col min="5488" max="5488" width="9" style="107" bestFit="1" customWidth="1"/>
    <col min="5489" max="5490" width="8.77734375" style="107"/>
    <col min="5491" max="5491" width="32.88671875" style="107" customWidth="1"/>
    <col min="5492" max="5492" width="16.6640625" style="107" customWidth="1"/>
    <col min="5493" max="5493" width="10.21875" style="107" customWidth="1"/>
    <col min="5494" max="5494" width="12.44140625" style="107" customWidth="1"/>
    <col min="5495" max="5495" width="10" style="107" bestFit="1" customWidth="1"/>
    <col min="5496" max="5496" width="8.77734375" style="107"/>
    <col min="5497" max="5497" width="9" style="107" bestFit="1" customWidth="1"/>
    <col min="5498" max="5499" width="8.77734375" style="107"/>
    <col min="5500" max="5500" width="11.6640625" style="107" customWidth="1"/>
    <col min="5501" max="5501" width="8.77734375" style="107"/>
    <col min="5502" max="5502" width="28.77734375" style="107" customWidth="1"/>
    <col min="5503" max="5503" width="12.33203125" style="107" customWidth="1"/>
    <col min="5504" max="5504" width="11.21875" style="107" customWidth="1"/>
    <col min="5505" max="5632" width="8.77734375" style="107"/>
    <col min="5633" max="5633" width="5.6640625" style="107" customWidth="1"/>
    <col min="5634" max="5634" width="26.5546875" style="107" customWidth="1"/>
    <col min="5635" max="5635" width="11.44140625" style="107" customWidth="1"/>
    <col min="5636" max="5636" width="7.44140625" style="107" customWidth="1"/>
    <col min="5637" max="5637" width="8.5546875" style="107" customWidth="1"/>
    <col min="5638" max="5638" width="12.33203125" style="107" customWidth="1"/>
    <col min="5639" max="5639" width="11.77734375" style="107" customWidth="1"/>
    <col min="5640" max="5640" width="8.21875" style="107" customWidth="1"/>
    <col min="5641" max="5641" width="12" style="107" customWidth="1"/>
    <col min="5642" max="5642" width="8.77734375" style="107" customWidth="1"/>
    <col min="5643" max="5643" width="11.109375" style="107" customWidth="1"/>
    <col min="5644" max="5644" width="12.88671875" style="107" customWidth="1"/>
    <col min="5645" max="5645" width="12.5546875" style="107" customWidth="1"/>
    <col min="5646" max="5646" width="9.6640625" style="107" customWidth="1"/>
    <col min="5647" max="5647" width="9.88671875" style="107" customWidth="1"/>
    <col min="5648" max="5648" width="11.33203125" style="107" customWidth="1"/>
    <col min="5649" max="5649" width="11.5546875" style="107" customWidth="1"/>
    <col min="5650" max="5650" width="11.6640625" style="107" customWidth="1"/>
    <col min="5651" max="5651" width="10.33203125" style="107" customWidth="1"/>
    <col min="5652" max="5652" width="11.77734375" style="107" customWidth="1"/>
    <col min="5653" max="5653" width="12.109375" style="107" customWidth="1"/>
    <col min="5654" max="5654" width="11" style="107" customWidth="1"/>
    <col min="5655" max="5655" width="12.109375" style="107" customWidth="1"/>
    <col min="5656" max="5656" width="10.5546875" style="107" customWidth="1"/>
    <col min="5657" max="5657" width="9.88671875" style="107" customWidth="1"/>
    <col min="5658" max="5658" width="10.77734375" style="107" customWidth="1"/>
    <col min="5659" max="5659" width="9.77734375" style="107" customWidth="1"/>
    <col min="5660" max="5660" width="11.21875" style="107" customWidth="1"/>
    <col min="5661" max="5661" width="10.33203125" style="107" customWidth="1"/>
    <col min="5662" max="5662" width="11.88671875" style="107" customWidth="1"/>
    <col min="5663" max="5663" width="8.77734375" style="107"/>
    <col min="5664" max="5664" width="13.88671875" style="107" customWidth="1"/>
    <col min="5665" max="5665" width="10.88671875" style="107" customWidth="1"/>
    <col min="5666" max="5666" width="11.44140625" style="107" customWidth="1"/>
    <col min="5667" max="5667" width="11.77734375" style="107" customWidth="1"/>
    <col min="5668" max="5668" width="11.109375" style="107" customWidth="1"/>
    <col min="5669" max="5669" width="10.88671875" style="107" customWidth="1"/>
    <col min="5670" max="5673" width="8.77734375" style="107"/>
    <col min="5674" max="5674" width="11.44140625" style="107" bestFit="1" customWidth="1"/>
    <col min="5675" max="5675" width="10.21875" style="107" customWidth="1"/>
    <col min="5676" max="5676" width="11.5546875" style="107" customWidth="1"/>
    <col min="5677" max="5677" width="12.109375" style="107" customWidth="1"/>
    <col min="5678" max="5678" width="13.21875" style="107" customWidth="1"/>
    <col min="5679" max="5679" width="14.109375" style="107" customWidth="1"/>
    <col min="5680" max="5680" width="11.77734375" style="107" customWidth="1"/>
    <col min="5681" max="5681" width="9.6640625" style="107" customWidth="1"/>
    <col min="5682" max="5685" width="8.77734375" style="107"/>
    <col min="5686" max="5686" width="28.77734375" style="107" customWidth="1"/>
    <col min="5687" max="5687" width="11.77734375" style="107" customWidth="1"/>
    <col min="5688" max="5688" width="10" style="107" customWidth="1"/>
    <col min="5689" max="5689" width="10.44140625" style="107" customWidth="1"/>
    <col min="5690" max="5691" width="8.77734375" style="107"/>
    <col min="5692" max="5692" width="9.33203125" style="107" customWidth="1"/>
    <col min="5693" max="5693" width="18.44140625" style="107" customWidth="1"/>
    <col min="5694" max="5694" width="11" style="107" customWidth="1"/>
    <col min="5695" max="5695" width="9.5546875" style="107" customWidth="1"/>
    <col min="5696" max="5696" width="10.6640625" style="107" customWidth="1"/>
    <col min="5697" max="5697" width="9.88671875" style="107" customWidth="1"/>
    <col min="5698" max="5698" width="11.44140625" style="107" customWidth="1"/>
    <col min="5699" max="5699" width="9.88671875" style="107" customWidth="1"/>
    <col min="5700" max="5700" width="10" style="107" customWidth="1"/>
    <col min="5701" max="5701" width="6.77734375" style="107" customWidth="1"/>
    <col min="5702" max="5702" width="12.5546875" style="107" customWidth="1"/>
    <col min="5703" max="5703" width="9.5546875" style="107" customWidth="1"/>
    <col min="5704" max="5704" width="10.33203125" style="107" customWidth="1"/>
    <col min="5705" max="5705" width="7.77734375" style="107" customWidth="1"/>
    <col min="5706" max="5706" width="7.21875" style="107" customWidth="1"/>
    <col min="5707" max="5707" width="17.6640625" style="107" customWidth="1"/>
    <col min="5708" max="5708" width="8.77734375" style="107" customWidth="1"/>
    <col min="5709" max="5709" width="13.109375" style="107" bestFit="1" customWidth="1"/>
    <col min="5710" max="5710" width="13.77734375" style="107" customWidth="1"/>
    <col min="5711" max="5712" width="8.77734375" style="107"/>
    <col min="5713" max="5713" width="9" style="107" bestFit="1" customWidth="1"/>
    <col min="5714" max="5722" width="8.77734375" style="107"/>
    <col min="5723" max="5723" width="13.109375" style="107" customWidth="1"/>
    <col min="5724" max="5724" width="8.77734375" style="107"/>
    <col min="5725" max="5725" width="9.88671875" style="107" customWidth="1"/>
    <col min="5726" max="5729" width="8.77734375" style="107"/>
    <col min="5730" max="5730" width="8.5546875" style="107" customWidth="1"/>
    <col min="5731" max="5731" width="30.33203125" style="107" customWidth="1"/>
    <col min="5732" max="5732" width="9" style="107" bestFit="1" customWidth="1"/>
    <col min="5733" max="5733" width="8.77734375" style="107"/>
    <col min="5734" max="5734" width="5.88671875" style="107" customWidth="1"/>
    <col min="5735" max="5735" width="6.88671875" style="107" customWidth="1"/>
    <col min="5736" max="5736" width="23.88671875" style="107" customWidth="1"/>
    <col min="5737" max="5743" width="8.77734375" style="107"/>
    <col min="5744" max="5744" width="9" style="107" bestFit="1" customWidth="1"/>
    <col min="5745" max="5746" width="8.77734375" style="107"/>
    <col min="5747" max="5747" width="32.88671875" style="107" customWidth="1"/>
    <col min="5748" max="5748" width="16.6640625" style="107" customWidth="1"/>
    <col min="5749" max="5749" width="10.21875" style="107" customWidth="1"/>
    <col min="5750" max="5750" width="12.44140625" style="107" customWidth="1"/>
    <col min="5751" max="5751" width="10" style="107" bestFit="1" customWidth="1"/>
    <col min="5752" max="5752" width="8.77734375" style="107"/>
    <col min="5753" max="5753" width="9" style="107" bestFit="1" customWidth="1"/>
    <col min="5754" max="5755" width="8.77734375" style="107"/>
    <col min="5756" max="5756" width="11.6640625" style="107" customWidth="1"/>
    <col min="5757" max="5757" width="8.77734375" style="107"/>
    <col min="5758" max="5758" width="28.77734375" style="107" customWidth="1"/>
    <col min="5759" max="5759" width="12.33203125" style="107" customWidth="1"/>
    <col min="5760" max="5760" width="11.21875" style="107" customWidth="1"/>
    <col min="5761" max="5888" width="8.77734375" style="107"/>
    <col min="5889" max="5889" width="5.6640625" style="107" customWidth="1"/>
    <col min="5890" max="5890" width="26.5546875" style="107" customWidth="1"/>
    <col min="5891" max="5891" width="11.44140625" style="107" customWidth="1"/>
    <col min="5892" max="5892" width="7.44140625" style="107" customWidth="1"/>
    <col min="5893" max="5893" width="8.5546875" style="107" customWidth="1"/>
    <col min="5894" max="5894" width="12.33203125" style="107" customWidth="1"/>
    <col min="5895" max="5895" width="11.77734375" style="107" customWidth="1"/>
    <col min="5896" max="5896" width="8.21875" style="107" customWidth="1"/>
    <col min="5897" max="5897" width="12" style="107" customWidth="1"/>
    <col min="5898" max="5898" width="8.77734375" style="107" customWidth="1"/>
    <col min="5899" max="5899" width="11.109375" style="107" customWidth="1"/>
    <col min="5900" max="5900" width="12.88671875" style="107" customWidth="1"/>
    <col min="5901" max="5901" width="12.5546875" style="107" customWidth="1"/>
    <col min="5902" max="5902" width="9.6640625" style="107" customWidth="1"/>
    <col min="5903" max="5903" width="9.88671875" style="107" customWidth="1"/>
    <col min="5904" max="5904" width="11.33203125" style="107" customWidth="1"/>
    <col min="5905" max="5905" width="11.5546875" style="107" customWidth="1"/>
    <col min="5906" max="5906" width="11.6640625" style="107" customWidth="1"/>
    <col min="5907" max="5907" width="10.33203125" style="107" customWidth="1"/>
    <col min="5908" max="5908" width="11.77734375" style="107" customWidth="1"/>
    <col min="5909" max="5909" width="12.109375" style="107" customWidth="1"/>
    <col min="5910" max="5910" width="11" style="107" customWidth="1"/>
    <col min="5911" max="5911" width="12.109375" style="107" customWidth="1"/>
    <col min="5912" max="5912" width="10.5546875" style="107" customWidth="1"/>
    <col min="5913" max="5913" width="9.88671875" style="107" customWidth="1"/>
    <col min="5914" max="5914" width="10.77734375" style="107" customWidth="1"/>
    <col min="5915" max="5915" width="9.77734375" style="107" customWidth="1"/>
    <col min="5916" max="5916" width="11.21875" style="107" customWidth="1"/>
    <col min="5917" max="5917" width="10.33203125" style="107" customWidth="1"/>
    <col min="5918" max="5918" width="11.88671875" style="107" customWidth="1"/>
    <col min="5919" max="5919" width="8.77734375" style="107"/>
    <col min="5920" max="5920" width="13.88671875" style="107" customWidth="1"/>
    <col min="5921" max="5921" width="10.88671875" style="107" customWidth="1"/>
    <col min="5922" max="5922" width="11.44140625" style="107" customWidth="1"/>
    <col min="5923" max="5923" width="11.77734375" style="107" customWidth="1"/>
    <col min="5924" max="5924" width="11.109375" style="107" customWidth="1"/>
    <col min="5925" max="5925" width="10.88671875" style="107" customWidth="1"/>
    <col min="5926" max="5929" width="8.77734375" style="107"/>
    <col min="5930" max="5930" width="11.44140625" style="107" bestFit="1" customWidth="1"/>
    <col min="5931" max="5931" width="10.21875" style="107" customWidth="1"/>
    <col min="5932" max="5932" width="11.5546875" style="107" customWidth="1"/>
    <col min="5933" max="5933" width="12.109375" style="107" customWidth="1"/>
    <col min="5934" max="5934" width="13.21875" style="107" customWidth="1"/>
    <col min="5935" max="5935" width="14.109375" style="107" customWidth="1"/>
    <col min="5936" max="5936" width="11.77734375" style="107" customWidth="1"/>
    <col min="5937" max="5937" width="9.6640625" style="107" customWidth="1"/>
    <col min="5938" max="5941" width="8.77734375" style="107"/>
    <col min="5942" max="5942" width="28.77734375" style="107" customWidth="1"/>
    <col min="5943" max="5943" width="11.77734375" style="107" customWidth="1"/>
    <col min="5944" max="5944" width="10" style="107" customWidth="1"/>
    <col min="5945" max="5945" width="10.44140625" style="107" customWidth="1"/>
    <col min="5946" max="5947" width="8.77734375" style="107"/>
    <col min="5948" max="5948" width="9.33203125" style="107" customWidth="1"/>
    <col min="5949" max="5949" width="18.44140625" style="107" customWidth="1"/>
    <col min="5950" max="5950" width="11" style="107" customWidth="1"/>
    <col min="5951" max="5951" width="9.5546875" style="107" customWidth="1"/>
    <col min="5952" max="5952" width="10.6640625" style="107" customWidth="1"/>
    <col min="5953" max="5953" width="9.88671875" style="107" customWidth="1"/>
    <col min="5954" max="5954" width="11.44140625" style="107" customWidth="1"/>
    <col min="5955" max="5955" width="9.88671875" style="107" customWidth="1"/>
    <col min="5956" max="5956" width="10" style="107" customWidth="1"/>
    <col min="5957" max="5957" width="6.77734375" style="107" customWidth="1"/>
    <col min="5958" max="5958" width="12.5546875" style="107" customWidth="1"/>
    <col min="5959" max="5959" width="9.5546875" style="107" customWidth="1"/>
    <col min="5960" max="5960" width="10.33203125" style="107" customWidth="1"/>
    <col min="5961" max="5961" width="7.77734375" style="107" customWidth="1"/>
    <col min="5962" max="5962" width="7.21875" style="107" customWidth="1"/>
    <col min="5963" max="5963" width="17.6640625" style="107" customWidth="1"/>
    <col min="5964" max="5964" width="8.77734375" style="107" customWidth="1"/>
    <col min="5965" max="5965" width="13.109375" style="107" bestFit="1" customWidth="1"/>
    <col min="5966" max="5966" width="13.77734375" style="107" customWidth="1"/>
    <col min="5967" max="5968" width="8.77734375" style="107"/>
    <col min="5969" max="5969" width="9" style="107" bestFit="1" customWidth="1"/>
    <col min="5970" max="5978" width="8.77734375" style="107"/>
    <col min="5979" max="5979" width="13.109375" style="107" customWidth="1"/>
    <col min="5980" max="5980" width="8.77734375" style="107"/>
    <col min="5981" max="5981" width="9.88671875" style="107" customWidth="1"/>
    <col min="5982" max="5985" width="8.77734375" style="107"/>
    <col min="5986" max="5986" width="8.5546875" style="107" customWidth="1"/>
    <col min="5987" max="5987" width="30.33203125" style="107" customWidth="1"/>
    <col min="5988" max="5988" width="9" style="107" bestFit="1" customWidth="1"/>
    <col min="5989" max="5989" width="8.77734375" style="107"/>
    <col min="5990" max="5990" width="5.88671875" style="107" customWidth="1"/>
    <col min="5991" max="5991" width="6.88671875" style="107" customWidth="1"/>
    <col min="5992" max="5992" width="23.88671875" style="107" customWidth="1"/>
    <col min="5993" max="5999" width="8.77734375" style="107"/>
    <col min="6000" max="6000" width="9" style="107" bestFit="1" customWidth="1"/>
    <col min="6001" max="6002" width="8.77734375" style="107"/>
    <col min="6003" max="6003" width="32.88671875" style="107" customWidth="1"/>
    <col min="6004" max="6004" width="16.6640625" style="107" customWidth="1"/>
    <col min="6005" max="6005" width="10.21875" style="107" customWidth="1"/>
    <col min="6006" max="6006" width="12.44140625" style="107" customWidth="1"/>
    <col min="6007" max="6007" width="10" style="107" bestFit="1" customWidth="1"/>
    <col min="6008" max="6008" width="8.77734375" style="107"/>
    <col min="6009" max="6009" width="9" style="107" bestFit="1" customWidth="1"/>
    <col min="6010" max="6011" width="8.77734375" style="107"/>
    <col min="6012" max="6012" width="11.6640625" style="107" customWidth="1"/>
    <col min="6013" max="6013" width="8.77734375" style="107"/>
    <col min="6014" max="6014" width="28.77734375" style="107" customWidth="1"/>
    <col min="6015" max="6015" width="12.33203125" style="107" customWidth="1"/>
    <col min="6016" max="6016" width="11.21875" style="107" customWidth="1"/>
    <col min="6017" max="6144" width="8.77734375" style="107"/>
    <col min="6145" max="6145" width="5.6640625" style="107" customWidth="1"/>
    <col min="6146" max="6146" width="26.5546875" style="107" customWidth="1"/>
    <col min="6147" max="6147" width="11.44140625" style="107" customWidth="1"/>
    <col min="6148" max="6148" width="7.44140625" style="107" customWidth="1"/>
    <col min="6149" max="6149" width="8.5546875" style="107" customWidth="1"/>
    <col min="6150" max="6150" width="12.33203125" style="107" customWidth="1"/>
    <col min="6151" max="6151" width="11.77734375" style="107" customWidth="1"/>
    <col min="6152" max="6152" width="8.21875" style="107" customWidth="1"/>
    <col min="6153" max="6153" width="12" style="107" customWidth="1"/>
    <col min="6154" max="6154" width="8.77734375" style="107" customWidth="1"/>
    <col min="6155" max="6155" width="11.109375" style="107" customWidth="1"/>
    <col min="6156" max="6156" width="12.88671875" style="107" customWidth="1"/>
    <col min="6157" max="6157" width="12.5546875" style="107" customWidth="1"/>
    <col min="6158" max="6158" width="9.6640625" style="107" customWidth="1"/>
    <col min="6159" max="6159" width="9.88671875" style="107" customWidth="1"/>
    <col min="6160" max="6160" width="11.33203125" style="107" customWidth="1"/>
    <col min="6161" max="6161" width="11.5546875" style="107" customWidth="1"/>
    <col min="6162" max="6162" width="11.6640625" style="107" customWidth="1"/>
    <col min="6163" max="6163" width="10.33203125" style="107" customWidth="1"/>
    <col min="6164" max="6164" width="11.77734375" style="107" customWidth="1"/>
    <col min="6165" max="6165" width="12.109375" style="107" customWidth="1"/>
    <col min="6166" max="6166" width="11" style="107" customWidth="1"/>
    <col min="6167" max="6167" width="12.109375" style="107" customWidth="1"/>
    <col min="6168" max="6168" width="10.5546875" style="107" customWidth="1"/>
    <col min="6169" max="6169" width="9.88671875" style="107" customWidth="1"/>
    <col min="6170" max="6170" width="10.77734375" style="107" customWidth="1"/>
    <col min="6171" max="6171" width="9.77734375" style="107" customWidth="1"/>
    <col min="6172" max="6172" width="11.21875" style="107" customWidth="1"/>
    <col min="6173" max="6173" width="10.33203125" style="107" customWidth="1"/>
    <col min="6174" max="6174" width="11.88671875" style="107" customWidth="1"/>
    <col min="6175" max="6175" width="8.77734375" style="107"/>
    <col min="6176" max="6176" width="13.88671875" style="107" customWidth="1"/>
    <col min="6177" max="6177" width="10.88671875" style="107" customWidth="1"/>
    <col min="6178" max="6178" width="11.44140625" style="107" customWidth="1"/>
    <col min="6179" max="6179" width="11.77734375" style="107" customWidth="1"/>
    <col min="6180" max="6180" width="11.109375" style="107" customWidth="1"/>
    <col min="6181" max="6181" width="10.88671875" style="107" customWidth="1"/>
    <col min="6182" max="6185" width="8.77734375" style="107"/>
    <col min="6186" max="6186" width="11.44140625" style="107" bestFit="1" customWidth="1"/>
    <col min="6187" max="6187" width="10.21875" style="107" customWidth="1"/>
    <col min="6188" max="6188" width="11.5546875" style="107" customWidth="1"/>
    <col min="6189" max="6189" width="12.109375" style="107" customWidth="1"/>
    <col min="6190" max="6190" width="13.21875" style="107" customWidth="1"/>
    <col min="6191" max="6191" width="14.109375" style="107" customWidth="1"/>
    <col min="6192" max="6192" width="11.77734375" style="107" customWidth="1"/>
    <col min="6193" max="6193" width="9.6640625" style="107" customWidth="1"/>
    <col min="6194" max="6197" width="8.77734375" style="107"/>
    <col min="6198" max="6198" width="28.77734375" style="107" customWidth="1"/>
    <col min="6199" max="6199" width="11.77734375" style="107" customWidth="1"/>
    <col min="6200" max="6200" width="10" style="107" customWidth="1"/>
    <col min="6201" max="6201" width="10.44140625" style="107" customWidth="1"/>
    <col min="6202" max="6203" width="8.77734375" style="107"/>
    <col min="6204" max="6204" width="9.33203125" style="107" customWidth="1"/>
    <col min="6205" max="6205" width="18.44140625" style="107" customWidth="1"/>
    <col min="6206" max="6206" width="11" style="107" customWidth="1"/>
    <col min="6207" max="6207" width="9.5546875" style="107" customWidth="1"/>
    <col min="6208" max="6208" width="10.6640625" style="107" customWidth="1"/>
    <col min="6209" max="6209" width="9.88671875" style="107" customWidth="1"/>
    <col min="6210" max="6210" width="11.44140625" style="107" customWidth="1"/>
    <col min="6211" max="6211" width="9.88671875" style="107" customWidth="1"/>
    <col min="6212" max="6212" width="10" style="107" customWidth="1"/>
    <col min="6213" max="6213" width="6.77734375" style="107" customWidth="1"/>
    <col min="6214" max="6214" width="12.5546875" style="107" customWidth="1"/>
    <col min="6215" max="6215" width="9.5546875" style="107" customWidth="1"/>
    <col min="6216" max="6216" width="10.33203125" style="107" customWidth="1"/>
    <col min="6217" max="6217" width="7.77734375" style="107" customWidth="1"/>
    <col min="6218" max="6218" width="7.21875" style="107" customWidth="1"/>
    <col min="6219" max="6219" width="17.6640625" style="107" customWidth="1"/>
    <col min="6220" max="6220" width="8.77734375" style="107" customWidth="1"/>
    <col min="6221" max="6221" width="13.109375" style="107" bestFit="1" customWidth="1"/>
    <col min="6222" max="6222" width="13.77734375" style="107" customWidth="1"/>
    <col min="6223" max="6224" width="8.77734375" style="107"/>
    <col min="6225" max="6225" width="9" style="107" bestFit="1" customWidth="1"/>
    <col min="6226" max="6234" width="8.77734375" style="107"/>
    <col min="6235" max="6235" width="13.109375" style="107" customWidth="1"/>
    <col min="6236" max="6236" width="8.77734375" style="107"/>
    <col min="6237" max="6237" width="9.88671875" style="107" customWidth="1"/>
    <col min="6238" max="6241" width="8.77734375" style="107"/>
    <col min="6242" max="6242" width="8.5546875" style="107" customWidth="1"/>
    <col min="6243" max="6243" width="30.33203125" style="107" customWidth="1"/>
    <col min="6244" max="6244" width="9" style="107" bestFit="1" customWidth="1"/>
    <col min="6245" max="6245" width="8.77734375" style="107"/>
    <col min="6246" max="6246" width="5.88671875" style="107" customWidth="1"/>
    <col min="6247" max="6247" width="6.88671875" style="107" customWidth="1"/>
    <col min="6248" max="6248" width="23.88671875" style="107" customWidth="1"/>
    <col min="6249" max="6255" width="8.77734375" style="107"/>
    <col min="6256" max="6256" width="9" style="107" bestFit="1" customWidth="1"/>
    <col min="6257" max="6258" width="8.77734375" style="107"/>
    <col min="6259" max="6259" width="32.88671875" style="107" customWidth="1"/>
    <col min="6260" max="6260" width="16.6640625" style="107" customWidth="1"/>
    <col min="6261" max="6261" width="10.21875" style="107" customWidth="1"/>
    <col min="6262" max="6262" width="12.44140625" style="107" customWidth="1"/>
    <col min="6263" max="6263" width="10" style="107" bestFit="1" customWidth="1"/>
    <col min="6264" max="6264" width="8.77734375" style="107"/>
    <col min="6265" max="6265" width="9" style="107" bestFit="1" customWidth="1"/>
    <col min="6266" max="6267" width="8.77734375" style="107"/>
    <col min="6268" max="6268" width="11.6640625" style="107" customWidth="1"/>
    <col min="6269" max="6269" width="8.77734375" style="107"/>
    <col min="6270" max="6270" width="28.77734375" style="107" customWidth="1"/>
    <col min="6271" max="6271" width="12.33203125" style="107" customWidth="1"/>
    <col min="6272" max="6272" width="11.21875" style="107" customWidth="1"/>
    <col min="6273" max="6400" width="8.77734375" style="107"/>
    <col min="6401" max="6401" width="5.6640625" style="107" customWidth="1"/>
    <col min="6402" max="6402" width="26.5546875" style="107" customWidth="1"/>
    <col min="6403" max="6403" width="11.44140625" style="107" customWidth="1"/>
    <col min="6404" max="6404" width="7.44140625" style="107" customWidth="1"/>
    <col min="6405" max="6405" width="8.5546875" style="107" customWidth="1"/>
    <col min="6406" max="6406" width="12.33203125" style="107" customWidth="1"/>
    <col min="6407" max="6407" width="11.77734375" style="107" customWidth="1"/>
    <col min="6408" max="6408" width="8.21875" style="107" customWidth="1"/>
    <col min="6409" max="6409" width="12" style="107" customWidth="1"/>
    <col min="6410" max="6410" width="8.77734375" style="107" customWidth="1"/>
    <col min="6411" max="6411" width="11.109375" style="107" customWidth="1"/>
    <col min="6412" max="6412" width="12.88671875" style="107" customWidth="1"/>
    <col min="6413" max="6413" width="12.5546875" style="107" customWidth="1"/>
    <col min="6414" max="6414" width="9.6640625" style="107" customWidth="1"/>
    <col min="6415" max="6415" width="9.88671875" style="107" customWidth="1"/>
    <col min="6416" max="6416" width="11.33203125" style="107" customWidth="1"/>
    <col min="6417" max="6417" width="11.5546875" style="107" customWidth="1"/>
    <col min="6418" max="6418" width="11.6640625" style="107" customWidth="1"/>
    <col min="6419" max="6419" width="10.33203125" style="107" customWidth="1"/>
    <col min="6420" max="6420" width="11.77734375" style="107" customWidth="1"/>
    <col min="6421" max="6421" width="12.109375" style="107" customWidth="1"/>
    <col min="6422" max="6422" width="11" style="107" customWidth="1"/>
    <col min="6423" max="6423" width="12.109375" style="107" customWidth="1"/>
    <col min="6424" max="6424" width="10.5546875" style="107" customWidth="1"/>
    <col min="6425" max="6425" width="9.88671875" style="107" customWidth="1"/>
    <col min="6426" max="6426" width="10.77734375" style="107" customWidth="1"/>
    <col min="6427" max="6427" width="9.77734375" style="107" customWidth="1"/>
    <col min="6428" max="6428" width="11.21875" style="107" customWidth="1"/>
    <col min="6429" max="6429" width="10.33203125" style="107" customWidth="1"/>
    <col min="6430" max="6430" width="11.88671875" style="107" customWidth="1"/>
    <col min="6431" max="6431" width="8.77734375" style="107"/>
    <col min="6432" max="6432" width="13.88671875" style="107" customWidth="1"/>
    <col min="6433" max="6433" width="10.88671875" style="107" customWidth="1"/>
    <col min="6434" max="6434" width="11.44140625" style="107" customWidth="1"/>
    <col min="6435" max="6435" width="11.77734375" style="107" customWidth="1"/>
    <col min="6436" max="6436" width="11.109375" style="107" customWidth="1"/>
    <col min="6437" max="6437" width="10.88671875" style="107" customWidth="1"/>
    <col min="6438" max="6441" width="8.77734375" style="107"/>
    <col min="6442" max="6442" width="11.44140625" style="107" bestFit="1" customWidth="1"/>
    <col min="6443" max="6443" width="10.21875" style="107" customWidth="1"/>
    <col min="6444" max="6444" width="11.5546875" style="107" customWidth="1"/>
    <col min="6445" max="6445" width="12.109375" style="107" customWidth="1"/>
    <col min="6446" max="6446" width="13.21875" style="107" customWidth="1"/>
    <col min="6447" max="6447" width="14.109375" style="107" customWidth="1"/>
    <col min="6448" max="6448" width="11.77734375" style="107" customWidth="1"/>
    <col min="6449" max="6449" width="9.6640625" style="107" customWidth="1"/>
    <col min="6450" max="6453" width="8.77734375" style="107"/>
    <col min="6454" max="6454" width="28.77734375" style="107" customWidth="1"/>
    <col min="6455" max="6455" width="11.77734375" style="107" customWidth="1"/>
    <col min="6456" max="6456" width="10" style="107" customWidth="1"/>
    <col min="6457" max="6457" width="10.44140625" style="107" customWidth="1"/>
    <col min="6458" max="6459" width="8.77734375" style="107"/>
    <col min="6460" max="6460" width="9.33203125" style="107" customWidth="1"/>
    <col min="6461" max="6461" width="18.44140625" style="107" customWidth="1"/>
    <col min="6462" max="6462" width="11" style="107" customWidth="1"/>
    <col min="6463" max="6463" width="9.5546875" style="107" customWidth="1"/>
    <col min="6464" max="6464" width="10.6640625" style="107" customWidth="1"/>
    <col min="6465" max="6465" width="9.88671875" style="107" customWidth="1"/>
    <col min="6466" max="6466" width="11.44140625" style="107" customWidth="1"/>
    <col min="6467" max="6467" width="9.88671875" style="107" customWidth="1"/>
    <col min="6468" max="6468" width="10" style="107" customWidth="1"/>
    <col min="6469" max="6469" width="6.77734375" style="107" customWidth="1"/>
    <col min="6470" max="6470" width="12.5546875" style="107" customWidth="1"/>
    <col min="6471" max="6471" width="9.5546875" style="107" customWidth="1"/>
    <col min="6472" max="6472" width="10.33203125" style="107" customWidth="1"/>
    <col min="6473" max="6473" width="7.77734375" style="107" customWidth="1"/>
    <col min="6474" max="6474" width="7.21875" style="107" customWidth="1"/>
    <col min="6475" max="6475" width="17.6640625" style="107" customWidth="1"/>
    <col min="6476" max="6476" width="8.77734375" style="107" customWidth="1"/>
    <col min="6477" max="6477" width="13.109375" style="107" bestFit="1" customWidth="1"/>
    <col min="6478" max="6478" width="13.77734375" style="107" customWidth="1"/>
    <col min="6479" max="6480" width="8.77734375" style="107"/>
    <col min="6481" max="6481" width="9" style="107" bestFit="1" customWidth="1"/>
    <col min="6482" max="6490" width="8.77734375" style="107"/>
    <col min="6491" max="6491" width="13.109375" style="107" customWidth="1"/>
    <col min="6492" max="6492" width="8.77734375" style="107"/>
    <col min="6493" max="6493" width="9.88671875" style="107" customWidth="1"/>
    <col min="6494" max="6497" width="8.77734375" style="107"/>
    <col min="6498" max="6498" width="8.5546875" style="107" customWidth="1"/>
    <col min="6499" max="6499" width="30.33203125" style="107" customWidth="1"/>
    <col min="6500" max="6500" width="9" style="107" bestFit="1" customWidth="1"/>
    <col min="6501" max="6501" width="8.77734375" style="107"/>
    <col min="6502" max="6502" width="5.88671875" style="107" customWidth="1"/>
    <col min="6503" max="6503" width="6.88671875" style="107" customWidth="1"/>
    <col min="6504" max="6504" width="23.88671875" style="107" customWidth="1"/>
    <col min="6505" max="6511" width="8.77734375" style="107"/>
    <col min="6512" max="6512" width="9" style="107" bestFit="1" customWidth="1"/>
    <col min="6513" max="6514" width="8.77734375" style="107"/>
    <col min="6515" max="6515" width="32.88671875" style="107" customWidth="1"/>
    <col min="6516" max="6516" width="16.6640625" style="107" customWidth="1"/>
    <col min="6517" max="6517" width="10.21875" style="107" customWidth="1"/>
    <col min="6518" max="6518" width="12.44140625" style="107" customWidth="1"/>
    <col min="6519" max="6519" width="10" style="107" bestFit="1" customWidth="1"/>
    <col min="6520" max="6520" width="8.77734375" style="107"/>
    <col min="6521" max="6521" width="9" style="107" bestFit="1" customWidth="1"/>
    <col min="6522" max="6523" width="8.77734375" style="107"/>
    <col min="6524" max="6524" width="11.6640625" style="107" customWidth="1"/>
    <col min="6525" max="6525" width="8.77734375" style="107"/>
    <col min="6526" max="6526" width="28.77734375" style="107" customWidth="1"/>
    <col min="6527" max="6527" width="12.33203125" style="107" customWidth="1"/>
    <col min="6528" max="6528" width="11.21875" style="107" customWidth="1"/>
    <col min="6529" max="6656" width="8.77734375" style="107"/>
    <col min="6657" max="6657" width="5.6640625" style="107" customWidth="1"/>
    <col min="6658" max="6658" width="26.5546875" style="107" customWidth="1"/>
    <col min="6659" max="6659" width="11.44140625" style="107" customWidth="1"/>
    <col min="6660" max="6660" width="7.44140625" style="107" customWidth="1"/>
    <col min="6661" max="6661" width="8.5546875" style="107" customWidth="1"/>
    <col min="6662" max="6662" width="12.33203125" style="107" customWidth="1"/>
    <col min="6663" max="6663" width="11.77734375" style="107" customWidth="1"/>
    <col min="6664" max="6664" width="8.21875" style="107" customWidth="1"/>
    <col min="6665" max="6665" width="12" style="107" customWidth="1"/>
    <col min="6666" max="6666" width="8.77734375" style="107" customWidth="1"/>
    <col min="6667" max="6667" width="11.109375" style="107" customWidth="1"/>
    <col min="6668" max="6668" width="12.88671875" style="107" customWidth="1"/>
    <col min="6669" max="6669" width="12.5546875" style="107" customWidth="1"/>
    <col min="6670" max="6670" width="9.6640625" style="107" customWidth="1"/>
    <col min="6671" max="6671" width="9.88671875" style="107" customWidth="1"/>
    <col min="6672" max="6672" width="11.33203125" style="107" customWidth="1"/>
    <col min="6673" max="6673" width="11.5546875" style="107" customWidth="1"/>
    <col min="6674" max="6674" width="11.6640625" style="107" customWidth="1"/>
    <col min="6675" max="6675" width="10.33203125" style="107" customWidth="1"/>
    <col min="6676" max="6676" width="11.77734375" style="107" customWidth="1"/>
    <col min="6677" max="6677" width="12.109375" style="107" customWidth="1"/>
    <col min="6678" max="6678" width="11" style="107" customWidth="1"/>
    <col min="6679" max="6679" width="12.109375" style="107" customWidth="1"/>
    <col min="6680" max="6680" width="10.5546875" style="107" customWidth="1"/>
    <col min="6681" max="6681" width="9.88671875" style="107" customWidth="1"/>
    <col min="6682" max="6682" width="10.77734375" style="107" customWidth="1"/>
    <col min="6683" max="6683" width="9.77734375" style="107" customWidth="1"/>
    <col min="6684" max="6684" width="11.21875" style="107" customWidth="1"/>
    <col min="6685" max="6685" width="10.33203125" style="107" customWidth="1"/>
    <col min="6686" max="6686" width="11.88671875" style="107" customWidth="1"/>
    <col min="6687" max="6687" width="8.77734375" style="107"/>
    <col min="6688" max="6688" width="13.88671875" style="107" customWidth="1"/>
    <col min="6689" max="6689" width="10.88671875" style="107" customWidth="1"/>
    <col min="6690" max="6690" width="11.44140625" style="107" customWidth="1"/>
    <col min="6691" max="6691" width="11.77734375" style="107" customWidth="1"/>
    <col min="6692" max="6692" width="11.109375" style="107" customWidth="1"/>
    <col min="6693" max="6693" width="10.88671875" style="107" customWidth="1"/>
    <col min="6694" max="6697" width="8.77734375" style="107"/>
    <col min="6698" max="6698" width="11.44140625" style="107" bestFit="1" customWidth="1"/>
    <col min="6699" max="6699" width="10.21875" style="107" customWidth="1"/>
    <col min="6700" max="6700" width="11.5546875" style="107" customWidth="1"/>
    <col min="6701" max="6701" width="12.109375" style="107" customWidth="1"/>
    <col min="6702" max="6702" width="13.21875" style="107" customWidth="1"/>
    <col min="6703" max="6703" width="14.109375" style="107" customWidth="1"/>
    <col min="6704" max="6704" width="11.77734375" style="107" customWidth="1"/>
    <col min="6705" max="6705" width="9.6640625" style="107" customWidth="1"/>
    <col min="6706" max="6709" width="8.77734375" style="107"/>
    <col min="6710" max="6710" width="28.77734375" style="107" customWidth="1"/>
    <col min="6711" max="6711" width="11.77734375" style="107" customWidth="1"/>
    <col min="6712" max="6712" width="10" style="107" customWidth="1"/>
    <col min="6713" max="6713" width="10.44140625" style="107" customWidth="1"/>
    <col min="6714" max="6715" width="8.77734375" style="107"/>
    <col min="6716" max="6716" width="9.33203125" style="107" customWidth="1"/>
    <col min="6717" max="6717" width="18.44140625" style="107" customWidth="1"/>
    <col min="6718" max="6718" width="11" style="107" customWidth="1"/>
    <col min="6719" max="6719" width="9.5546875" style="107" customWidth="1"/>
    <col min="6720" max="6720" width="10.6640625" style="107" customWidth="1"/>
    <col min="6721" max="6721" width="9.88671875" style="107" customWidth="1"/>
    <col min="6722" max="6722" width="11.44140625" style="107" customWidth="1"/>
    <col min="6723" max="6723" width="9.88671875" style="107" customWidth="1"/>
    <col min="6724" max="6724" width="10" style="107" customWidth="1"/>
    <col min="6725" max="6725" width="6.77734375" style="107" customWidth="1"/>
    <col min="6726" max="6726" width="12.5546875" style="107" customWidth="1"/>
    <col min="6727" max="6727" width="9.5546875" style="107" customWidth="1"/>
    <col min="6728" max="6728" width="10.33203125" style="107" customWidth="1"/>
    <col min="6729" max="6729" width="7.77734375" style="107" customWidth="1"/>
    <col min="6730" max="6730" width="7.21875" style="107" customWidth="1"/>
    <col min="6731" max="6731" width="17.6640625" style="107" customWidth="1"/>
    <col min="6732" max="6732" width="8.77734375" style="107" customWidth="1"/>
    <col min="6733" max="6733" width="13.109375" style="107" bestFit="1" customWidth="1"/>
    <col min="6734" max="6734" width="13.77734375" style="107" customWidth="1"/>
    <col min="6735" max="6736" width="8.77734375" style="107"/>
    <col min="6737" max="6737" width="9" style="107" bestFit="1" customWidth="1"/>
    <col min="6738" max="6746" width="8.77734375" style="107"/>
    <col min="6747" max="6747" width="13.109375" style="107" customWidth="1"/>
    <col min="6748" max="6748" width="8.77734375" style="107"/>
    <col min="6749" max="6749" width="9.88671875" style="107" customWidth="1"/>
    <col min="6750" max="6753" width="8.77734375" style="107"/>
    <col min="6754" max="6754" width="8.5546875" style="107" customWidth="1"/>
    <col min="6755" max="6755" width="30.33203125" style="107" customWidth="1"/>
    <col min="6756" max="6756" width="9" style="107" bestFit="1" customWidth="1"/>
    <col min="6757" max="6757" width="8.77734375" style="107"/>
    <col min="6758" max="6758" width="5.88671875" style="107" customWidth="1"/>
    <col min="6759" max="6759" width="6.88671875" style="107" customWidth="1"/>
    <col min="6760" max="6760" width="23.88671875" style="107" customWidth="1"/>
    <col min="6761" max="6767" width="8.77734375" style="107"/>
    <col min="6768" max="6768" width="9" style="107" bestFit="1" customWidth="1"/>
    <col min="6769" max="6770" width="8.77734375" style="107"/>
    <col min="6771" max="6771" width="32.88671875" style="107" customWidth="1"/>
    <col min="6772" max="6772" width="16.6640625" style="107" customWidth="1"/>
    <col min="6773" max="6773" width="10.21875" style="107" customWidth="1"/>
    <col min="6774" max="6774" width="12.44140625" style="107" customWidth="1"/>
    <col min="6775" max="6775" width="10" style="107" bestFit="1" customWidth="1"/>
    <col min="6776" max="6776" width="8.77734375" style="107"/>
    <col min="6777" max="6777" width="9" style="107" bestFit="1" customWidth="1"/>
    <col min="6778" max="6779" width="8.77734375" style="107"/>
    <col min="6780" max="6780" width="11.6640625" style="107" customWidth="1"/>
    <col min="6781" max="6781" width="8.77734375" style="107"/>
    <col min="6782" max="6782" width="28.77734375" style="107" customWidth="1"/>
    <col min="6783" max="6783" width="12.33203125" style="107" customWidth="1"/>
    <col min="6784" max="6784" width="11.21875" style="107" customWidth="1"/>
    <col min="6785" max="6912" width="8.77734375" style="107"/>
    <col min="6913" max="6913" width="5.6640625" style="107" customWidth="1"/>
    <col min="6914" max="6914" width="26.5546875" style="107" customWidth="1"/>
    <col min="6915" max="6915" width="11.44140625" style="107" customWidth="1"/>
    <col min="6916" max="6916" width="7.44140625" style="107" customWidth="1"/>
    <col min="6917" max="6917" width="8.5546875" style="107" customWidth="1"/>
    <col min="6918" max="6918" width="12.33203125" style="107" customWidth="1"/>
    <col min="6919" max="6919" width="11.77734375" style="107" customWidth="1"/>
    <col min="6920" max="6920" width="8.21875" style="107" customWidth="1"/>
    <col min="6921" max="6921" width="12" style="107" customWidth="1"/>
    <col min="6922" max="6922" width="8.77734375" style="107" customWidth="1"/>
    <col min="6923" max="6923" width="11.109375" style="107" customWidth="1"/>
    <col min="6924" max="6924" width="12.88671875" style="107" customWidth="1"/>
    <col min="6925" max="6925" width="12.5546875" style="107" customWidth="1"/>
    <col min="6926" max="6926" width="9.6640625" style="107" customWidth="1"/>
    <col min="6927" max="6927" width="9.88671875" style="107" customWidth="1"/>
    <col min="6928" max="6928" width="11.33203125" style="107" customWidth="1"/>
    <col min="6929" max="6929" width="11.5546875" style="107" customWidth="1"/>
    <col min="6930" max="6930" width="11.6640625" style="107" customWidth="1"/>
    <col min="6931" max="6931" width="10.33203125" style="107" customWidth="1"/>
    <col min="6932" max="6932" width="11.77734375" style="107" customWidth="1"/>
    <col min="6933" max="6933" width="12.109375" style="107" customWidth="1"/>
    <col min="6934" max="6934" width="11" style="107" customWidth="1"/>
    <col min="6935" max="6935" width="12.109375" style="107" customWidth="1"/>
    <col min="6936" max="6936" width="10.5546875" style="107" customWidth="1"/>
    <col min="6937" max="6937" width="9.88671875" style="107" customWidth="1"/>
    <col min="6938" max="6938" width="10.77734375" style="107" customWidth="1"/>
    <col min="6939" max="6939" width="9.77734375" style="107" customWidth="1"/>
    <col min="6940" max="6940" width="11.21875" style="107" customWidth="1"/>
    <col min="6941" max="6941" width="10.33203125" style="107" customWidth="1"/>
    <col min="6942" max="6942" width="11.88671875" style="107" customWidth="1"/>
    <col min="6943" max="6943" width="8.77734375" style="107"/>
    <col min="6944" max="6944" width="13.88671875" style="107" customWidth="1"/>
    <col min="6945" max="6945" width="10.88671875" style="107" customWidth="1"/>
    <col min="6946" max="6946" width="11.44140625" style="107" customWidth="1"/>
    <col min="6947" max="6947" width="11.77734375" style="107" customWidth="1"/>
    <col min="6948" max="6948" width="11.109375" style="107" customWidth="1"/>
    <col min="6949" max="6949" width="10.88671875" style="107" customWidth="1"/>
    <col min="6950" max="6953" width="8.77734375" style="107"/>
    <col min="6954" max="6954" width="11.44140625" style="107" bestFit="1" customWidth="1"/>
    <col min="6955" max="6955" width="10.21875" style="107" customWidth="1"/>
    <col min="6956" max="6956" width="11.5546875" style="107" customWidth="1"/>
    <col min="6957" max="6957" width="12.109375" style="107" customWidth="1"/>
    <col min="6958" max="6958" width="13.21875" style="107" customWidth="1"/>
    <col min="6959" max="6959" width="14.109375" style="107" customWidth="1"/>
    <col min="6960" max="6960" width="11.77734375" style="107" customWidth="1"/>
    <col min="6961" max="6961" width="9.6640625" style="107" customWidth="1"/>
    <col min="6962" max="6965" width="8.77734375" style="107"/>
    <col min="6966" max="6966" width="28.77734375" style="107" customWidth="1"/>
    <col min="6967" max="6967" width="11.77734375" style="107" customWidth="1"/>
    <col min="6968" max="6968" width="10" style="107" customWidth="1"/>
    <col min="6969" max="6969" width="10.44140625" style="107" customWidth="1"/>
    <col min="6970" max="6971" width="8.77734375" style="107"/>
    <col min="6972" max="6972" width="9.33203125" style="107" customWidth="1"/>
    <col min="6973" max="6973" width="18.44140625" style="107" customWidth="1"/>
    <col min="6974" max="6974" width="11" style="107" customWidth="1"/>
    <col min="6975" max="6975" width="9.5546875" style="107" customWidth="1"/>
    <col min="6976" max="6976" width="10.6640625" style="107" customWidth="1"/>
    <col min="6977" max="6977" width="9.88671875" style="107" customWidth="1"/>
    <col min="6978" max="6978" width="11.44140625" style="107" customWidth="1"/>
    <col min="6979" max="6979" width="9.88671875" style="107" customWidth="1"/>
    <col min="6980" max="6980" width="10" style="107" customWidth="1"/>
    <col min="6981" max="6981" width="6.77734375" style="107" customWidth="1"/>
    <col min="6982" max="6982" width="12.5546875" style="107" customWidth="1"/>
    <col min="6983" max="6983" width="9.5546875" style="107" customWidth="1"/>
    <col min="6984" max="6984" width="10.33203125" style="107" customWidth="1"/>
    <col min="6985" max="6985" width="7.77734375" style="107" customWidth="1"/>
    <col min="6986" max="6986" width="7.21875" style="107" customWidth="1"/>
    <col min="6987" max="6987" width="17.6640625" style="107" customWidth="1"/>
    <col min="6988" max="6988" width="8.77734375" style="107" customWidth="1"/>
    <col min="6989" max="6989" width="13.109375" style="107" bestFit="1" customWidth="1"/>
    <col min="6990" max="6990" width="13.77734375" style="107" customWidth="1"/>
    <col min="6991" max="6992" width="8.77734375" style="107"/>
    <col min="6993" max="6993" width="9" style="107" bestFit="1" customWidth="1"/>
    <col min="6994" max="7002" width="8.77734375" style="107"/>
    <col min="7003" max="7003" width="13.109375" style="107" customWidth="1"/>
    <col min="7004" max="7004" width="8.77734375" style="107"/>
    <col min="7005" max="7005" width="9.88671875" style="107" customWidth="1"/>
    <col min="7006" max="7009" width="8.77734375" style="107"/>
    <col min="7010" max="7010" width="8.5546875" style="107" customWidth="1"/>
    <col min="7011" max="7011" width="30.33203125" style="107" customWidth="1"/>
    <col min="7012" max="7012" width="9" style="107" bestFit="1" customWidth="1"/>
    <col min="7013" max="7013" width="8.77734375" style="107"/>
    <col min="7014" max="7014" width="5.88671875" style="107" customWidth="1"/>
    <col min="7015" max="7015" width="6.88671875" style="107" customWidth="1"/>
    <col min="7016" max="7016" width="23.88671875" style="107" customWidth="1"/>
    <col min="7017" max="7023" width="8.77734375" style="107"/>
    <col min="7024" max="7024" width="9" style="107" bestFit="1" customWidth="1"/>
    <col min="7025" max="7026" width="8.77734375" style="107"/>
    <col min="7027" max="7027" width="32.88671875" style="107" customWidth="1"/>
    <col min="7028" max="7028" width="16.6640625" style="107" customWidth="1"/>
    <col min="7029" max="7029" width="10.21875" style="107" customWidth="1"/>
    <col min="7030" max="7030" width="12.44140625" style="107" customWidth="1"/>
    <col min="7031" max="7031" width="10" style="107" bestFit="1" customWidth="1"/>
    <col min="7032" max="7032" width="8.77734375" style="107"/>
    <col min="7033" max="7033" width="9" style="107" bestFit="1" customWidth="1"/>
    <col min="7034" max="7035" width="8.77734375" style="107"/>
    <col min="7036" max="7036" width="11.6640625" style="107" customWidth="1"/>
    <col min="7037" max="7037" width="8.77734375" style="107"/>
    <col min="7038" max="7038" width="28.77734375" style="107" customWidth="1"/>
    <col min="7039" max="7039" width="12.33203125" style="107" customWidth="1"/>
    <col min="7040" max="7040" width="11.21875" style="107" customWidth="1"/>
    <col min="7041" max="7168" width="8.77734375" style="107"/>
    <col min="7169" max="7169" width="5.6640625" style="107" customWidth="1"/>
    <col min="7170" max="7170" width="26.5546875" style="107" customWidth="1"/>
    <col min="7171" max="7171" width="11.44140625" style="107" customWidth="1"/>
    <col min="7172" max="7172" width="7.44140625" style="107" customWidth="1"/>
    <col min="7173" max="7173" width="8.5546875" style="107" customWidth="1"/>
    <col min="7174" max="7174" width="12.33203125" style="107" customWidth="1"/>
    <col min="7175" max="7175" width="11.77734375" style="107" customWidth="1"/>
    <col min="7176" max="7176" width="8.21875" style="107" customWidth="1"/>
    <col min="7177" max="7177" width="12" style="107" customWidth="1"/>
    <col min="7178" max="7178" width="8.77734375" style="107" customWidth="1"/>
    <col min="7179" max="7179" width="11.109375" style="107" customWidth="1"/>
    <col min="7180" max="7180" width="12.88671875" style="107" customWidth="1"/>
    <col min="7181" max="7181" width="12.5546875" style="107" customWidth="1"/>
    <col min="7182" max="7182" width="9.6640625" style="107" customWidth="1"/>
    <col min="7183" max="7183" width="9.88671875" style="107" customWidth="1"/>
    <col min="7184" max="7184" width="11.33203125" style="107" customWidth="1"/>
    <col min="7185" max="7185" width="11.5546875" style="107" customWidth="1"/>
    <col min="7186" max="7186" width="11.6640625" style="107" customWidth="1"/>
    <col min="7187" max="7187" width="10.33203125" style="107" customWidth="1"/>
    <col min="7188" max="7188" width="11.77734375" style="107" customWidth="1"/>
    <col min="7189" max="7189" width="12.109375" style="107" customWidth="1"/>
    <col min="7190" max="7190" width="11" style="107" customWidth="1"/>
    <col min="7191" max="7191" width="12.109375" style="107" customWidth="1"/>
    <col min="7192" max="7192" width="10.5546875" style="107" customWidth="1"/>
    <col min="7193" max="7193" width="9.88671875" style="107" customWidth="1"/>
    <col min="7194" max="7194" width="10.77734375" style="107" customWidth="1"/>
    <col min="7195" max="7195" width="9.77734375" style="107" customWidth="1"/>
    <col min="7196" max="7196" width="11.21875" style="107" customWidth="1"/>
    <col min="7197" max="7197" width="10.33203125" style="107" customWidth="1"/>
    <col min="7198" max="7198" width="11.88671875" style="107" customWidth="1"/>
    <col min="7199" max="7199" width="8.77734375" style="107"/>
    <col min="7200" max="7200" width="13.88671875" style="107" customWidth="1"/>
    <col min="7201" max="7201" width="10.88671875" style="107" customWidth="1"/>
    <col min="7202" max="7202" width="11.44140625" style="107" customWidth="1"/>
    <col min="7203" max="7203" width="11.77734375" style="107" customWidth="1"/>
    <col min="7204" max="7204" width="11.109375" style="107" customWidth="1"/>
    <col min="7205" max="7205" width="10.88671875" style="107" customWidth="1"/>
    <col min="7206" max="7209" width="8.77734375" style="107"/>
    <col min="7210" max="7210" width="11.44140625" style="107" bestFit="1" customWidth="1"/>
    <col min="7211" max="7211" width="10.21875" style="107" customWidth="1"/>
    <col min="7212" max="7212" width="11.5546875" style="107" customWidth="1"/>
    <col min="7213" max="7213" width="12.109375" style="107" customWidth="1"/>
    <col min="7214" max="7214" width="13.21875" style="107" customWidth="1"/>
    <col min="7215" max="7215" width="14.109375" style="107" customWidth="1"/>
    <col min="7216" max="7216" width="11.77734375" style="107" customWidth="1"/>
    <col min="7217" max="7217" width="9.6640625" style="107" customWidth="1"/>
    <col min="7218" max="7221" width="8.77734375" style="107"/>
    <col min="7222" max="7222" width="28.77734375" style="107" customWidth="1"/>
    <col min="7223" max="7223" width="11.77734375" style="107" customWidth="1"/>
    <col min="7224" max="7224" width="10" style="107" customWidth="1"/>
    <col min="7225" max="7225" width="10.44140625" style="107" customWidth="1"/>
    <col min="7226" max="7227" width="8.77734375" style="107"/>
    <col min="7228" max="7228" width="9.33203125" style="107" customWidth="1"/>
    <col min="7229" max="7229" width="18.44140625" style="107" customWidth="1"/>
    <col min="7230" max="7230" width="11" style="107" customWidth="1"/>
    <col min="7231" max="7231" width="9.5546875" style="107" customWidth="1"/>
    <col min="7232" max="7232" width="10.6640625" style="107" customWidth="1"/>
    <col min="7233" max="7233" width="9.88671875" style="107" customWidth="1"/>
    <col min="7234" max="7234" width="11.44140625" style="107" customWidth="1"/>
    <col min="7235" max="7235" width="9.88671875" style="107" customWidth="1"/>
    <col min="7236" max="7236" width="10" style="107" customWidth="1"/>
    <col min="7237" max="7237" width="6.77734375" style="107" customWidth="1"/>
    <col min="7238" max="7238" width="12.5546875" style="107" customWidth="1"/>
    <col min="7239" max="7239" width="9.5546875" style="107" customWidth="1"/>
    <col min="7240" max="7240" width="10.33203125" style="107" customWidth="1"/>
    <col min="7241" max="7241" width="7.77734375" style="107" customWidth="1"/>
    <col min="7242" max="7242" width="7.21875" style="107" customWidth="1"/>
    <col min="7243" max="7243" width="17.6640625" style="107" customWidth="1"/>
    <col min="7244" max="7244" width="8.77734375" style="107" customWidth="1"/>
    <col min="7245" max="7245" width="13.109375" style="107" bestFit="1" customWidth="1"/>
    <col min="7246" max="7246" width="13.77734375" style="107" customWidth="1"/>
    <col min="7247" max="7248" width="8.77734375" style="107"/>
    <col min="7249" max="7249" width="9" style="107" bestFit="1" customWidth="1"/>
    <col min="7250" max="7258" width="8.77734375" style="107"/>
    <col min="7259" max="7259" width="13.109375" style="107" customWidth="1"/>
    <col min="7260" max="7260" width="8.77734375" style="107"/>
    <col min="7261" max="7261" width="9.88671875" style="107" customWidth="1"/>
    <col min="7262" max="7265" width="8.77734375" style="107"/>
    <col min="7266" max="7266" width="8.5546875" style="107" customWidth="1"/>
    <col min="7267" max="7267" width="30.33203125" style="107" customWidth="1"/>
    <col min="7268" max="7268" width="9" style="107" bestFit="1" customWidth="1"/>
    <col min="7269" max="7269" width="8.77734375" style="107"/>
    <col min="7270" max="7270" width="5.88671875" style="107" customWidth="1"/>
    <col min="7271" max="7271" width="6.88671875" style="107" customWidth="1"/>
    <col min="7272" max="7272" width="23.88671875" style="107" customWidth="1"/>
    <col min="7273" max="7279" width="8.77734375" style="107"/>
    <col min="7280" max="7280" width="9" style="107" bestFit="1" customWidth="1"/>
    <col min="7281" max="7282" width="8.77734375" style="107"/>
    <col min="7283" max="7283" width="32.88671875" style="107" customWidth="1"/>
    <col min="7284" max="7284" width="16.6640625" style="107" customWidth="1"/>
    <col min="7285" max="7285" width="10.21875" style="107" customWidth="1"/>
    <col min="7286" max="7286" width="12.44140625" style="107" customWidth="1"/>
    <col min="7287" max="7287" width="10" style="107" bestFit="1" customWidth="1"/>
    <col min="7288" max="7288" width="8.77734375" style="107"/>
    <col min="7289" max="7289" width="9" style="107" bestFit="1" customWidth="1"/>
    <col min="7290" max="7291" width="8.77734375" style="107"/>
    <col min="7292" max="7292" width="11.6640625" style="107" customWidth="1"/>
    <col min="7293" max="7293" width="8.77734375" style="107"/>
    <col min="7294" max="7294" width="28.77734375" style="107" customWidth="1"/>
    <col min="7295" max="7295" width="12.33203125" style="107" customWidth="1"/>
    <col min="7296" max="7296" width="11.21875" style="107" customWidth="1"/>
    <col min="7297" max="7424" width="8.77734375" style="107"/>
    <col min="7425" max="7425" width="5.6640625" style="107" customWidth="1"/>
    <col min="7426" max="7426" width="26.5546875" style="107" customWidth="1"/>
    <col min="7427" max="7427" width="11.44140625" style="107" customWidth="1"/>
    <col min="7428" max="7428" width="7.44140625" style="107" customWidth="1"/>
    <col min="7429" max="7429" width="8.5546875" style="107" customWidth="1"/>
    <col min="7430" max="7430" width="12.33203125" style="107" customWidth="1"/>
    <col min="7431" max="7431" width="11.77734375" style="107" customWidth="1"/>
    <col min="7432" max="7432" width="8.21875" style="107" customWidth="1"/>
    <col min="7433" max="7433" width="12" style="107" customWidth="1"/>
    <col min="7434" max="7434" width="8.77734375" style="107" customWidth="1"/>
    <col min="7435" max="7435" width="11.109375" style="107" customWidth="1"/>
    <col min="7436" max="7436" width="12.88671875" style="107" customWidth="1"/>
    <col min="7437" max="7437" width="12.5546875" style="107" customWidth="1"/>
    <col min="7438" max="7438" width="9.6640625" style="107" customWidth="1"/>
    <col min="7439" max="7439" width="9.88671875" style="107" customWidth="1"/>
    <col min="7440" max="7440" width="11.33203125" style="107" customWidth="1"/>
    <col min="7441" max="7441" width="11.5546875" style="107" customWidth="1"/>
    <col min="7442" max="7442" width="11.6640625" style="107" customWidth="1"/>
    <col min="7443" max="7443" width="10.33203125" style="107" customWidth="1"/>
    <col min="7444" max="7444" width="11.77734375" style="107" customWidth="1"/>
    <col min="7445" max="7445" width="12.109375" style="107" customWidth="1"/>
    <col min="7446" max="7446" width="11" style="107" customWidth="1"/>
    <col min="7447" max="7447" width="12.109375" style="107" customWidth="1"/>
    <col min="7448" max="7448" width="10.5546875" style="107" customWidth="1"/>
    <col min="7449" max="7449" width="9.88671875" style="107" customWidth="1"/>
    <col min="7450" max="7450" width="10.77734375" style="107" customWidth="1"/>
    <col min="7451" max="7451" width="9.77734375" style="107" customWidth="1"/>
    <col min="7452" max="7452" width="11.21875" style="107" customWidth="1"/>
    <col min="7453" max="7453" width="10.33203125" style="107" customWidth="1"/>
    <col min="7454" max="7454" width="11.88671875" style="107" customWidth="1"/>
    <col min="7455" max="7455" width="8.77734375" style="107"/>
    <col min="7456" max="7456" width="13.88671875" style="107" customWidth="1"/>
    <col min="7457" max="7457" width="10.88671875" style="107" customWidth="1"/>
    <col min="7458" max="7458" width="11.44140625" style="107" customWidth="1"/>
    <col min="7459" max="7459" width="11.77734375" style="107" customWidth="1"/>
    <col min="7460" max="7460" width="11.109375" style="107" customWidth="1"/>
    <col min="7461" max="7461" width="10.88671875" style="107" customWidth="1"/>
    <col min="7462" max="7465" width="8.77734375" style="107"/>
    <col min="7466" max="7466" width="11.44140625" style="107" bestFit="1" customWidth="1"/>
    <col min="7467" max="7467" width="10.21875" style="107" customWidth="1"/>
    <col min="7468" max="7468" width="11.5546875" style="107" customWidth="1"/>
    <col min="7469" max="7469" width="12.109375" style="107" customWidth="1"/>
    <col min="7470" max="7470" width="13.21875" style="107" customWidth="1"/>
    <col min="7471" max="7471" width="14.109375" style="107" customWidth="1"/>
    <col min="7472" max="7472" width="11.77734375" style="107" customWidth="1"/>
    <col min="7473" max="7473" width="9.6640625" style="107" customWidth="1"/>
    <col min="7474" max="7477" width="8.77734375" style="107"/>
    <col min="7478" max="7478" width="28.77734375" style="107" customWidth="1"/>
    <col min="7479" max="7479" width="11.77734375" style="107" customWidth="1"/>
    <col min="7480" max="7480" width="10" style="107" customWidth="1"/>
    <col min="7481" max="7481" width="10.44140625" style="107" customWidth="1"/>
    <col min="7482" max="7483" width="8.77734375" style="107"/>
    <col min="7484" max="7484" width="9.33203125" style="107" customWidth="1"/>
    <col min="7485" max="7485" width="18.44140625" style="107" customWidth="1"/>
    <col min="7486" max="7486" width="11" style="107" customWidth="1"/>
    <col min="7487" max="7487" width="9.5546875" style="107" customWidth="1"/>
    <col min="7488" max="7488" width="10.6640625" style="107" customWidth="1"/>
    <col min="7489" max="7489" width="9.88671875" style="107" customWidth="1"/>
    <col min="7490" max="7490" width="11.44140625" style="107" customWidth="1"/>
    <col min="7491" max="7491" width="9.88671875" style="107" customWidth="1"/>
    <col min="7492" max="7492" width="10" style="107" customWidth="1"/>
    <col min="7493" max="7493" width="6.77734375" style="107" customWidth="1"/>
    <col min="7494" max="7494" width="12.5546875" style="107" customWidth="1"/>
    <col min="7495" max="7495" width="9.5546875" style="107" customWidth="1"/>
    <col min="7496" max="7496" width="10.33203125" style="107" customWidth="1"/>
    <col min="7497" max="7497" width="7.77734375" style="107" customWidth="1"/>
    <col min="7498" max="7498" width="7.21875" style="107" customWidth="1"/>
    <col min="7499" max="7499" width="17.6640625" style="107" customWidth="1"/>
    <col min="7500" max="7500" width="8.77734375" style="107" customWidth="1"/>
    <col min="7501" max="7501" width="13.109375" style="107" bestFit="1" customWidth="1"/>
    <col min="7502" max="7502" width="13.77734375" style="107" customWidth="1"/>
    <col min="7503" max="7504" width="8.77734375" style="107"/>
    <col min="7505" max="7505" width="9" style="107" bestFit="1" customWidth="1"/>
    <col min="7506" max="7514" width="8.77734375" style="107"/>
    <col min="7515" max="7515" width="13.109375" style="107" customWidth="1"/>
    <col min="7516" max="7516" width="8.77734375" style="107"/>
    <col min="7517" max="7517" width="9.88671875" style="107" customWidth="1"/>
    <col min="7518" max="7521" width="8.77734375" style="107"/>
    <col min="7522" max="7522" width="8.5546875" style="107" customWidth="1"/>
    <col min="7523" max="7523" width="30.33203125" style="107" customWidth="1"/>
    <col min="7524" max="7524" width="9" style="107" bestFit="1" customWidth="1"/>
    <col min="7525" max="7525" width="8.77734375" style="107"/>
    <col min="7526" max="7526" width="5.88671875" style="107" customWidth="1"/>
    <col min="7527" max="7527" width="6.88671875" style="107" customWidth="1"/>
    <col min="7528" max="7528" width="23.88671875" style="107" customWidth="1"/>
    <col min="7529" max="7535" width="8.77734375" style="107"/>
    <col min="7536" max="7536" width="9" style="107" bestFit="1" customWidth="1"/>
    <col min="7537" max="7538" width="8.77734375" style="107"/>
    <col min="7539" max="7539" width="32.88671875" style="107" customWidth="1"/>
    <col min="7540" max="7540" width="16.6640625" style="107" customWidth="1"/>
    <col min="7541" max="7541" width="10.21875" style="107" customWidth="1"/>
    <col min="7542" max="7542" width="12.44140625" style="107" customWidth="1"/>
    <col min="7543" max="7543" width="10" style="107" bestFit="1" customWidth="1"/>
    <col min="7544" max="7544" width="8.77734375" style="107"/>
    <col min="7545" max="7545" width="9" style="107" bestFit="1" customWidth="1"/>
    <col min="7546" max="7547" width="8.77734375" style="107"/>
    <col min="7548" max="7548" width="11.6640625" style="107" customWidth="1"/>
    <col min="7549" max="7549" width="8.77734375" style="107"/>
    <col min="7550" max="7550" width="28.77734375" style="107" customWidth="1"/>
    <col min="7551" max="7551" width="12.33203125" style="107" customWidth="1"/>
    <col min="7552" max="7552" width="11.21875" style="107" customWidth="1"/>
    <col min="7553" max="7680" width="8.77734375" style="107"/>
    <col min="7681" max="7681" width="5.6640625" style="107" customWidth="1"/>
    <col min="7682" max="7682" width="26.5546875" style="107" customWidth="1"/>
    <col min="7683" max="7683" width="11.44140625" style="107" customWidth="1"/>
    <col min="7684" max="7684" width="7.44140625" style="107" customWidth="1"/>
    <col min="7685" max="7685" width="8.5546875" style="107" customWidth="1"/>
    <col min="7686" max="7686" width="12.33203125" style="107" customWidth="1"/>
    <col min="7687" max="7687" width="11.77734375" style="107" customWidth="1"/>
    <col min="7688" max="7688" width="8.21875" style="107" customWidth="1"/>
    <col min="7689" max="7689" width="12" style="107" customWidth="1"/>
    <col min="7690" max="7690" width="8.77734375" style="107" customWidth="1"/>
    <col min="7691" max="7691" width="11.109375" style="107" customWidth="1"/>
    <col min="7692" max="7692" width="12.88671875" style="107" customWidth="1"/>
    <col min="7693" max="7693" width="12.5546875" style="107" customWidth="1"/>
    <col min="7694" max="7694" width="9.6640625" style="107" customWidth="1"/>
    <col min="7695" max="7695" width="9.88671875" style="107" customWidth="1"/>
    <col min="7696" max="7696" width="11.33203125" style="107" customWidth="1"/>
    <col min="7697" max="7697" width="11.5546875" style="107" customWidth="1"/>
    <col min="7698" max="7698" width="11.6640625" style="107" customWidth="1"/>
    <col min="7699" max="7699" width="10.33203125" style="107" customWidth="1"/>
    <col min="7700" max="7700" width="11.77734375" style="107" customWidth="1"/>
    <col min="7701" max="7701" width="12.109375" style="107" customWidth="1"/>
    <col min="7702" max="7702" width="11" style="107" customWidth="1"/>
    <col min="7703" max="7703" width="12.109375" style="107" customWidth="1"/>
    <col min="7704" max="7704" width="10.5546875" style="107" customWidth="1"/>
    <col min="7705" max="7705" width="9.88671875" style="107" customWidth="1"/>
    <col min="7706" max="7706" width="10.77734375" style="107" customWidth="1"/>
    <col min="7707" max="7707" width="9.77734375" style="107" customWidth="1"/>
    <col min="7708" max="7708" width="11.21875" style="107" customWidth="1"/>
    <col min="7709" max="7709" width="10.33203125" style="107" customWidth="1"/>
    <col min="7710" max="7710" width="11.88671875" style="107" customWidth="1"/>
    <col min="7711" max="7711" width="8.77734375" style="107"/>
    <col min="7712" max="7712" width="13.88671875" style="107" customWidth="1"/>
    <col min="7713" max="7713" width="10.88671875" style="107" customWidth="1"/>
    <col min="7714" max="7714" width="11.44140625" style="107" customWidth="1"/>
    <col min="7715" max="7715" width="11.77734375" style="107" customWidth="1"/>
    <col min="7716" max="7716" width="11.109375" style="107" customWidth="1"/>
    <col min="7717" max="7717" width="10.88671875" style="107" customWidth="1"/>
    <col min="7718" max="7721" width="8.77734375" style="107"/>
    <col min="7722" max="7722" width="11.44140625" style="107" bestFit="1" customWidth="1"/>
    <col min="7723" max="7723" width="10.21875" style="107" customWidth="1"/>
    <col min="7724" max="7724" width="11.5546875" style="107" customWidth="1"/>
    <col min="7725" max="7725" width="12.109375" style="107" customWidth="1"/>
    <col min="7726" max="7726" width="13.21875" style="107" customWidth="1"/>
    <col min="7727" max="7727" width="14.109375" style="107" customWidth="1"/>
    <col min="7728" max="7728" width="11.77734375" style="107" customWidth="1"/>
    <col min="7729" max="7729" width="9.6640625" style="107" customWidth="1"/>
    <col min="7730" max="7733" width="8.77734375" style="107"/>
    <col min="7734" max="7734" width="28.77734375" style="107" customWidth="1"/>
    <col min="7735" max="7735" width="11.77734375" style="107" customWidth="1"/>
    <col min="7736" max="7736" width="10" style="107" customWidth="1"/>
    <col min="7737" max="7737" width="10.44140625" style="107" customWidth="1"/>
    <col min="7738" max="7739" width="8.77734375" style="107"/>
    <col min="7740" max="7740" width="9.33203125" style="107" customWidth="1"/>
    <col min="7741" max="7741" width="18.44140625" style="107" customWidth="1"/>
    <col min="7742" max="7742" width="11" style="107" customWidth="1"/>
    <col min="7743" max="7743" width="9.5546875" style="107" customWidth="1"/>
    <col min="7744" max="7744" width="10.6640625" style="107" customWidth="1"/>
    <col min="7745" max="7745" width="9.88671875" style="107" customWidth="1"/>
    <col min="7746" max="7746" width="11.44140625" style="107" customWidth="1"/>
    <col min="7747" max="7747" width="9.88671875" style="107" customWidth="1"/>
    <col min="7748" max="7748" width="10" style="107" customWidth="1"/>
    <col min="7749" max="7749" width="6.77734375" style="107" customWidth="1"/>
    <col min="7750" max="7750" width="12.5546875" style="107" customWidth="1"/>
    <col min="7751" max="7751" width="9.5546875" style="107" customWidth="1"/>
    <col min="7752" max="7752" width="10.33203125" style="107" customWidth="1"/>
    <col min="7753" max="7753" width="7.77734375" style="107" customWidth="1"/>
    <col min="7754" max="7754" width="7.21875" style="107" customWidth="1"/>
    <col min="7755" max="7755" width="17.6640625" style="107" customWidth="1"/>
    <col min="7756" max="7756" width="8.77734375" style="107" customWidth="1"/>
    <col min="7757" max="7757" width="13.109375" style="107" bestFit="1" customWidth="1"/>
    <col min="7758" max="7758" width="13.77734375" style="107" customWidth="1"/>
    <col min="7759" max="7760" width="8.77734375" style="107"/>
    <col min="7761" max="7761" width="9" style="107" bestFit="1" customWidth="1"/>
    <col min="7762" max="7770" width="8.77734375" style="107"/>
    <col min="7771" max="7771" width="13.109375" style="107" customWidth="1"/>
    <col min="7772" max="7772" width="8.77734375" style="107"/>
    <col min="7773" max="7773" width="9.88671875" style="107" customWidth="1"/>
    <col min="7774" max="7777" width="8.77734375" style="107"/>
    <col min="7778" max="7778" width="8.5546875" style="107" customWidth="1"/>
    <col min="7779" max="7779" width="30.33203125" style="107" customWidth="1"/>
    <col min="7780" max="7780" width="9" style="107" bestFit="1" customWidth="1"/>
    <col min="7781" max="7781" width="8.77734375" style="107"/>
    <col min="7782" max="7782" width="5.88671875" style="107" customWidth="1"/>
    <col min="7783" max="7783" width="6.88671875" style="107" customWidth="1"/>
    <col min="7784" max="7784" width="23.88671875" style="107" customWidth="1"/>
    <col min="7785" max="7791" width="8.77734375" style="107"/>
    <col min="7792" max="7792" width="9" style="107" bestFit="1" customWidth="1"/>
    <col min="7793" max="7794" width="8.77734375" style="107"/>
    <col min="7795" max="7795" width="32.88671875" style="107" customWidth="1"/>
    <col min="7796" max="7796" width="16.6640625" style="107" customWidth="1"/>
    <col min="7797" max="7797" width="10.21875" style="107" customWidth="1"/>
    <col min="7798" max="7798" width="12.44140625" style="107" customWidth="1"/>
    <col min="7799" max="7799" width="10" style="107" bestFit="1" customWidth="1"/>
    <col min="7800" max="7800" width="8.77734375" style="107"/>
    <col min="7801" max="7801" width="9" style="107" bestFit="1" customWidth="1"/>
    <col min="7802" max="7803" width="8.77734375" style="107"/>
    <col min="7804" max="7804" width="11.6640625" style="107" customWidth="1"/>
    <col min="7805" max="7805" width="8.77734375" style="107"/>
    <col min="7806" max="7806" width="28.77734375" style="107" customWidth="1"/>
    <col min="7807" max="7807" width="12.33203125" style="107" customWidth="1"/>
    <col min="7808" max="7808" width="11.21875" style="107" customWidth="1"/>
    <col min="7809" max="7936" width="8.77734375" style="107"/>
    <col min="7937" max="7937" width="5.6640625" style="107" customWidth="1"/>
    <col min="7938" max="7938" width="26.5546875" style="107" customWidth="1"/>
    <col min="7939" max="7939" width="11.44140625" style="107" customWidth="1"/>
    <col min="7940" max="7940" width="7.44140625" style="107" customWidth="1"/>
    <col min="7941" max="7941" width="8.5546875" style="107" customWidth="1"/>
    <col min="7942" max="7942" width="12.33203125" style="107" customWidth="1"/>
    <col min="7943" max="7943" width="11.77734375" style="107" customWidth="1"/>
    <col min="7944" max="7944" width="8.21875" style="107" customWidth="1"/>
    <col min="7945" max="7945" width="12" style="107" customWidth="1"/>
    <col min="7946" max="7946" width="8.77734375" style="107" customWidth="1"/>
    <col min="7947" max="7947" width="11.109375" style="107" customWidth="1"/>
    <col min="7948" max="7948" width="12.88671875" style="107" customWidth="1"/>
    <col min="7949" max="7949" width="12.5546875" style="107" customWidth="1"/>
    <col min="7950" max="7950" width="9.6640625" style="107" customWidth="1"/>
    <col min="7951" max="7951" width="9.88671875" style="107" customWidth="1"/>
    <col min="7952" max="7952" width="11.33203125" style="107" customWidth="1"/>
    <col min="7953" max="7953" width="11.5546875" style="107" customWidth="1"/>
    <col min="7954" max="7954" width="11.6640625" style="107" customWidth="1"/>
    <col min="7955" max="7955" width="10.33203125" style="107" customWidth="1"/>
    <col min="7956" max="7956" width="11.77734375" style="107" customWidth="1"/>
    <col min="7957" max="7957" width="12.109375" style="107" customWidth="1"/>
    <col min="7958" max="7958" width="11" style="107" customWidth="1"/>
    <col min="7959" max="7959" width="12.109375" style="107" customWidth="1"/>
    <col min="7960" max="7960" width="10.5546875" style="107" customWidth="1"/>
    <col min="7961" max="7961" width="9.88671875" style="107" customWidth="1"/>
    <col min="7962" max="7962" width="10.77734375" style="107" customWidth="1"/>
    <col min="7963" max="7963" width="9.77734375" style="107" customWidth="1"/>
    <col min="7964" max="7964" width="11.21875" style="107" customWidth="1"/>
    <col min="7965" max="7965" width="10.33203125" style="107" customWidth="1"/>
    <col min="7966" max="7966" width="11.88671875" style="107" customWidth="1"/>
    <col min="7967" max="7967" width="8.77734375" style="107"/>
    <col min="7968" max="7968" width="13.88671875" style="107" customWidth="1"/>
    <col min="7969" max="7969" width="10.88671875" style="107" customWidth="1"/>
    <col min="7970" max="7970" width="11.44140625" style="107" customWidth="1"/>
    <col min="7971" max="7971" width="11.77734375" style="107" customWidth="1"/>
    <col min="7972" max="7972" width="11.109375" style="107" customWidth="1"/>
    <col min="7973" max="7973" width="10.88671875" style="107" customWidth="1"/>
    <col min="7974" max="7977" width="8.77734375" style="107"/>
    <col min="7978" max="7978" width="11.44140625" style="107" bestFit="1" customWidth="1"/>
    <col min="7979" max="7979" width="10.21875" style="107" customWidth="1"/>
    <col min="7980" max="7980" width="11.5546875" style="107" customWidth="1"/>
    <col min="7981" max="7981" width="12.109375" style="107" customWidth="1"/>
    <col min="7982" max="7982" width="13.21875" style="107" customWidth="1"/>
    <col min="7983" max="7983" width="14.109375" style="107" customWidth="1"/>
    <col min="7984" max="7984" width="11.77734375" style="107" customWidth="1"/>
    <col min="7985" max="7985" width="9.6640625" style="107" customWidth="1"/>
    <col min="7986" max="7989" width="8.77734375" style="107"/>
    <col min="7990" max="7990" width="28.77734375" style="107" customWidth="1"/>
    <col min="7991" max="7991" width="11.77734375" style="107" customWidth="1"/>
    <col min="7992" max="7992" width="10" style="107" customWidth="1"/>
    <col min="7993" max="7993" width="10.44140625" style="107" customWidth="1"/>
    <col min="7994" max="7995" width="8.77734375" style="107"/>
    <col min="7996" max="7996" width="9.33203125" style="107" customWidth="1"/>
    <col min="7997" max="7997" width="18.44140625" style="107" customWidth="1"/>
    <col min="7998" max="7998" width="11" style="107" customWidth="1"/>
    <col min="7999" max="7999" width="9.5546875" style="107" customWidth="1"/>
    <col min="8000" max="8000" width="10.6640625" style="107" customWidth="1"/>
    <col min="8001" max="8001" width="9.88671875" style="107" customWidth="1"/>
    <col min="8002" max="8002" width="11.44140625" style="107" customWidth="1"/>
    <col min="8003" max="8003" width="9.88671875" style="107" customWidth="1"/>
    <col min="8004" max="8004" width="10" style="107" customWidth="1"/>
    <col min="8005" max="8005" width="6.77734375" style="107" customWidth="1"/>
    <col min="8006" max="8006" width="12.5546875" style="107" customWidth="1"/>
    <col min="8007" max="8007" width="9.5546875" style="107" customWidth="1"/>
    <col min="8008" max="8008" width="10.33203125" style="107" customWidth="1"/>
    <col min="8009" max="8009" width="7.77734375" style="107" customWidth="1"/>
    <col min="8010" max="8010" width="7.21875" style="107" customWidth="1"/>
    <col min="8011" max="8011" width="17.6640625" style="107" customWidth="1"/>
    <col min="8012" max="8012" width="8.77734375" style="107" customWidth="1"/>
    <col min="8013" max="8013" width="13.109375" style="107" bestFit="1" customWidth="1"/>
    <col min="8014" max="8014" width="13.77734375" style="107" customWidth="1"/>
    <col min="8015" max="8016" width="8.77734375" style="107"/>
    <col min="8017" max="8017" width="9" style="107" bestFit="1" customWidth="1"/>
    <col min="8018" max="8026" width="8.77734375" style="107"/>
    <col min="8027" max="8027" width="13.109375" style="107" customWidth="1"/>
    <col min="8028" max="8028" width="8.77734375" style="107"/>
    <col min="8029" max="8029" width="9.88671875" style="107" customWidth="1"/>
    <col min="8030" max="8033" width="8.77734375" style="107"/>
    <col min="8034" max="8034" width="8.5546875" style="107" customWidth="1"/>
    <col min="8035" max="8035" width="30.33203125" style="107" customWidth="1"/>
    <col min="8036" max="8036" width="9" style="107" bestFit="1" customWidth="1"/>
    <col min="8037" max="8037" width="8.77734375" style="107"/>
    <col min="8038" max="8038" width="5.88671875" style="107" customWidth="1"/>
    <col min="8039" max="8039" width="6.88671875" style="107" customWidth="1"/>
    <col min="8040" max="8040" width="23.88671875" style="107" customWidth="1"/>
    <col min="8041" max="8047" width="8.77734375" style="107"/>
    <col min="8048" max="8048" width="9" style="107" bestFit="1" customWidth="1"/>
    <col min="8049" max="8050" width="8.77734375" style="107"/>
    <col min="8051" max="8051" width="32.88671875" style="107" customWidth="1"/>
    <col min="8052" max="8052" width="16.6640625" style="107" customWidth="1"/>
    <col min="8053" max="8053" width="10.21875" style="107" customWidth="1"/>
    <col min="8054" max="8054" width="12.44140625" style="107" customWidth="1"/>
    <col min="8055" max="8055" width="10" style="107" bestFit="1" customWidth="1"/>
    <col min="8056" max="8056" width="8.77734375" style="107"/>
    <col min="8057" max="8057" width="9" style="107" bestFit="1" customWidth="1"/>
    <col min="8058" max="8059" width="8.77734375" style="107"/>
    <col min="8060" max="8060" width="11.6640625" style="107" customWidth="1"/>
    <col min="8061" max="8061" width="8.77734375" style="107"/>
    <col min="8062" max="8062" width="28.77734375" style="107" customWidth="1"/>
    <col min="8063" max="8063" width="12.33203125" style="107" customWidth="1"/>
    <col min="8064" max="8064" width="11.21875" style="107" customWidth="1"/>
    <col min="8065" max="8192" width="8.77734375" style="107"/>
    <col min="8193" max="8193" width="5.6640625" style="107" customWidth="1"/>
    <col min="8194" max="8194" width="26.5546875" style="107" customWidth="1"/>
    <col min="8195" max="8195" width="11.44140625" style="107" customWidth="1"/>
    <col min="8196" max="8196" width="7.44140625" style="107" customWidth="1"/>
    <col min="8197" max="8197" width="8.5546875" style="107" customWidth="1"/>
    <col min="8198" max="8198" width="12.33203125" style="107" customWidth="1"/>
    <col min="8199" max="8199" width="11.77734375" style="107" customWidth="1"/>
    <col min="8200" max="8200" width="8.21875" style="107" customWidth="1"/>
    <col min="8201" max="8201" width="12" style="107" customWidth="1"/>
    <col min="8202" max="8202" width="8.77734375" style="107" customWidth="1"/>
    <col min="8203" max="8203" width="11.109375" style="107" customWidth="1"/>
    <col min="8204" max="8204" width="12.88671875" style="107" customWidth="1"/>
    <col min="8205" max="8205" width="12.5546875" style="107" customWidth="1"/>
    <col min="8206" max="8206" width="9.6640625" style="107" customWidth="1"/>
    <col min="8207" max="8207" width="9.88671875" style="107" customWidth="1"/>
    <col min="8208" max="8208" width="11.33203125" style="107" customWidth="1"/>
    <col min="8209" max="8209" width="11.5546875" style="107" customWidth="1"/>
    <col min="8210" max="8210" width="11.6640625" style="107" customWidth="1"/>
    <col min="8211" max="8211" width="10.33203125" style="107" customWidth="1"/>
    <col min="8212" max="8212" width="11.77734375" style="107" customWidth="1"/>
    <col min="8213" max="8213" width="12.109375" style="107" customWidth="1"/>
    <col min="8214" max="8214" width="11" style="107" customWidth="1"/>
    <col min="8215" max="8215" width="12.109375" style="107" customWidth="1"/>
    <col min="8216" max="8216" width="10.5546875" style="107" customWidth="1"/>
    <col min="8217" max="8217" width="9.88671875" style="107" customWidth="1"/>
    <col min="8218" max="8218" width="10.77734375" style="107" customWidth="1"/>
    <col min="8219" max="8219" width="9.77734375" style="107" customWidth="1"/>
    <col min="8220" max="8220" width="11.21875" style="107" customWidth="1"/>
    <col min="8221" max="8221" width="10.33203125" style="107" customWidth="1"/>
    <col min="8222" max="8222" width="11.88671875" style="107" customWidth="1"/>
    <col min="8223" max="8223" width="8.77734375" style="107"/>
    <col min="8224" max="8224" width="13.88671875" style="107" customWidth="1"/>
    <col min="8225" max="8225" width="10.88671875" style="107" customWidth="1"/>
    <col min="8226" max="8226" width="11.44140625" style="107" customWidth="1"/>
    <col min="8227" max="8227" width="11.77734375" style="107" customWidth="1"/>
    <col min="8228" max="8228" width="11.109375" style="107" customWidth="1"/>
    <col min="8229" max="8229" width="10.88671875" style="107" customWidth="1"/>
    <col min="8230" max="8233" width="8.77734375" style="107"/>
    <col min="8234" max="8234" width="11.44140625" style="107" bestFit="1" customWidth="1"/>
    <col min="8235" max="8235" width="10.21875" style="107" customWidth="1"/>
    <col min="8236" max="8236" width="11.5546875" style="107" customWidth="1"/>
    <col min="8237" max="8237" width="12.109375" style="107" customWidth="1"/>
    <col min="8238" max="8238" width="13.21875" style="107" customWidth="1"/>
    <col min="8239" max="8239" width="14.109375" style="107" customWidth="1"/>
    <col min="8240" max="8240" width="11.77734375" style="107" customWidth="1"/>
    <col min="8241" max="8241" width="9.6640625" style="107" customWidth="1"/>
    <col min="8242" max="8245" width="8.77734375" style="107"/>
    <col min="8246" max="8246" width="28.77734375" style="107" customWidth="1"/>
    <col min="8247" max="8247" width="11.77734375" style="107" customWidth="1"/>
    <col min="8248" max="8248" width="10" style="107" customWidth="1"/>
    <col min="8249" max="8249" width="10.44140625" style="107" customWidth="1"/>
    <col min="8250" max="8251" width="8.77734375" style="107"/>
    <col min="8252" max="8252" width="9.33203125" style="107" customWidth="1"/>
    <col min="8253" max="8253" width="18.44140625" style="107" customWidth="1"/>
    <col min="8254" max="8254" width="11" style="107" customWidth="1"/>
    <col min="8255" max="8255" width="9.5546875" style="107" customWidth="1"/>
    <col min="8256" max="8256" width="10.6640625" style="107" customWidth="1"/>
    <col min="8257" max="8257" width="9.88671875" style="107" customWidth="1"/>
    <col min="8258" max="8258" width="11.44140625" style="107" customWidth="1"/>
    <col min="8259" max="8259" width="9.88671875" style="107" customWidth="1"/>
    <col min="8260" max="8260" width="10" style="107" customWidth="1"/>
    <col min="8261" max="8261" width="6.77734375" style="107" customWidth="1"/>
    <col min="8262" max="8262" width="12.5546875" style="107" customWidth="1"/>
    <col min="8263" max="8263" width="9.5546875" style="107" customWidth="1"/>
    <col min="8264" max="8264" width="10.33203125" style="107" customWidth="1"/>
    <col min="8265" max="8265" width="7.77734375" style="107" customWidth="1"/>
    <col min="8266" max="8266" width="7.21875" style="107" customWidth="1"/>
    <col min="8267" max="8267" width="17.6640625" style="107" customWidth="1"/>
    <col min="8268" max="8268" width="8.77734375" style="107" customWidth="1"/>
    <col min="8269" max="8269" width="13.109375" style="107" bestFit="1" customWidth="1"/>
    <col min="8270" max="8270" width="13.77734375" style="107" customWidth="1"/>
    <col min="8271" max="8272" width="8.77734375" style="107"/>
    <col min="8273" max="8273" width="9" style="107" bestFit="1" customWidth="1"/>
    <col min="8274" max="8282" width="8.77734375" style="107"/>
    <col min="8283" max="8283" width="13.109375" style="107" customWidth="1"/>
    <col min="8284" max="8284" width="8.77734375" style="107"/>
    <col min="8285" max="8285" width="9.88671875" style="107" customWidth="1"/>
    <col min="8286" max="8289" width="8.77734375" style="107"/>
    <col min="8290" max="8290" width="8.5546875" style="107" customWidth="1"/>
    <col min="8291" max="8291" width="30.33203125" style="107" customWidth="1"/>
    <col min="8292" max="8292" width="9" style="107" bestFit="1" customWidth="1"/>
    <col min="8293" max="8293" width="8.77734375" style="107"/>
    <col min="8294" max="8294" width="5.88671875" style="107" customWidth="1"/>
    <col min="8295" max="8295" width="6.88671875" style="107" customWidth="1"/>
    <col min="8296" max="8296" width="23.88671875" style="107" customWidth="1"/>
    <col min="8297" max="8303" width="8.77734375" style="107"/>
    <col min="8304" max="8304" width="9" style="107" bestFit="1" customWidth="1"/>
    <col min="8305" max="8306" width="8.77734375" style="107"/>
    <col min="8307" max="8307" width="32.88671875" style="107" customWidth="1"/>
    <col min="8308" max="8308" width="16.6640625" style="107" customWidth="1"/>
    <col min="8309" max="8309" width="10.21875" style="107" customWidth="1"/>
    <col min="8310" max="8310" width="12.44140625" style="107" customWidth="1"/>
    <col min="8311" max="8311" width="10" style="107" bestFit="1" customWidth="1"/>
    <col min="8312" max="8312" width="8.77734375" style="107"/>
    <col min="8313" max="8313" width="9" style="107" bestFit="1" customWidth="1"/>
    <col min="8314" max="8315" width="8.77734375" style="107"/>
    <col min="8316" max="8316" width="11.6640625" style="107" customWidth="1"/>
    <col min="8317" max="8317" width="8.77734375" style="107"/>
    <col min="8318" max="8318" width="28.77734375" style="107" customWidth="1"/>
    <col min="8319" max="8319" width="12.33203125" style="107" customWidth="1"/>
    <col min="8320" max="8320" width="11.21875" style="107" customWidth="1"/>
    <col min="8321" max="8448" width="8.77734375" style="107"/>
    <col min="8449" max="8449" width="5.6640625" style="107" customWidth="1"/>
    <col min="8450" max="8450" width="26.5546875" style="107" customWidth="1"/>
    <col min="8451" max="8451" width="11.44140625" style="107" customWidth="1"/>
    <col min="8452" max="8452" width="7.44140625" style="107" customWidth="1"/>
    <col min="8453" max="8453" width="8.5546875" style="107" customWidth="1"/>
    <col min="8454" max="8454" width="12.33203125" style="107" customWidth="1"/>
    <col min="8455" max="8455" width="11.77734375" style="107" customWidth="1"/>
    <col min="8456" max="8456" width="8.21875" style="107" customWidth="1"/>
    <col min="8457" max="8457" width="12" style="107" customWidth="1"/>
    <col min="8458" max="8458" width="8.77734375" style="107" customWidth="1"/>
    <col min="8459" max="8459" width="11.109375" style="107" customWidth="1"/>
    <col min="8460" max="8460" width="12.88671875" style="107" customWidth="1"/>
    <col min="8461" max="8461" width="12.5546875" style="107" customWidth="1"/>
    <col min="8462" max="8462" width="9.6640625" style="107" customWidth="1"/>
    <col min="8463" max="8463" width="9.88671875" style="107" customWidth="1"/>
    <col min="8464" max="8464" width="11.33203125" style="107" customWidth="1"/>
    <col min="8465" max="8465" width="11.5546875" style="107" customWidth="1"/>
    <col min="8466" max="8466" width="11.6640625" style="107" customWidth="1"/>
    <col min="8467" max="8467" width="10.33203125" style="107" customWidth="1"/>
    <col min="8468" max="8468" width="11.77734375" style="107" customWidth="1"/>
    <col min="8469" max="8469" width="12.109375" style="107" customWidth="1"/>
    <col min="8470" max="8470" width="11" style="107" customWidth="1"/>
    <col min="8471" max="8471" width="12.109375" style="107" customWidth="1"/>
    <col min="8472" max="8472" width="10.5546875" style="107" customWidth="1"/>
    <col min="8473" max="8473" width="9.88671875" style="107" customWidth="1"/>
    <col min="8474" max="8474" width="10.77734375" style="107" customWidth="1"/>
    <col min="8475" max="8475" width="9.77734375" style="107" customWidth="1"/>
    <col min="8476" max="8476" width="11.21875" style="107" customWidth="1"/>
    <col min="8477" max="8477" width="10.33203125" style="107" customWidth="1"/>
    <col min="8478" max="8478" width="11.88671875" style="107" customWidth="1"/>
    <col min="8479" max="8479" width="8.77734375" style="107"/>
    <col min="8480" max="8480" width="13.88671875" style="107" customWidth="1"/>
    <col min="8481" max="8481" width="10.88671875" style="107" customWidth="1"/>
    <col min="8482" max="8482" width="11.44140625" style="107" customWidth="1"/>
    <col min="8483" max="8483" width="11.77734375" style="107" customWidth="1"/>
    <col min="8484" max="8484" width="11.109375" style="107" customWidth="1"/>
    <col min="8485" max="8485" width="10.88671875" style="107" customWidth="1"/>
    <col min="8486" max="8489" width="8.77734375" style="107"/>
    <col min="8490" max="8490" width="11.44140625" style="107" bestFit="1" customWidth="1"/>
    <col min="8491" max="8491" width="10.21875" style="107" customWidth="1"/>
    <col min="8492" max="8492" width="11.5546875" style="107" customWidth="1"/>
    <col min="8493" max="8493" width="12.109375" style="107" customWidth="1"/>
    <col min="8494" max="8494" width="13.21875" style="107" customWidth="1"/>
    <col min="8495" max="8495" width="14.109375" style="107" customWidth="1"/>
    <col min="8496" max="8496" width="11.77734375" style="107" customWidth="1"/>
    <col min="8497" max="8497" width="9.6640625" style="107" customWidth="1"/>
    <col min="8498" max="8501" width="8.77734375" style="107"/>
    <col min="8502" max="8502" width="28.77734375" style="107" customWidth="1"/>
    <col min="8503" max="8503" width="11.77734375" style="107" customWidth="1"/>
    <col min="8504" max="8504" width="10" style="107" customWidth="1"/>
    <col min="8505" max="8505" width="10.44140625" style="107" customWidth="1"/>
    <col min="8506" max="8507" width="8.77734375" style="107"/>
    <col min="8508" max="8508" width="9.33203125" style="107" customWidth="1"/>
    <col min="8509" max="8509" width="18.44140625" style="107" customWidth="1"/>
    <col min="8510" max="8510" width="11" style="107" customWidth="1"/>
    <col min="8511" max="8511" width="9.5546875" style="107" customWidth="1"/>
    <col min="8512" max="8512" width="10.6640625" style="107" customWidth="1"/>
    <col min="8513" max="8513" width="9.88671875" style="107" customWidth="1"/>
    <col min="8514" max="8514" width="11.44140625" style="107" customWidth="1"/>
    <col min="8515" max="8515" width="9.88671875" style="107" customWidth="1"/>
    <col min="8516" max="8516" width="10" style="107" customWidth="1"/>
    <col min="8517" max="8517" width="6.77734375" style="107" customWidth="1"/>
    <col min="8518" max="8518" width="12.5546875" style="107" customWidth="1"/>
    <col min="8519" max="8519" width="9.5546875" style="107" customWidth="1"/>
    <col min="8520" max="8520" width="10.33203125" style="107" customWidth="1"/>
    <col min="8521" max="8521" width="7.77734375" style="107" customWidth="1"/>
    <col min="8522" max="8522" width="7.21875" style="107" customWidth="1"/>
    <col min="8523" max="8523" width="17.6640625" style="107" customWidth="1"/>
    <col min="8524" max="8524" width="8.77734375" style="107" customWidth="1"/>
    <col min="8525" max="8525" width="13.109375" style="107" bestFit="1" customWidth="1"/>
    <col min="8526" max="8526" width="13.77734375" style="107" customWidth="1"/>
    <col min="8527" max="8528" width="8.77734375" style="107"/>
    <col min="8529" max="8529" width="9" style="107" bestFit="1" customWidth="1"/>
    <col min="8530" max="8538" width="8.77734375" style="107"/>
    <col min="8539" max="8539" width="13.109375" style="107" customWidth="1"/>
    <col min="8540" max="8540" width="8.77734375" style="107"/>
    <col min="8541" max="8541" width="9.88671875" style="107" customWidth="1"/>
    <col min="8542" max="8545" width="8.77734375" style="107"/>
    <col min="8546" max="8546" width="8.5546875" style="107" customWidth="1"/>
    <col min="8547" max="8547" width="30.33203125" style="107" customWidth="1"/>
    <col min="8548" max="8548" width="9" style="107" bestFit="1" customWidth="1"/>
    <col min="8549" max="8549" width="8.77734375" style="107"/>
    <col min="8550" max="8550" width="5.88671875" style="107" customWidth="1"/>
    <col min="8551" max="8551" width="6.88671875" style="107" customWidth="1"/>
    <col min="8552" max="8552" width="23.88671875" style="107" customWidth="1"/>
    <col min="8553" max="8559" width="8.77734375" style="107"/>
    <col min="8560" max="8560" width="9" style="107" bestFit="1" customWidth="1"/>
    <col min="8561" max="8562" width="8.77734375" style="107"/>
    <col min="8563" max="8563" width="32.88671875" style="107" customWidth="1"/>
    <col min="8564" max="8564" width="16.6640625" style="107" customWidth="1"/>
    <col min="8565" max="8565" width="10.21875" style="107" customWidth="1"/>
    <col min="8566" max="8566" width="12.44140625" style="107" customWidth="1"/>
    <col min="8567" max="8567" width="10" style="107" bestFit="1" customWidth="1"/>
    <col min="8568" max="8568" width="8.77734375" style="107"/>
    <col min="8569" max="8569" width="9" style="107" bestFit="1" customWidth="1"/>
    <col min="8570" max="8571" width="8.77734375" style="107"/>
    <col min="8572" max="8572" width="11.6640625" style="107" customWidth="1"/>
    <col min="8573" max="8573" width="8.77734375" style="107"/>
    <col min="8574" max="8574" width="28.77734375" style="107" customWidth="1"/>
    <col min="8575" max="8575" width="12.33203125" style="107" customWidth="1"/>
    <col min="8576" max="8576" width="11.21875" style="107" customWidth="1"/>
    <col min="8577" max="8704" width="8.77734375" style="107"/>
    <col min="8705" max="8705" width="5.6640625" style="107" customWidth="1"/>
    <col min="8706" max="8706" width="26.5546875" style="107" customWidth="1"/>
    <col min="8707" max="8707" width="11.44140625" style="107" customWidth="1"/>
    <col min="8708" max="8708" width="7.44140625" style="107" customWidth="1"/>
    <col min="8709" max="8709" width="8.5546875" style="107" customWidth="1"/>
    <col min="8710" max="8710" width="12.33203125" style="107" customWidth="1"/>
    <col min="8711" max="8711" width="11.77734375" style="107" customWidth="1"/>
    <col min="8712" max="8712" width="8.21875" style="107" customWidth="1"/>
    <col min="8713" max="8713" width="12" style="107" customWidth="1"/>
    <col min="8714" max="8714" width="8.77734375" style="107" customWidth="1"/>
    <col min="8715" max="8715" width="11.109375" style="107" customWidth="1"/>
    <col min="8716" max="8716" width="12.88671875" style="107" customWidth="1"/>
    <col min="8717" max="8717" width="12.5546875" style="107" customWidth="1"/>
    <col min="8718" max="8718" width="9.6640625" style="107" customWidth="1"/>
    <col min="8719" max="8719" width="9.88671875" style="107" customWidth="1"/>
    <col min="8720" max="8720" width="11.33203125" style="107" customWidth="1"/>
    <col min="8721" max="8721" width="11.5546875" style="107" customWidth="1"/>
    <col min="8722" max="8722" width="11.6640625" style="107" customWidth="1"/>
    <col min="8723" max="8723" width="10.33203125" style="107" customWidth="1"/>
    <col min="8724" max="8724" width="11.77734375" style="107" customWidth="1"/>
    <col min="8725" max="8725" width="12.109375" style="107" customWidth="1"/>
    <col min="8726" max="8726" width="11" style="107" customWidth="1"/>
    <col min="8727" max="8727" width="12.109375" style="107" customWidth="1"/>
    <col min="8728" max="8728" width="10.5546875" style="107" customWidth="1"/>
    <col min="8729" max="8729" width="9.88671875" style="107" customWidth="1"/>
    <col min="8730" max="8730" width="10.77734375" style="107" customWidth="1"/>
    <col min="8731" max="8731" width="9.77734375" style="107" customWidth="1"/>
    <col min="8732" max="8732" width="11.21875" style="107" customWidth="1"/>
    <col min="8733" max="8733" width="10.33203125" style="107" customWidth="1"/>
    <col min="8734" max="8734" width="11.88671875" style="107" customWidth="1"/>
    <col min="8735" max="8735" width="8.77734375" style="107"/>
    <col min="8736" max="8736" width="13.88671875" style="107" customWidth="1"/>
    <col min="8737" max="8737" width="10.88671875" style="107" customWidth="1"/>
    <col min="8738" max="8738" width="11.44140625" style="107" customWidth="1"/>
    <col min="8739" max="8739" width="11.77734375" style="107" customWidth="1"/>
    <col min="8740" max="8740" width="11.109375" style="107" customWidth="1"/>
    <col min="8741" max="8741" width="10.88671875" style="107" customWidth="1"/>
    <col min="8742" max="8745" width="8.77734375" style="107"/>
    <col min="8746" max="8746" width="11.44140625" style="107" bestFit="1" customWidth="1"/>
    <col min="8747" max="8747" width="10.21875" style="107" customWidth="1"/>
    <col min="8748" max="8748" width="11.5546875" style="107" customWidth="1"/>
    <col min="8749" max="8749" width="12.109375" style="107" customWidth="1"/>
    <col min="8750" max="8750" width="13.21875" style="107" customWidth="1"/>
    <col min="8751" max="8751" width="14.109375" style="107" customWidth="1"/>
    <col min="8752" max="8752" width="11.77734375" style="107" customWidth="1"/>
    <col min="8753" max="8753" width="9.6640625" style="107" customWidth="1"/>
    <col min="8754" max="8757" width="8.77734375" style="107"/>
    <col min="8758" max="8758" width="28.77734375" style="107" customWidth="1"/>
    <col min="8759" max="8759" width="11.77734375" style="107" customWidth="1"/>
    <col min="8760" max="8760" width="10" style="107" customWidth="1"/>
    <col min="8761" max="8761" width="10.44140625" style="107" customWidth="1"/>
    <col min="8762" max="8763" width="8.77734375" style="107"/>
    <col min="8764" max="8764" width="9.33203125" style="107" customWidth="1"/>
    <col min="8765" max="8765" width="18.44140625" style="107" customWidth="1"/>
    <col min="8766" max="8766" width="11" style="107" customWidth="1"/>
    <col min="8767" max="8767" width="9.5546875" style="107" customWidth="1"/>
    <col min="8768" max="8768" width="10.6640625" style="107" customWidth="1"/>
    <col min="8769" max="8769" width="9.88671875" style="107" customWidth="1"/>
    <col min="8770" max="8770" width="11.44140625" style="107" customWidth="1"/>
    <col min="8771" max="8771" width="9.88671875" style="107" customWidth="1"/>
    <col min="8772" max="8772" width="10" style="107" customWidth="1"/>
    <col min="8773" max="8773" width="6.77734375" style="107" customWidth="1"/>
    <col min="8774" max="8774" width="12.5546875" style="107" customWidth="1"/>
    <col min="8775" max="8775" width="9.5546875" style="107" customWidth="1"/>
    <col min="8776" max="8776" width="10.33203125" style="107" customWidth="1"/>
    <col min="8777" max="8777" width="7.77734375" style="107" customWidth="1"/>
    <col min="8778" max="8778" width="7.21875" style="107" customWidth="1"/>
    <col min="8779" max="8779" width="17.6640625" style="107" customWidth="1"/>
    <col min="8780" max="8780" width="8.77734375" style="107" customWidth="1"/>
    <col min="8781" max="8781" width="13.109375" style="107" bestFit="1" customWidth="1"/>
    <col min="8782" max="8782" width="13.77734375" style="107" customWidth="1"/>
    <col min="8783" max="8784" width="8.77734375" style="107"/>
    <col min="8785" max="8785" width="9" style="107" bestFit="1" customWidth="1"/>
    <col min="8786" max="8794" width="8.77734375" style="107"/>
    <col min="8795" max="8795" width="13.109375" style="107" customWidth="1"/>
    <col min="8796" max="8796" width="8.77734375" style="107"/>
    <col min="8797" max="8797" width="9.88671875" style="107" customWidth="1"/>
    <col min="8798" max="8801" width="8.77734375" style="107"/>
    <col min="8802" max="8802" width="8.5546875" style="107" customWidth="1"/>
    <col min="8803" max="8803" width="30.33203125" style="107" customWidth="1"/>
    <col min="8804" max="8804" width="9" style="107" bestFit="1" customWidth="1"/>
    <col min="8805" max="8805" width="8.77734375" style="107"/>
    <col min="8806" max="8806" width="5.88671875" style="107" customWidth="1"/>
    <col min="8807" max="8807" width="6.88671875" style="107" customWidth="1"/>
    <col min="8808" max="8808" width="23.88671875" style="107" customWidth="1"/>
    <col min="8809" max="8815" width="8.77734375" style="107"/>
    <col min="8816" max="8816" width="9" style="107" bestFit="1" customWidth="1"/>
    <col min="8817" max="8818" width="8.77734375" style="107"/>
    <col min="8819" max="8819" width="32.88671875" style="107" customWidth="1"/>
    <col min="8820" max="8820" width="16.6640625" style="107" customWidth="1"/>
    <col min="8821" max="8821" width="10.21875" style="107" customWidth="1"/>
    <col min="8822" max="8822" width="12.44140625" style="107" customWidth="1"/>
    <col min="8823" max="8823" width="10" style="107" bestFit="1" customWidth="1"/>
    <col min="8824" max="8824" width="8.77734375" style="107"/>
    <col min="8825" max="8825" width="9" style="107" bestFit="1" customWidth="1"/>
    <col min="8826" max="8827" width="8.77734375" style="107"/>
    <col min="8828" max="8828" width="11.6640625" style="107" customWidth="1"/>
    <col min="8829" max="8829" width="8.77734375" style="107"/>
    <col min="8830" max="8830" width="28.77734375" style="107" customWidth="1"/>
    <col min="8831" max="8831" width="12.33203125" style="107" customWidth="1"/>
    <col min="8832" max="8832" width="11.21875" style="107" customWidth="1"/>
    <col min="8833" max="8960" width="8.77734375" style="107"/>
    <col min="8961" max="8961" width="5.6640625" style="107" customWidth="1"/>
    <col min="8962" max="8962" width="26.5546875" style="107" customWidth="1"/>
    <col min="8963" max="8963" width="11.44140625" style="107" customWidth="1"/>
    <col min="8964" max="8964" width="7.44140625" style="107" customWidth="1"/>
    <col min="8965" max="8965" width="8.5546875" style="107" customWidth="1"/>
    <col min="8966" max="8966" width="12.33203125" style="107" customWidth="1"/>
    <col min="8967" max="8967" width="11.77734375" style="107" customWidth="1"/>
    <col min="8968" max="8968" width="8.21875" style="107" customWidth="1"/>
    <col min="8969" max="8969" width="12" style="107" customWidth="1"/>
    <col min="8970" max="8970" width="8.77734375" style="107" customWidth="1"/>
    <col min="8971" max="8971" width="11.109375" style="107" customWidth="1"/>
    <col min="8972" max="8972" width="12.88671875" style="107" customWidth="1"/>
    <col min="8973" max="8973" width="12.5546875" style="107" customWidth="1"/>
    <col min="8974" max="8974" width="9.6640625" style="107" customWidth="1"/>
    <col min="8975" max="8975" width="9.88671875" style="107" customWidth="1"/>
    <col min="8976" max="8976" width="11.33203125" style="107" customWidth="1"/>
    <col min="8977" max="8977" width="11.5546875" style="107" customWidth="1"/>
    <col min="8978" max="8978" width="11.6640625" style="107" customWidth="1"/>
    <col min="8979" max="8979" width="10.33203125" style="107" customWidth="1"/>
    <col min="8980" max="8980" width="11.77734375" style="107" customWidth="1"/>
    <col min="8981" max="8981" width="12.109375" style="107" customWidth="1"/>
    <col min="8982" max="8982" width="11" style="107" customWidth="1"/>
    <col min="8983" max="8983" width="12.109375" style="107" customWidth="1"/>
    <col min="8984" max="8984" width="10.5546875" style="107" customWidth="1"/>
    <col min="8985" max="8985" width="9.88671875" style="107" customWidth="1"/>
    <col min="8986" max="8986" width="10.77734375" style="107" customWidth="1"/>
    <col min="8987" max="8987" width="9.77734375" style="107" customWidth="1"/>
    <col min="8988" max="8988" width="11.21875" style="107" customWidth="1"/>
    <col min="8989" max="8989" width="10.33203125" style="107" customWidth="1"/>
    <col min="8990" max="8990" width="11.88671875" style="107" customWidth="1"/>
    <col min="8991" max="8991" width="8.77734375" style="107"/>
    <col min="8992" max="8992" width="13.88671875" style="107" customWidth="1"/>
    <col min="8993" max="8993" width="10.88671875" style="107" customWidth="1"/>
    <col min="8994" max="8994" width="11.44140625" style="107" customWidth="1"/>
    <col min="8995" max="8995" width="11.77734375" style="107" customWidth="1"/>
    <col min="8996" max="8996" width="11.109375" style="107" customWidth="1"/>
    <col min="8997" max="8997" width="10.88671875" style="107" customWidth="1"/>
    <col min="8998" max="9001" width="8.77734375" style="107"/>
    <col min="9002" max="9002" width="11.44140625" style="107" bestFit="1" customWidth="1"/>
    <col min="9003" max="9003" width="10.21875" style="107" customWidth="1"/>
    <col min="9004" max="9004" width="11.5546875" style="107" customWidth="1"/>
    <col min="9005" max="9005" width="12.109375" style="107" customWidth="1"/>
    <col min="9006" max="9006" width="13.21875" style="107" customWidth="1"/>
    <col min="9007" max="9007" width="14.109375" style="107" customWidth="1"/>
    <col min="9008" max="9008" width="11.77734375" style="107" customWidth="1"/>
    <col min="9009" max="9009" width="9.6640625" style="107" customWidth="1"/>
    <col min="9010" max="9013" width="8.77734375" style="107"/>
    <col min="9014" max="9014" width="28.77734375" style="107" customWidth="1"/>
    <col min="9015" max="9015" width="11.77734375" style="107" customWidth="1"/>
    <col min="9016" max="9016" width="10" style="107" customWidth="1"/>
    <col min="9017" max="9017" width="10.44140625" style="107" customWidth="1"/>
    <col min="9018" max="9019" width="8.77734375" style="107"/>
    <col min="9020" max="9020" width="9.33203125" style="107" customWidth="1"/>
    <col min="9021" max="9021" width="18.44140625" style="107" customWidth="1"/>
    <col min="9022" max="9022" width="11" style="107" customWidth="1"/>
    <col min="9023" max="9023" width="9.5546875" style="107" customWidth="1"/>
    <col min="9024" max="9024" width="10.6640625" style="107" customWidth="1"/>
    <col min="9025" max="9025" width="9.88671875" style="107" customWidth="1"/>
    <col min="9026" max="9026" width="11.44140625" style="107" customWidth="1"/>
    <col min="9027" max="9027" width="9.88671875" style="107" customWidth="1"/>
    <col min="9028" max="9028" width="10" style="107" customWidth="1"/>
    <col min="9029" max="9029" width="6.77734375" style="107" customWidth="1"/>
    <col min="9030" max="9030" width="12.5546875" style="107" customWidth="1"/>
    <col min="9031" max="9031" width="9.5546875" style="107" customWidth="1"/>
    <col min="9032" max="9032" width="10.33203125" style="107" customWidth="1"/>
    <col min="9033" max="9033" width="7.77734375" style="107" customWidth="1"/>
    <col min="9034" max="9034" width="7.21875" style="107" customWidth="1"/>
    <col min="9035" max="9035" width="17.6640625" style="107" customWidth="1"/>
    <col min="9036" max="9036" width="8.77734375" style="107" customWidth="1"/>
    <col min="9037" max="9037" width="13.109375" style="107" bestFit="1" customWidth="1"/>
    <col min="9038" max="9038" width="13.77734375" style="107" customWidth="1"/>
    <col min="9039" max="9040" width="8.77734375" style="107"/>
    <col min="9041" max="9041" width="9" style="107" bestFit="1" customWidth="1"/>
    <col min="9042" max="9050" width="8.77734375" style="107"/>
    <col min="9051" max="9051" width="13.109375" style="107" customWidth="1"/>
    <col min="9052" max="9052" width="8.77734375" style="107"/>
    <col min="9053" max="9053" width="9.88671875" style="107" customWidth="1"/>
    <col min="9054" max="9057" width="8.77734375" style="107"/>
    <col min="9058" max="9058" width="8.5546875" style="107" customWidth="1"/>
    <col min="9059" max="9059" width="30.33203125" style="107" customWidth="1"/>
    <col min="9060" max="9060" width="9" style="107" bestFit="1" customWidth="1"/>
    <col min="9061" max="9061" width="8.77734375" style="107"/>
    <col min="9062" max="9062" width="5.88671875" style="107" customWidth="1"/>
    <col min="9063" max="9063" width="6.88671875" style="107" customWidth="1"/>
    <col min="9064" max="9064" width="23.88671875" style="107" customWidth="1"/>
    <col min="9065" max="9071" width="8.77734375" style="107"/>
    <col min="9072" max="9072" width="9" style="107" bestFit="1" customWidth="1"/>
    <col min="9073" max="9074" width="8.77734375" style="107"/>
    <col min="9075" max="9075" width="32.88671875" style="107" customWidth="1"/>
    <col min="9076" max="9076" width="16.6640625" style="107" customWidth="1"/>
    <col min="9077" max="9077" width="10.21875" style="107" customWidth="1"/>
    <col min="9078" max="9078" width="12.44140625" style="107" customWidth="1"/>
    <col min="9079" max="9079" width="10" style="107" bestFit="1" customWidth="1"/>
    <col min="9080" max="9080" width="8.77734375" style="107"/>
    <col min="9081" max="9081" width="9" style="107" bestFit="1" customWidth="1"/>
    <col min="9082" max="9083" width="8.77734375" style="107"/>
    <col min="9084" max="9084" width="11.6640625" style="107" customWidth="1"/>
    <col min="9085" max="9085" width="8.77734375" style="107"/>
    <col min="9086" max="9086" width="28.77734375" style="107" customWidth="1"/>
    <col min="9087" max="9087" width="12.33203125" style="107" customWidth="1"/>
    <col min="9088" max="9088" width="11.21875" style="107" customWidth="1"/>
    <col min="9089" max="9216" width="8.77734375" style="107"/>
    <col min="9217" max="9217" width="5.6640625" style="107" customWidth="1"/>
    <col min="9218" max="9218" width="26.5546875" style="107" customWidth="1"/>
    <col min="9219" max="9219" width="11.44140625" style="107" customWidth="1"/>
    <col min="9220" max="9220" width="7.44140625" style="107" customWidth="1"/>
    <col min="9221" max="9221" width="8.5546875" style="107" customWidth="1"/>
    <col min="9222" max="9222" width="12.33203125" style="107" customWidth="1"/>
    <col min="9223" max="9223" width="11.77734375" style="107" customWidth="1"/>
    <col min="9224" max="9224" width="8.21875" style="107" customWidth="1"/>
    <col min="9225" max="9225" width="12" style="107" customWidth="1"/>
    <col min="9226" max="9226" width="8.77734375" style="107" customWidth="1"/>
    <col min="9227" max="9227" width="11.109375" style="107" customWidth="1"/>
    <col min="9228" max="9228" width="12.88671875" style="107" customWidth="1"/>
    <col min="9229" max="9229" width="12.5546875" style="107" customWidth="1"/>
    <col min="9230" max="9230" width="9.6640625" style="107" customWidth="1"/>
    <col min="9231" max="9231" width="9.88671875" style="107" customWidth="1"/>
    <col min="9232" max="9232" width="11.33203125" style="107" customWidth="1"/>
    <col min="9233" max="9233" width="11.5546875" style="107" customWidth="1"/>
    <col min="9234" max="9234" width="11.6640625" style="107" customWidth="1"/>
    <col min="9235" max="9235" width="10.33203125" style="107" customWidth="1"/>
    <col min="9236" max="9236" width="11.77734375" style="107" customWidth="1"/>
    <col min="9237" max="9237" width="12.109375" style="107" customWidth="1"/>
    <col min="9238" max="9238" width="11" style="107" customWidth="1"/>
    <col min="9239" max="9239" width="12.109375" style="107" customWidth="1"/>
    <col min="9240" max="9240" width="10.5546875" style="107" customWidth="1"/>
    <col min="9241" max="9241" width="9.88671875" style="107" customWidth="1"/>
    <col min="9242" max="9242" width="10.77734375" style="107" customWidth="1"/>
    <col min="9243" max="9243" width="9.77734375" style="107" customWidth="1"/>
    <col min="9244" max="9244" width="11.21875" style="107" customWidth="1"/>
    <col min="9245" max="9245" width="10.33203125" style="107" customWidth="1"/>
    <col min="9246" max="9246" width="11.88671875" style="107" customWidth="1"/>
    <col min="9247" max="9247" width="8.77734375" style="107"/>
    <col min="9248" max="9248" width="13.88671875" style="107" customWidth="1"/>
    <col min="9249" max="9249" width="10.88671875" style="107" customWidth="1"/>
    <col min="9250" max="9250" width="11.44140625" style="107" customWidth="1"/>
    <col min="9251" max="9251" width="11.77734375" style="107" customWidth="1"/>
    <col min="9252" max="9252" width="11.109375" style="107" customWidth="1"/>
    <col min="9253" max="9253" width="10.88671875" style="107" customWidth="1"/>
    <col min="9254" max="9257" width="8.77734375" style="107"/>
    <col min="9258" max="9258" width="11.44140625" style="107" bestFit="1" customWidth="1"/>
    <col min="9259" max="9259" width="10.21875" style="107" customWidth="1"/>
    <col min="9260" max="9260" width="11.5546875" style="107" customWidth="1"/>
    <col min="9261" max="9261" width="12.109375" style="107" customWidth="1"/>
    <col min="9262" max="9262" width="13.21875" style="107" customWidth="1"/>
    <col min="9263" max="9263" width="14.109375" style="107" customWidth="1"/>
    <col min="9264" max="9264" width="11.77734375" style="107" customWidth="1"/>
    <col min="9265" max="9265" width="9.6640625" style="107" customWidth="1"/>
    <col min="9266" max="9269" width="8.77734375" style="107"/>
    <col min="9270" max="9270" width="28.77734375" style="107" customWidth="1"/>
    <col min="9271" max="9271" width="11.77734375" style="107" customWidth="1"/>
    <col min="9272" max="9272" width="10" style="107" customWidth="1"/>
    <col min="9273" max="9273" width="10.44140625" style="107" customWidth="1"/>
    <col min="9274" max="9275" width="8.77734375" style="107"/>
    <col min="9276" max="9276" width="9.33203125" style="107" customWidth="1"/>
    <col min="9277" max="9277" width="18.44140625" style="107" customWidth="1"/>
    <col min="9278" max="9278" width="11" style="107" customWidth="1"/>
    <col min="9279" max="9279" width="9.5546875" style="107" customWidth="1"/>
    <col min="9280" max="9280" width="10.6640625" style="107" customWidth="1"/>
    <col min="9281" max="9281" width="9.88671875" style="107" customWidth="1"/>
    <col min="9282" max="9282" width="11.44140625" style="107" customWidth="1"/>
    <col min="9283" max="9283" width="9.88671875" style="107" customWidth="1"/>
    <col min="9284" max="9284" width="10" style="107" customWidth="1"/>
    <col min="9285" max="9285" width="6.77734375" style="107" customWidth="1"/>
    <col min="9286" max="9286" width="12.5546875" style="107" customWidth="1"/>
    <col min="9287" max="9287" width="9.5546875" style="107" customWidth="1"/>
    <col min="9288" max="9288" width="10.33203125" style="107" customWidth="1"/>
    <col min="9289" max="9289" width="7.77734375" style="107" customWidth="1"/>
    <col min="9290" max="9290" width="7.21875" style="107" customWidth="1"/>
    <col min="9291" max="9291" width="17.6640625" style="107" customWidth="1"/>
    <col min="9292" max="9292" width="8.77734375" style="107" customWidth="1"/>
    <col min="9293" max="9293" width="13.109375" style="107" bestFit="1" customWidth="1"/>
    <col min="9294" max="9294" width="13.77734375" style="107" customWidth="1"/>
    <col min="9295" max="9296" width="8.77734375" style="107"/>
    <col min="9297" max="9297" width="9" style="107" bestFit="1" customWidth="1"/>
    <col min="9298" max="9306" width="8.77734375" style="107"/>
    <col min="9307" max="9307" width="13.109375" style="107" customWidth="1"/>
    <col min="9308" max="9308" width="8.77734375" style="107"/>
    <col min="9309" max="9309" width="9.88671875" style="107" customWidth="1"/>
    <col min="9310" max="9313" width="8.77734375" style="107"/>
    <col min="9314" max="9314" width="8.5546875" style="107" customWidth="1"/>
    <col min="9315" max="9315" width="30.33203125" style="107" customWidth="1"/>
    <col min="9316" max="9316" width="9" style="107" bestFit="1" customWidth="1"/>
    <col min="9317" max="9317" width="8.77734375" style="107"/>
    <col min="9318" max="9318" width="5.88671875" style="107" customWidth="1"/>
    <col min="9319" max="9319" width="6.88671875" style="107" customWidth="1"/>
    <col min="9320" max="9320" width="23.88671875" style="107" customWidth="1"/>
    <col min="9321" max="9327" width="8.77734375" style="107"/>
    <col min="9328" max="9328" width="9" style="107" bestFit="1" customWidth="1"/>
    <col min="9329" max="9330" width="8.77734375" style="107"/>
    <col min="9331" max="9331" width="32.88671875" style="107" customWidth="1"/>
    <col min="9332" max="9332" width="16.6640625" style="107" customWidth="1"/>
    <col min="9333" max="9333" width="10.21875" style="107" customWidth="1"/>
    <col min="9334" max="9334" width="12.44140625" style="107" customWidth="1"/>
    <col min="9335" max="9335" width="10" style="107" bestFit="1" customWidth="1"/>
    <col min="9336" max="9336" width="8.77734375" style="107"/>
    <col min="9337" max="9337" width="9" style="107" bestFit="1" customWidth="1"/>
    <col min="9338" max="9339" width="8.77734375" style="107"/>
    <col min="9340" max="9340" width="11.6640625" style="107" customWidth="1"/>
    <col min="9341" max="9341" width="8.77734375" style="107"/>
    <col min="9342" max="9342" width="28.77734375" style="107" customWidth="1"/>
    <col min="9343" max="9343" width="12.33203125" style="107" customWidth="1"/>
    <col min="9344" max="9344" width="11.21875" style="107" customWidth="1"/>
    <col min="9345" max="9472" width="8.77734375" style="107"/>
    <col min="9473" max="9473" width="5.6640625" style="107" customWidth="1"/>
    <col min="9474" max="9474" width="26.5546875" style="107" customWidth="1"/>
    <col min="9475" max="9475" width="11.44140625" style="107" customWidth="1"/>
    <col min="9476" max="9476" width="7.44140625" style="107" customWidth="1"/>
    <col min="9477" max="9477" width="8.5546875" style="107" customWidth="1"/>
    <col min="9478" max="9478" width="12.33203125" style="107" customWidth="1"/>
    <col min="9479" max="9479" width="11.77734375" style="107" customWidth="1"/>
    <col min="9480" max="9480" width="8.21875" style="107" customWidth="1"/>
    <col min="9481" max="9481" width="12" style="107" customWidth="1"/>
    <col min="9482" max="9482" width="8.77734375" style="107" customWidth="1"/>
    <col min="9483" max="9483" width="11.109375" style="107" customWidth="1"/>
    <col min="9484" max="9484" width="12.88671875" style="107" customWidth="1"/>
    <col min="9485" max="9485" width="12.5546875" style="107" customWidth="1"/>
    <col min="9486" max="9486" width="9.6640625" style="107" customWidth="1"/>
    <col min="9487" max="9487" width="9.88671875" style="107" customWidth="1"/>
    <col min="9488" max="9488" width="11.33203125" style="107" customWidth="1"/>
    <col min="9489" max="9489" width="11.5546875" style="107" customWidth="1"/>
    <col min="9490" max="9490" width="11.6640625" style="107" customWidth="1"/>
    <col min="9491" max="9491" width="10.33203125" style="107" customWidth="1"/>
    <col min="9492" max="9492" width="11.77734375" style="107" customWidth="1"/>
    <col min="9493" max="9493" width="12.109375" style="107" customWidth="1"/>
    <col min="9494" max="9494" width="11" style="107" customWidth="1"/>
    <col min="9495" max="9495" width="12.109375" style="107" customWidth="1"/>
    <col min="9496" max="9496" width="10.5546875" style="107" customWidth="1"/>
    <col min="9497" max="9497" width="9.88671875" style="107" customWidth="1"/>
    <col min="9498" max="9498" width="10.77734375" style="107" customWidth="1"/>
    <col min="9499" max="9499" width="9.77734375" style="107" customWidth="1"/>
    <col min="9500" max="9500" width="11.21875" style="107" customWidth="1"/>
    <col min="9501" max="9501" width="10.33203125" style="107" customWidth="1"/>
    <col min="9502" max="9502" width="11.88671875" style="107" customWidth="1"/>
    <col min="9503" max="9503" width="8.77734375" style="107"/>
    <col min="9504" max="9504" width="13.88671875" style="107" customWidth="1"/>
    <col min="9505" max="9505" width="10.88671875" style="107" customWidth="1"/>
    <col min="9506" max="9506" width="11.44140625" style="107" customWidth="1"/>
    <col min="9507" max="9507" width="11.77734375" style="107" customWidth="1"/>
    <col min="9508" max="9508" width="11.109375" style="107" customWidth="1"/>
    <col min="9509" max="9509" width="10.88671875" style="107" customWidth="1"/>
    <col min="9510" max="9513" width="8.77734375" style="107"/>
    <col min="9514" max="9514" width="11.44140625" style="107" bestFit="1" customWidth="1"/>
    <col min="9515" max="9515" width="10.21875" style="107" customWidth="1"/>
    <col min="9516" max="9516" width="11.5546875" style="107" customWidth="1"/>
    <col min="9517" max="9517" width="12.109375" style="107" customWidth="1"/>
    <col min="9518" max="9518" width="13.21875" style="107" customWidth="1"/>
    <col min="9519" max="9519" width="14.109375" style="107" customWidth="1"/>
    <col min="9520" max="9520" width="11.77734375" style="107" customWidth="1"/>
    <col min="9521" max="9521" width="9.6640625" style="107" customWidth="1"/>
    <col min="9522" max="9525" width="8.77734375" style="107"/>
    <col min="9526" max="9526" width="28.77734375" style="107" customWidth="1"/>
    <col min="9527" max="9527" width="11.77734375" style="107" customWidth="1"/>
    <col min="9528" max="9528" width="10" style="107" customWidth="1"/>
    <col min="9529" max="9529" width="10.44140625" style="107" customWidth="1"/>
    <col min="9530" max="9531" width="8.77734375" style="107"/>
    <col min="9532" max="9532" width="9.33203125" style="107" customWidth="1"/>
    <col min="9533" max="9533" width="18.44140625" style="107" customWidth="1"/>
    <col min="9534" max="9534" width="11" style="107" customWidth="1"/>
    <col min="9535" max="9535" width="9.5546875" style="107" customWidth="1"/>
    <col min="9536" max="9536" width="10.6640625" style="107" customWidth="1"/>
    <col min="9537" max="9537" width="9.88671875" style="107" customWidth="1"/>
    <col min="9538" max="9538" width="11.44140625" style="107" customWidth="1"/>
    <col min="9539" max="9539" width="9.88671875" style="107" customWidth="1"/>
    <col min="9540" max="9540" width="10" style="107" customWidth="1"/>
    <col min="9541" max="9541" width="6.77734375" style="107" customWidth="1"/>
    <col min="9542" max="9542" width="12.5546875" style="107" customWidth="1"/>
    <col min="9543" max="9543" width="9.5546875" style="107" customWidth="1"/>
    <col min="9544" max="9544" width="10.33203125" style="107" customWidth="1"/>
    <col min="9545" max="9545" width="7.77734375" style="107" customWidth="1"/>
    <col min="9546" max="9546" width="7.21875" style="107" customWidth="1"/>
    <col min="9547" max="9547" width="17.6640625" style="107" customWidth="1"/>
    <col min="9548" max="9548" width="8.77734375" style="107" customWidth="1"/>
    <col min="9549" max="9549" width="13.109375" style="107" bestFit="1" customWidth="1"/>
    <col min="9550" max="9550" width="13.77734375" style="107" customWidth="1"/>
    <col min="9551" max="9552" width="8.77734375" style="107"/>
    <col min="9553" max="9553" width="9" style="107" bestFit="1" customWidth="1"/>
    <col min="9554" max="9562" width="8.77734375" style="107"/>
    <col min="9563" max="9563" width="13.109375" style="107" customWidth="1"/>
    <col min="9564" max="9564" width="8.77734375" style="107"/>
    <col min="9565" max="9565" width="9.88671875" style="107" customWidth="1"/>
    <col min="9566" max="9569" width="8.77734375" style="107"/>
    <col min="9570" max="9570" width="8.5546875" style="107" customWidth="1"/>
    <col min="9571" max="9571" width="30.33203125" style="107" customWidth="1"/>
    <col min="9572" max="9572" width="9" style="107" bestFit="1" customWidth="1"/>
    <col min="9573" max="9573" width="8.77734375" style="107"/>
    <col min="9574" max="9574" width="5.88671875" style="107" customWidth="1"/>
    <col min="9575" max="9575" width="6.88671875" style="107" customWidth="1"/>
    <col min="9576" max="9576" width="23.88671875" style="107" customWidth="1"/>
    <col min="9577" max="9583" width="8.77734375" style="107"/>
    <col min="9584" max="9584" width="9" style="107" bestFit="1" customWidth="1"/>
    <col min="9585" max="9586" width="8.77734375" style="107"/>
    <col min="9587" max="9587" width="32.88671875" style="107" customWidth="1"/>
    <col min="9588" max="9588" width="16.6640625" style="107" customWidth="1"/>
    <col min="9589" max="9589" width="10.21875" style="107" customWidth="1"/>
    <col min="9590" max="9590" width="12.44140625" style="107" customWidth="1"/>
    <col min="9591" max="9591" width="10" style="107" bestFit="1" customWidth="1"/>
    <col min="9592" max="9592" width="8.77734375" style="107"/>
    <col min="9593" max="9593" width="9" style="107" bestFit="1" customWidth="1"/>
    <col min="9594" max="9595" width="8.77734375" style="107"/>
    <col min="9596" max="9596" width="11.6640625" style="107" customWidth="1"/>
    <col min="9597" max="9597" width="8.77734375" style="107"/>
    <col min="9598" max="9598" width="28.77734375" style="107" customWidth="1"/>
    <col min="9599" max="9599" width="12.33203125" style="107" customWidth="1"/>
    <col min="9600" max="9600" width="11.21875" style="107" customWidth="1"/>
    <col min="9601" max="9728" width="8.77734375" style="107"/>
    <col min="9729" max="9729" width="5.6640625" style="107" customWidth="1"/>
    <col min="9730" max="9730" width="26.5546875" style="107" customWidth="1"/>
    <col min="9731" max="9731" width="11.44140625" style="107" customWidth="1"/>
    <col min="9732" max="9732" width="7.44140625" style="107" customWidth="1"/>
    <col min="9733" max="9733" width="8.5546875" style="107" customWidth="1"/>
    <col min="9734" max="9734" width="12.33203125" style="107" customWidth="1"/>
    <col min="9735" max="9735" width="11.77734375" style="107" customWidth="1"/>
    <col min="9736" max="9736" width="8.21875" style="107" customWidth="1"/>
    <col min="9737" max="9737" width="12" style="107" customWidth="1"/>
    <col min="9738" max="9738" width="8.77734375" style="107" customWidth="1"/>
    <col min="9739" max="9739" width="11.109375" style="107" customWidth="1"/>
    <col min="9740" max="9740" width="12.88671875" style="107" customWidth="1"/>
    <col min="9741" max="9741" width="12.5546875" style="107" customWidth="1"/>
    <col min="9742" max="9742" width="9.6640625" style="107" customWidth="1"/>
    <col min="9743" max="9743" width="9.88671875" style="107" customWidth="1"/>
    <col min="9744" max="9744" width="11.33203125" style="107" customWidth="1"/>
    <col min="9745" max="9745" width="11.5546875" style="107" customWidth="1"/>
    <col min="9746" max="9746" width="11.6640625" style="107" customWidth="1"/>
    <col min="9747" max="9747" width="10.33203125" style="107" customWidth="1"/>
    <col min="9748" max="9748" width="11.77734375" style="107" customWidth="1"/>
    <col min="9749" max="9749" width="12.109375" style="107" customWidth="1"/>
    <col min="9750" max="9750" width="11" style="107" customWidth="1"/>
    <col min="9751" max="9751" width="12.109375" style="107" customWidth="1"/>
    <col min="9752" max="9752" width="10.5546875" style="107" customWidth="1"/>
    <col min="9753" max="9753" width="9.88671875" style="107" customWidth="1"/>
    <col min="9754" max="9754" width="10.77734375" style="107" customWidth="1"/>
    <col min="9755" max="9755" width="9.77734375" style="107" customWidth="1"/>
    <col min="9756" max="9756" width="11.21875" style="107" customWidth="1"/>
    <col min="9757" max="9757" width="10.33203125" style="107" customWidth="1"/>
    <col min="9758" max="9758" width="11.88671875" style="107" customWidth="1"/>
    <col min="9759" max="9759" width="8.77734375" style="107"/>
    <col min="9760" max="9760" width="13.88671875" style="107" customWidth="1"/>
    <col min="9761" max="9761" width="10.88671875" style="107" customWidth="1"/>
    <col min="9762" max="9762" width="11.44140625" style="107" customWidth="1"/>
    <col min="9763" max="9763" width="11.77734375" style="107" customWidth="1"/>
    <col min="9764" max="9764" width="11.109375" style="107" customWidth="1"/>
    <col min="9765" max="9765" width="10.88671875" style="107" customWidth="1"/>
    <col min="9766" max="9769" width="8.77734375" style="107"/>
    <col min="9770" max="9770" width="11.44140625" style="107" bestFit="1" customWidth="1"/>
    <col min="9771" max="9771" width="10.21875" style="107" customWidth="1"/>
    <col min="9772" max="9772" width="11.5546875" style="107" customWidth="1"/>
    <col min="9773" max="9773" width="12.109375" style="107" customWidth="1"/>
    <col min="9774" max="9774" width="13.21875" style="107" customWidth="1"/>
    <col min="9775" max="9775" width="14.109375" style="107" customWidth="1"/>
    <col min="9776" max="9776" width="11.77734375" style="107" customWidth="1"/>
    <col min="9777" max="9777" width="9.6640625" style="107" customWidth="1"/>
    <col min="9778" max="9781" width="8.77734375" style="107"/>
    <col min="9782" max="9782" width="28.77734375" style="107" customWidth="1"/>
    <col min="9783" max="9783" width="11.77734375" style="107" customWidth="1"/>
    <col min="9784" max="9784" width="10" style="107" customWidth="1"/>
    <col min="9785" max="9785" width="10.44140625" style="107" customWidth="1"/>
    <col min="9786" max="9787" width="8.77734375" style="107"/>
    <col min="9788" max="9788" width="9.33203125" style="107" customWidth="1"/>
    <col min="9789" max="9789" width="18.44140625" style="107" customWidth="1"/>
    <col min="9790" max="9790" width="11" style="107" customWidth="1"/>
    <col min="9791" max="9791" width="9.5546875" style="107" customWidth="1"/>
    <col min="9792" max="9792" width="10.6640625" style="107" customWidth="1"/>
    <col min="9793" max="9793" width="9.88671875" style="107" customWidth="1"/>
    <col min="9794" max="9794" width="11.44140625" style="107" customWidth="1"/>
    <col min="9795" max="9795" width="9.88671875" style="107" customWidth="1"/>
    <col min="9796" max="9796" width="10" style="107" customWidth="1"/>
    <col min="9797" max="9797" width="6.77734375" style="107" customWidth="1"/>
    <col min="9798" max="9798" width="12.5546875" style="107" customWidth="1"/>
    <col min="9799" max="9799" width="9.5546875" style="107" customWidth="1"/>
    <col min="9800" max="9800" width="10.33203125" style="107" customWidth="1"/>
    <col min="9801" max="9801" width="7.77734375" style="107" customWidth="1"/>
    <col min="9802" max="9802" width="7.21875" style="107" customWidth="1"/>
    <col min="9803" max="9803" width="17.6640625" style="107" customWidth="1"/>
    <col min="9804" max="9804" width="8.77734375" style="107" customWidth="1"/>
    <col min="9805" max="9805" width="13.109375" style="107" bestFit="1" customWidth="1"/>
    <col min="9806" max="9806" width="13.77734375" style="107" customWidth="1"/>
    <col min="9807" max="9808" width="8.77734375" style="107"/>
    <col min="9809" max="9809" width="9" style="107" bestFit="1" customWidth="1"/>
    <col min="9810" max="9818" width="8.77734375" style="107"/>
    <col min="9819" max="9819" width="13.109375" style="107" customWidth="1"/>
    <col min="9820" max="9820" width="8.77734375" style="107"/>
    <col min="9821" max="9821" width="9.88671875" style="107" customWidth="1"/>
    <col min="9822" max="9825" width="8.77734375" style="107"/>
    <col min="9826" max="9826" width="8.5546875" style="107" customWidth="1"/>
    <col min="9827" max="9827" width="30.33203125" style="107" customWidth="1"/>
    <col min="9828" max="9828" width="9" style="107" bestFit="1" customWidth="1"/>
    <col min="9829" max="9829" width="8.77734375" style="107"/>
    <col min="9830" max="9830" width="5.88671875" style="107" customWidth="1"/>
    <col min="9831" max="9831" width="6.88671875" style="107" customWidth="1"/>
    <col min="9832" max="9832" width="23.88671875" style="107" customWidth="1"/>
    <col min="9833" max="9839" width="8.77734375" style="107"/>
    <col min="9840" max="9840" width="9" style="107" bestFit="1" customWidth="1"/>
    <col min="9841" max="9842" width="8.77734375" style="107"/>
    <col min="9843" max="9843" width="32.88671875" style="107" customWidth="1"/>
    <col min="9844" max="9844" width="16.6640625" style="107" customWidth="1"/>
    <col min="9845" max="9845" width="10.21875" style="107" customWidth="1"/>
    <col min="9846" max="9846" width="12.44140625" style="107" customWidth="1"/>
    <col min="9847" max="9847" width="10" style="107" bestFit="1" customWidth="1"/>
    <col min="9848" max="9848" width="8.77734375" style="107"/>
    <col min="9849" max="9849" width="9" style="107" bestFit="1" customWidth="1"/>
    <col min="9850" max="9851" width="8.77734375" style="107"/>
    <col min="9852" max="9852" width="11.6640625" style="107" customWidth="1"/>
    <col min="9853" max="9853" width="8.77734375" style="107"/>
    <col min="9854" max="9854" width="28.77734375" style="107" customWidth="1"/>
    <col min="9855" max="9855" width="12.33203125" style="107" customWidth="1"/>
    <col min="9856" max="9856" width="11.21875" style="107" customWidth="1"/>
    <col min="9857" max="9984" width="8.77734375" style="107"/>
    <col min="9985" max="9985" width="5.6640625" style="107" customWidth="1"/>
    <col min="9986" max="9986" width="26.5546875" style="107" customWidth="1"/>
    <col min="9987" max="9987" width="11.44140625" style="107" customWidth="1"/>
    <col min="9988" max="9988" width="7.44140625" style="107" customWidth="1"/>
    <col min="9989" max="9989" width="8.5546875" style="107" customWidth="1"/>
    <col min="9990" max="9990" width="12.33203125" style="107" customWidth="1"/>
    <col min="9991" max="9991" width="11.77734375" style="107" customWidth="1"/>
    <col min="9992" max="9992" width="8.21875" style="107" customWidth="1"/>
    <col min="9993" max="9993" width="12" style="107" customWidth="1"/>
    <col min="9994" max="9994" width="8.77734375" style="107" customWidth="1"/>
    <col min="9995" max="9995" width="11.109375" style="107" customWidth="1"/>
    <col min="9996" max="9996" width="12.88671875" style="107" customWidth="1"/>
    <col min="9997" max="9997" width="12.5546875" style="107" customWidth="1"/>
    <col min="9998" max="9998" width="9.6640625" style="107" customWidth="1"/>
    <col min="9999" max="9999" width="9.88671875" style="107" customWidth="1"/>
    <col min="10000" max="10000" width="11.33203125" style="107" customWidth="1"/>
    <col min="10001" max="10001" width="11.5546875" style="107" customWidth="1"/>
    <col min="10002" max="10002" width="11.6640625" style="107" customWidth="1"/>
    <col min="10003" max="10003" width="10.33203125" style="107" customWidth="1"/>
    <col min="10004" max="10004" width="11.77734375" style="107" customWidth="1"/>
    <col min="10005" max="10005" width="12.109375" style="107" customWidth="1"/>
    <col min="10006" max="10006" width="11" style="107" customWidth="1"/>
    <col min="10007" max="10007" width="12.109375" style="107" customWidth="1"/>
    <col min="10008" max="10008" width="10.5546875" style="107" customWidth="1"/>
    <col min="10009" max="10009" width="9.88671875" style="107" customWidth="1"/>
    <col min="10010" max="10010" width="10.77734375" style="107" customWidth="1"/>
    <col min="10011" max="10011" width="9.77734375" style="107" customWidth="1"/>
    <col min="10012" max="10012" width="11.21875" style="107" customWidth="1"/>
    <col min="10013" max="10013" width="10.33203125" style="107" customWidth="1"/>
    <col min="10014" max="10014" width="11.88671875" style="107" customWidth="1"/>
    <col min="10015" max="10015" width="8.77734375" style="107"/>
    <col min="10016" max="10016" width="13.88671875" style="107" customWidth="1"/>
    <col min="10017" max="10017" width="10.88671875" style="107" customWidth="1"/>
    <col min="10018" max="10018" width="11.44140625" style="107" customWidth="1"/>
    <col min="10019" max="10019" width="11.77734375" style="107" customWidth="1"/>
    <col min="10020" max="10020" width="11.109375" style="107" customWidth="1"/>
    <col min="10021" max="10021" width="10.88671875" style="107" customWidth="1"/>
    <col min="10022" max="10025" width="8.77734375" style="107"/>
    <col min="10026" max="10026" width="11.44140625" style="107" bestFit="1" customWidth="1"/>
    <col min="10027" max="10027" width="10.21875" style="107" customWidth="1"/>
    <col min="10028" max="10028" width="11.5546875" style="107" customWidth="1"/>
    <col min="10029" max="10029" width="12.109375" style="107" customWidth="1"/>
    <col min="10030" max="10030" width="13.21875" style="107" customWidth="1"/>
    <col min="10031" max="10031" width="14.109375" style="107" customWidth="1"/>
    <col min="10032" max="10032" width="11.77734375" style="107" customWidth="1"/>
    <col min="10033" max="10033" width="9.6640625" style="107" customWidth="1"/>
    <col min="10034" max="10037" width="8.77734375" style="107"/>
    <col min="10038" max="10038" width="28.77734375" style="107" customWidth="1"/>
    <col min="10039" max="10039" width="11.77734375" style="107" customWidth="1"/>
    <col min="10040" max="10040" width="10" style="107" customWidth="1"/>
    <col min="10041" max="10041" width="10.44140625" style="107" customWidth="1"/>
    <col min="10042" max="10043" width="8.77734375" style="107"/>
    <col min="10044" max="10044" width="9.33203125" style="107" customWidth="1"/>
    <col min="10045" max="10045" width="18.44140625" style="107" customWidth="1"/>
    <col min="10046" max="10046" width="11" style="107" customWidth="1"/>
    <col min="10047" max="10047" width="9.5546875" style="107" customWidth="1"/>
    <col min="10048" max="10048" width="10.6640625" style="107" customWidth="1"/>
    <col min="10049" max="10049" width="9.88671875" style="107" customWidth="1"/>
    <col min="10050" max="10050" width="11.44140625" style="107" customWidth="1"/>
    <col min="10051" max="10051" width="9.88671875" style="107" customWidth="1"/>
    <col min="10052" max="10052" width="10" style="107" customWidth="1"/>
    <col min="10053" max="10053" width="6.77734375" style="107" customWidth="1"/>
    <col min="10054" max="10054" width="12.5546875" style="107" customWidth="1"/>
    <col min="10055" max="10055" width="9.5546875" style="107" customWidth="1"/>
    <col min="10056" max="10056" width="10.33203125" style="107" customWidth="1"/>
    <col min="10057" max="10057" width="7.77734375" style="107" customWidth="1"/>
    <col min="10058" max="10058" width="7.21875" style="107" customWidth="1"/>
    <col min="10059" max="10059" width="17.6640625" style="107" customWidth="1"/>
    <col min="10060" max="10060" width="8.77734375" style="107" customWidth="1"/>
    <col min="10061" max="10061" width="13.109375" style="107" bestFit="1" customWidth="1"/>
    <col min="10062" max="10062" width="13.77734375" style="107" customWidth="1"/>
    <col min="10063" max="10064" width="8.77734375" style="107"/>
    <col min="10065" max="10065" width="9" style="107" bestFit="1" customWidth="1"/>
    <col min="10066" max="10074" width="8.77734375" style="107"/>
    <col min="10075" max="10075" width="13.109375" style="107" customWidth="1"/>
    <col min="10076" max="10076" width="8.77734375" style="107"/>
    <col min="10077" max="10077" width="9.88671875" style="107" customWidth="1"/>
    <col min="10078" max="10081" width="8.77734375" style="107"/>
    <col min="10082" max="10082" width="8.5546875" style="107" customWidth="1"/>
    <col min="10083" max="10083" width="30.33203125" style="107" customWidth="1"/>
    <col min="10084" max="10084" width="9" style="107" bestFit="1" customWidth="1"/>
    <col min="10085" max="10085" width="8.77734375" style="107"/>
    <col min="10086" max="10086" width="5.88671875" style="107" customWidth="1"/>
    <col min="10087" max="10087" width="6.88671875" style="107" customWidth="1"/>
    <col min="10088" max="10088" width="23.88671875" style="107" customWidth="1"/>
    <col min="10089" max="10095" width="8.77734375" style="107"/>
    <col min="10096" max="10096" width="9" style="107" bestFit="1" customWidth="1"/>
    <col min="10097" max="10098" width="8.77734375" style="107"/>
    <col min="10099" max="10099" width="32.88671875" style="107" customWidth="1"/>
    <col min="10100" max="10100" width="16.6640625" style="107" customWidth="1"/>
    <col min="10101" max="10101" width="10.21875" style="107" customWidth="1"/>
    <col min="10102" max="10102" width="12.44140625" style="107" customWidth="1"/>
    <col min="10103" max="10103" width="10" style="107" bestFit="1" customWidth="1"/>
    <col min="10104" max="10104" width="8.77734375" style="107"/>
    <col min="10105" max="10105" width="9" style="107" bestFit="1" customWidth="1"/>
    <col min="10106" max="10107" width="8.77734375" style="107"/>
    <col min="10108" max="10108" width="11.6640625" style="107" customWidth="1"/>
    <col min="10109" max="10109" width="8.77734375" style="107"/>
    <col min="10110" max="10110" width="28.77734375" style="107" customWidth="1"/>
    <col min="10111" max="10111" width="12.33203125" style="107" customWidth="1"/>
    <col min="10112" max="10112" width="11.21875" style="107" customWidth="1"/>
    <col min="10113" max="10240" width="8.77734375" style="107"/>
    <col min="10241" max="10241" width="5.6640625" style="107" customWidth="1"/>
    <col min="10242" max="10242" width="26.5546875" style="107" customWidth="1"/>
    <col min="10243" max="10243" width="11.44140625" style="107" customWidth="1"/>
    <col min="10244" max="10244" width="7.44140625" style="107" customWidth="1"/>
    <col min="10245" max="10245" width="8.5546875" style="107" customWidth="1"/>
    <col min="10246" max="10246" width="12.33203125" style="107" customWidth="1"/>
    <col min="10247" max="10247" width="11.77734375" style="107" customWidth="1"/>
    <col min="10248" max="10248" width="8.21875" style="107" customWidth="1"/>
    <col min="10249" max="10249" width="12" style="107" customWidth="1"/>
    <col min="10250" max="10250" width="8.77734375" style="107" customWidth="1"/>
    <col min="10251" max="10251" width="11.109375" style="107" customWidth="1"/>
    <col min="10252" max="10252" width="12.88671875" style="107" customWidth="1"/>
    <col min="10253" max="10253" width="12.5546875" style="107" customWidth="1"/>
    <col min="10254" max="10254" width="9.6640625" style="107" customWidth="1"/>
    <col min="10255" max="10255" width="9.88671875" style="107" customWidth="1"/>
    <col min="10256" max="10256" width="11.33203125" style="107" customWidth="1"/>
    <col min="10257" max="10257" width="11.5546875" style="107" customWidth="1"/>
    <col min="10258" max="10258" width="11.6640625" style="107" customWidth="1"/>
    <col min="10259" max="10259" width="10.33203125" style="107" customWidth="1"/>
    <col min="10260" max="10260" width="11.77734375" style="107" customWidth="1"/>
    <col min="10261" max="10261" width="12.109375" style="107" customWidth="1"/>
    <col min="10262" max="10262" width="11" style="107" customWidth="1"/>
    <col min="10263" max="10263" width="12.109375" style="107" customWidth="1"/>
    <col min="10264" max="10264" width="10.5546875" style="107" customWidth="1"/>
    <col min="10265" max="10265" width="9.88671875" style="107" customWidth="1"/>
    <col min="10266" max="10266" width="10.77734375" style="107" customWidth="1"/>
    <col min="10267" max="10267" width="9.77734375" style="107" customWidth="1"/>
    <col min="10268" max="10268" width="11.21875" style="107" customWidth="1"/>
    <col min="10269" max="10269" width="10.33203125" style="107" customWidth="1"/>
    <col min="10270" max="10270" width="11.88671875" style="107" customWidth="1"/>
    <col min="10271" max="10271" width="8.77734375" style="107"/>
    <col min="10272" max="10272" width="13.88671875" style="107" customWidth="1"/>
    <col min="10273" max="10273" width="10.88671875" style="107" customWidth="1"/>
    <col min="10274" max="10274" width="11.44140625" style="107" customWidth="1"/>
    <col min="10275" max="10275" width="11.77734375" style="107" customWidth="1"/>
    <col min="10276" max="10276" width="11.109375" style="107" customWidth="1"/>
    <col min="10277" max="10277" width="10.88671875" style="107" customWidth="1"/>
    <col min="10278" max="10281" width="8.77734375" style="107"/>
    <col min="10282" max="10282" width="11.44140625" style="107" bestFit="1" customWidth="1"/>
    <col min="10283" max="10283" width="10.21875" style="107" customWidth="1"/>
    <col min="10284" max="10284" width="11.5546875" style="107" customWidth="1"/>
    <col min="10285" max="10285" width="12.109375" style="107" customWidth="1"/>
    <col min="10286" max="10286" width="13.21875" style="107" customWidth="1"/>
    <col min="10287" max="10287" width="14.109375" style="107" customWidth="1"/>
    <col min="10288" max="10288" width="11.77734375" style="107" customWidth="1"/>
    <col min="10289" max="10289" width="9.6640625" style="107" customWidth="1"/>
    <col min="10290" max="10293" width="8.77734375" style="107"/>
    <col min="10294" max="10294" width="28.77734375" style="107" customWidth="1"/>
    <col min="10295" max="10295" width="11.77734375" style="107" customWidth="1"/>
    <col min="10296" max="10296" width="10" style="107" customWidth="1"/>
    <col min="10297" max="10297" width="10.44140625" style="107" customWidth="1"/>
    <col min="10298" max="10299" width="8.77734375" style="107"/>
    <col min="10300" max="10300" width="9.33203125" style="107" customWidth="1"/>
    <col min="10301" max="10301" width="18.44140625" style="107" customWidth="1"/>
    <col min="10302" max="10302" width="11" style="107" customWidth="1"/>
    <col min="10303" max="10303" width="9.5546875" style="107" customWidth="1"/>
    <col min="10304" max="10304" width="10.6640625" style="107" customWidth="1"/>
    <col min="10305" max="10305" width="9.88671875" style="107" customWidth="1"/>
    <col min="10306" max="10306" width="11.44140625" style="107" customWidth="1"/>
    <col min="10307" max="10307" width="9.88671875" style="107" customWidth="1"/>
    <col min="10308" max="10308" width="10" style="107" customWidth="1"/>
    <col min="10309" max="10309" width="6.77734375" style="107" customWidth="1"/>
    <col min="10310" max="10310" width="12.5546875" style="107" customWidth="1"/>
    <col min="10311" max="10311" width="9.5546875" style="107" customWidth="1"/>
    <col min="10312" max="10312" width="10.33203125" style="107" customWidth="1"/>
    <col min="10313" max="10313" width="7.77734375" style="107" customWidth="1"/>
    <col min="10314" max="10314" width="7.21875" style="107" customWidth="1"/>
    <col min="10315" max="10315" width="17.6640625" style="107" customWidth="1"/>
    <col min="10316" max="10316" width="8.77734375" style="107" customWidth="1"/>
    <col min="10317" max="10317" width="13.109375" style="107" bestFit="1" customWidth="1"/>
    <col min="10318" max="10318" width="13.77734375" style="107" customWidth="1"/>
    <col min="10319" max="10320" width="8.77734375" style="107"/>
    <col min="10321" max="10321" width="9" style="107" bestFit="1" customWidth="1"/>
    <col min="10322" max="10330" width="8.77734375" style="107"/>
    <col min="10331" max="10331" width="13.109375" style="107" customWidth="1"/>
    <col min="10332" max="10332" width="8.77734375" style="107"/>
    <col min="10333" max="10333" width="9.88671875" style="107" customWidth="1"/>
    <col min="10334" max="10337" width="8.77734375" style="107"/>
    <col min="10338" max="10338" width="8.5546875" style="107" customWidth="1"/>
    <col min="10339" max="10339" width="30.33203125" style="107" customWidth="1"/>
    <col min="10340" max="10340" width="9" style="107" bestFit="1" customWidth="1"/>
    <col min="10341" max="10341" width="8.77734375" style="107"/>
    <col min="10342" max="10342" width="5.88671875" style="107" customWidth="1"/>
    <col min="10343" max="10343" width="6.88671875" style="107" customWidth="1"/>
    <col min="10344" max="10344" width="23.88671875" style="107" customWidth="1"/>
    <col min="10345" max="10351" width="8.77734375" style="107"/>
    <col min="10352" max="10352" width="9" style="107" bestFit="1" customWidth="1"/>
    <col min="10353" max="10354" width="8.77734375" style="107"/>
    <col min="10355" max="10355" width="32.88671875" style="107" customWidth="1"/>
    <col min="10356" max="10356" width="16.6640625" style="107" customWidth="1"/>
    <col min="10357" max="10357" width="10.21875" style="107" customWidth="1"/>
    <col min="10358" max="10358" width="12.44140625" style="107" customWidth="1"/>
    <col min="10359" max="10359" width="10" style="107" bestFit="1" customWidth="1"/>
    <col min="10360" max="10360" width="8.77734375" style="107"/>
    <col min="10361" max="10361" width="9" style="107" bestFit="1" customWidth="1"/>
    <col min="10362" max="10363" width="8.77734375" style="107"/>
    <col min="10364" max="10364" width="11.6640625" style="107" customWidth="1"/>
    <col min="10365" max="10365" width="8.77734375" style="107"/>
    <col min="10366" max="10366" width="28.77734375" style="107" customWidth="1"/>
    <col min="10367" max="10367" width="12.33203125" style="107" customWidth="1"/>
    <col min="10368" max="10368" width="11.21875" style="107" customWidth="1"/>
    <col min="10369" max="10496" width="8.77734375" style="107"/>
    <col min="10497" max="10497" width="5.6640625" style="107" customWidth="1"/>
    <col min="10498" max="10498" width="26.5546875" style="107" customWidth="1"/>
    <col min="10499" max="10499" width="11.44140625" style="107" customWidth="1"/>
    <col min="10500" max="10500" width="7.44140625" style="107" customWidth="1"/>
    <col min="10501" max="10501" width="8.5546875" style="107" customWidth="1"/>
    <col min="10502" max="10502" width="12.33203125" style="107" customWidth="1"/>
    <col min="10503" max="10503" width="11.77734375" style="107" customWidth="1"/>
    <col min="10504" max="10504" width="8.21875" style="107" customWidth="1"/>
    <col min="10505" max="10505" width="12" style="107" customWidth="1"/>
    <col min="10506" max="10506" width="8.77734375" style="107" customWidth="1"/>
    <col min="10507" max="10507" width="11.109375" style="107" customWidth="1"/>
    <col min="10508" max="10508" width="12.88671875" style="107" customWidth="1"/>
    <col min="10509" max="10509" width="12.5546875" style="107" customWidth="1"/>
    <col min="10510" max="10510" width="9.6640625" style="107" customWidth="1"/>
    <col min="10511" max="10511" width="9.88671875" style="107" customWidth="1"/>
    <col min="10512" max="10512" width="11.33203125" style="107" customWidth="1"/>
    <col min="10513" max="10513" width="11.5546875" style="107" customWidth="1"/>
    <col min="10514" max="10514" width="11.6640625" style="107" customWidth="1"/>
    <col min="10515" max="10515" width="10.33203125" style="107" customWidth="1"/>
    <col min="10516" max="10516" width="11.77734375" style="107" customWidth="1"/>
    <col min="10517" max="10517" width="12.109375" style="107" customWidth="1"/>
    <col min="10518" max="10518" width="11" style="107" customWidth="1"/>
    <col min="10519" max="10519" width="12.109375" style="107" customWidth="1"/>
    <col min="10520" max="10520" width="10.5546875" style="107" customWidth="1"/>
    <col min="10521" max="10521" width="9.88671875" style="107" customWidth="1"/>
    <col min="10522" max="10522" width="10.77734375" style="107" customWidth="1"/>
    <col min="10523" max="10523" width="9.77734375" style="107" customWidth="1"/>
    <col min="10524" max="10524" width="11.21875" style="107" customWidth="1"/>
    <col min="10525" max="10525" width="10.33203125" style="107" customWidth="1"/>
    <col min="10526" max="10526" width="11.88671875" style="107" customWidth="1"/>
    <col min="10527" max="10527" width="8.77734375" style="107"/>
    <col min="10528" max="10528" width="13.88671875" style="107" customWidth="1"/>
    <col min="10529" max="10529" width="10.88671875" style="107" customWidth="1"/>
    <col min="10530" max="10530" width="11.44140625" style="107" customWidth="1"/>
    <col min="10531" max="10531" width="11.77734375" style="107" customWidth="1"/>
    <col min="10532" max="10532" width="11.109375" style="107" customWidth="1"/>
    <col min="10533" max="10533" width="10.88671875" style="107" customWidth="1"/>
    <col min="10534" max="10537" width="8.77734375" style="107"/>
    <col min="10538" max="10538" width="11.44140625" style="107" bestFit="1" customWidth="1"/>
    <col min="10539" max="10539" width="10.21875" style="107" customWidth="1"/>
    <col min="10540" max="10540" width="11.5546875" style="107" customWidth="1"/>
    <col min="10541" max="10541" width="12.109375" style="107" customWidth="1"/>
    <col min="10542" max="10542" width="13.21875" style="107" customWidth="1"/>
    <col min="10543" max="10543" width="14.109375" style="107" customWidth="1"/>
    <col min="10544" max="10544" width="11.77734375" style="107" customWidth="1"/>
    <col min="10545" max="10545" width="9.6640625" style="107" customWidth="1"/>
    <col min="10546" max="10549" width="8.77734375" style="107"/>
    <col min="10550" max="10550" width="28.77734375" style="107" customWidth="1"/>
    <col min="10551" max="10551" width="11.77734375" style="107" customWidth="1"/>
    <col min="10552" max="10552" width="10" style="107" customWidth="1"/>
    <col min="10553" max="10553" width="10.44140625" style="107" customWidth="1"/>
    <col min="10554" max="10555" width="8.77734375" style="107"/>
    <col min="10556" max="10556" width="9.33203125" style="107" customWidth="1"/>
    <col min="10557" max="10557" width="18.44140625" style="107" customWidth="1"/>
    <col min="10558" max="10558" width="11" style="107" customWidth="1"/>
    <col min="10559" max="10559" width="9.5546875" style="107" customWidth="1"/>
    <col min="10560" max="10560" width="10.6640625" style="107" customWidth="1"/>
    <col min="10561" max="10561" width="9.88671875" style="107" customWidth="1"/>
    <col min="10562" max="10562" width="11.44140625" style="107" customWidth="1"/>
    <col min="10563" max="10563" width="9.88671875" style="107" customWidth="1"/>
    <col min="10564" max="10564" width="10" style="107" customWidth="1"/>
    <col min="10565" max="10565" width="6.77734375" style="107" customWidth="1"/>
    <col min="10566" max="10566" width="12.5546875" style="107" customWidth="1"/>
    <col min="10567" max="10567" width="9.5546875" style="107" customWidth="1"/>
    <col min="10568" max="10568" width="10.33203125" style="107" customWidth="1"/>
    <col min="10569" max="10569" width="7.77734375" style="107" customWidth="1"/>
    <col min="10570" max="10570" width="7.21875" style="107" customWidth="1"/>
    <col min="10571" max="10571" width="17.6640625" style="107" customWidth="1"/>
    <col min="10572" max="10572" width="8.77734375" style="107" customWidth="1"/>
    <col min="10573" max="10573" width="13.109375" style="107" bestFit="1" customWidth="1"/>
    <col min="10574" max="10574" width="13.77734375" style="107" customWidth="1"/>
    <col min="10575" max="10576" width="8.77734375" style="107"/>
    <col min="10577" max="10577" width="9" style="107" bestFit="1" customWidth="1"/>
    <col min="10578" max="10586" width="8.77734375" style="107"/>
    <col min="10587" max="10587" width="13.109375" style="107" customWidth="1"/>
    <col min="10588" max="10588" width="8.77734375" style="107"/>
    <col min="10589" max="10589" width="9.88671875" style="107" customWidth="1"/>
    <col min="10590" max="10593" width="8.77734375" style="107"/>
    <col min="10594" max="10594" width="8.5546875" style="107" customWidth="1"/>
    <col min="10595" max="10595" width="30.33203125" style="107" customWidth="1"/>
    <col min="10596" max="10596" width="9" style="107" bestFit="1" customWidth="1"/>
    <col min="10597" max="10597" width="8.77734375" style="107"/>
    <col min="10598" max="10598" width="5.88671875" style="107" customWidth="1"/>
    <col min="10599" max="10599" width="6.88671875" style="107" customWidth="1"/>
    <col min="10600" max="10600" width="23.88671875" style="107" customWidth="1"/>
    <col min="10601" max="10607" width="8.77734375" style="107"/>
    <col min="10608" max="10608" width="9" style="107" bestFit="1" customWidth="1"/>
    <col min="10609" max="10610" width="8.77734375" style="107"/>
    <col min="10611" max="10611" width="32.88671875" style="107" customWidth="1"/>
    <col min="10612" max="10612" width="16.6640625" style="107" customWidth="1"/>
    <col min="10613" max="10613" width="10.21875" style="107" customWidth="1"/>
    <col min="10614" max="10614" width="12.44140625" style="107" customWidth="1"/>
    <col min="10615" max="10615" width="10" style="107" bestFit="1" customWidth="1"/>
    <col min="10616" max="10616" width="8.77734375" style="107"/>
    <col min="10617" max="10617" width="9" style="107" bestFit="1" customWidth="1"/>
    <col min="10618" max="10619" width="8.77734375" style="107"/>
    <col min="10620" max="10620" width="11.6640625" style="107" customWidth="1"/>
    <col min="10621" max="10621" width="8.77734375" style="107"/>
    <col min="10622" max="10622" width="28.77734375" style="107" customWidth="1"/>
    <col min="10623" max="10623" width="12.33203125" style="107" customWidth="1"/>
    <col min="10624" max="10624" width="11.21875" style="107" customWidth="1"/>
    <col min="10625" max="10752" width="8.77734375" style="107"/>
    <col min="10753" max="10753" width="5.6640625" style="107" customWidth="1"/>
    <col min="10754" max="10754" width="26.5546875" style="107" customWidth="1"/>
    <col min="10755" max="10755" width="11.44140625" style="107" customWidth="1"/>
    <col min="10756" max="10756" width="7.44140625" style="107" customWidth="1"/>
    <col min="10757" max="10757" width="8.5546875" style="107" customWidth="1"/>
    <col min="10758" max="10758" width="12.33203125" style="107" customWidth="1"/>
    <col min="10759" max="10759" width="11.77734375" style="107" customWidth="1"/>
    <col min="10760" max="10760" width="8.21875" style="107" customWidth="1"/>
    <col min="10761" max="10761" width="12" style="107" customWidth="1"/>
    <col min="10762" max="10762" width="8.77734375" style="107" customWidth="1"/>
    <col min="10763" max="10763" width="11.109375" style="107" customWidth="1"/>
    <col min="10764" max="10764" width="12.88671875" style="107" customWidth="1"/>
    <col min="10765" max="10765" width="12.5546875" style="107" customWidth="1"/>
    <col min="10766" max="10766" width="9.6640625" style="107" customWidth="1"/>
    <col min="10767" max="10767" width="9.88671875" style="107" customWidth="1"/>
    <col min="10768" max="10768" width="11.33203125" style="107" customWidth="1"/>
    <col min="10769" max="10769" width="11.5546875" style="107" customWidth="1"/>
    <col min="10770" max="10770" width="11.6640625" style="107" customWidth="1"/>
    <col min="10771" max="10771" width="10.33203125" style="107" customWidth="1"/>
    <col min="10772" max="10772" width="11.77734375" style="107" customWidth="1"/>
    <col min="10773" max="10773" width="12.109375" style="107" customWidth="1"/>
    <col min="10774" max="10774" width="11" style="107" customWidth="1"/>
    <col min="10775" max="10775" width="12.109375" style="107" customWidth="1"/>
    <col min="10776" max="10776" width="10.5546875" style="107" customWidth="1"/>
    <col min="10777" max="10777" width="9.88671875" style="107" customWidth="1"/>
    <col min="10778" max="10778" width="10.77734375" style="107" customWidth="1"/>
    <col min="10779" max="10779" width="9.77734375" style="107" customWidth="1"/>
    <col min="10780" max="10780" width="11.21875" style="107" customWidth="1"/>
    <col min="10781" max="10781" width="10.33203125" style="107" customWidth="1"/>
    <col min="10782" max="10782" width="11.88671875" style="107" customWidth="1"/>
    <col min="10783" max="10783" width="8.77734375" style="107"/>
    <col min="10784" max="10784" width="13.88671875" style="107" customWidth="1"/>
    <col min="10785" max="10785" width="10.88671875" style="107" customWidth="1"/>
    <col min="10786" max="10786" width="11.44140625" style="107" customWidth="1"/>
    <col min="10787" max="10787" width="11.77734375" style="107" customWidth="1"/>
    <col min="10788" max="10788" width="11.109375" style="107" customWidth="1"/>
    <col min="10789" max="10789" width="10.88671875" style="107" customWidth="1"/>
    <col min="10790" max="10793" width="8.77734375" style="107"/>
    <col min="10794" max="10794" width="11.44140625" style="107" bestFit="1" customWidth="1"/>
    <col min="10795" max="10795" width="10.21875" style="107" customWidth="1"/>
    <col min="10796" max="10796" width="11.5546875" style="107" customWidth="1"/>
    <col min="10797" max="10797" width="12.109375" style="107" customWidth="1"/>
    <col min="10798" max="10798" width="13.21875" style="107" customWidth="1"/>
    <col min="10799" max="10799" width="14.109375" style="107" customWidth="1"/>
    <col min="10800" max="10800" width="11.77734375" style="107" customWidth="1"/>
    <col min="10801" max="10801" width="9.6640625" style="107" customWidth="1"/>
    <col min="10802" max="10805" width="8.77734375" style="107"/>
    <col min="10806" max="10806" width="28.77734375" style="107" customWidth="1"/>
    <col min="10807" max="10807" width="11.77734375" style="107" customWidth="1"/>
    <col min="10808" max="10808" width="10" style="107" customWidth="1"/>
    <col min="10809" max="10809" width="10.44140625" style="107" customWidth="1"/>
    <col min="10810" max="10811" width="8.77734375" style="107"/>
    <col min="10812" max="10812" width="9.33203125" style="107" customWidth="1"/>
    <col min="10813" max="10813" width="18.44140625" style="107" customWidth="1"/>
    <col min="10814" max="10814" width="11" style="107" customWidth="1"/>
    <col min="10815" max="10815" width="9.5546875" style="107" customWidth="1"/>
    <col min="10816" max="10816" width="10.6640625" style="107" customWidth="1"/>
    <col min="10817" max="10817" width="9.88671875" style="107" customWidth="1"/>
    <col min="10818" max="10818" width="11.44140625" style="107" customWidth="1"/>
    <col min="10819" max="10819" width="9.88671875" style="107" customWidth="1"/>
    <col min="10820" max="10820" width="10" style="107" customWidth="1"/>
    <col min="10821" max="10821" width="6.77734375" style="107" customWidth="1"/>
    <col min="10822" max="10822" width="12.5546875" style="107" customWidth="1"/>
    <col min="10823" max="10823" width="9.5546875" style="107" customWidth="1"/>
    <col min="10824" max="10824" width="10.33203125" style="107" customWidth="1"/>
    <col min="10825" max="10825" width="7.77734375" style="107" customWidth="1"/>
    <col min="10826" max="10826" width="7.21875" style="107" customWidth="1"/>
    <col min="10827" max="10827" width="17.6640625" style="107" customWidth="1"/>
    <col min="10828" max="10828" width="8.77734375" style="107" customWidth="1"/>
    <col min="10829" max="10829" width="13.109375" style="107" bestFit="1" customWidth="1"/>
    <col min="10830" max="10830" width="13.77734375" style="107" customWidth="1"/>
    <col min="10831" max="10832" width="8.77734375" style="107"/>
    <col min="10833" max="10833" width="9" style="107" bestFit="1" customWidth="1"/>
    <col min="10834" max="10842" width="8.77734375" style="107"/>
    <col min="10843" max="10843" width="13.109375" style="107" customWidth="1"/>
    <col min="10844" max="10844" width="8.77734375" style="107"/>
    <col min="10845" max="10845" width="9.88671875" style="107" customWidth="1"/>
    <col min="10846" max="10849" width="8.77734375" style="107"/>
    <col min="10850" max="10850" width="8.5546875" style="107" customWidth="1"/>
    <col min="10851" max="10851" width="30.33203125" style="107" customWidth="1"/>
    <col min="10852" max="10852" width="9" style="107" bestFit="1" customWidth="1"/>
    <col min="10853" max="10853" width="8.77734375" style="107"/>
    <col min="10854" max="10854" width="5.88671875" style="107" customWidth="1"/>
    <col min="10855" max="10855" width="6.88671875" style="107" customWidth="1"/>
    <col min="10856" max="10856" width="23.88671875" style="107" customWidth="1"/>
    <col min="10857" max="10863" width="8.77734375" style="107"/>
    <col min="10864" max="10864" width="9" style="107" bestFit="1" customWidth="1"/>
    <col min="10865" max="10866" width="8.77734375" style="107"/>
    <col min="10867" max="10867" width="32.88671875" style="107" customWidth="1"/>
    <col min="10868" max="10868" width="16.6640625" style="107" customWidth="1"/>
    <col min="10869" max="10869" width="10.21875" style="107" customWidth="1"/>
    <col min="10870" max="10870" width="12.44140625" style="107" customWidth="1"/>
    <col min="10871" max="10871" width="10" style="107" bestFit="1" customWidth="1"/>
    <col min="10872" max="10872" width="8.77734375" style="107"/>
    <col min="10873" max="10873" width="9" style="107" bestFit="1" customWidth="1"/>
    <col min="10874" max="10875" width="8.77734375" style="107"/>
    <col min="10876" max="10876" width="11.6640625" style="107" customWidth="1"/>
    <col min="10877" max="10877" width="8.77734375" style="107"/>
    <col min="10878" max="10878" width="28.77734375" style="107" customWidth="1"/>
    <col min="10879" max="10879" width="12.33203125" style="107" customWidth="1"/>
    <col min="10880" max="10880" width="11.21875" style="107" customWidth="1"/>
    <col min="10881" max="11008" width="8.77734375" style="107"/>
    <col min="11009" max="11009" width="5.6640625" style="107" customWidth="1"/>
    <col min="11010" max="11010" width="26.5546875" style="107" customWidth="1"/>
    <col min="11011" max="11011" width="11.44140625" style="107" customWidth="1"/>
    <col min="11012" max="11012" width="7.44140625" style="107" customWidth="1"/>
    <col min="11013" max="11013" width="8.5546875" style="107" customWidth="1"/>
    <col min="11014" max="11014" width="12.33203125" style="107" customWidth="1"/>
    <col min="11015" max="11015" width="11.77734375" style="107" customWidth="1"/>
    <col min="11016" max="11016" width="8.21875" style="107" customWidth="1"/>
    <col min="11017" max="11017" width="12" style="107" customWidth="1"/>
    <col min="11018" max="11018" width="8.77734375" style="107" customWidth="1"/>
    <col min="11019" max="11019" width="11.109375" style="107" customWidth="1"/>
    <col min="11020" max="11020" width="12.88671875" style="107" customWidth="1"/>
    <col min="11021" max="11021" width="12.5546875" style="107" customWidth="1"/>
    <col min="11022" max="11022" width="9.6640625" style="107" customWidth="1"/>
    <col min="11023" max="11023" width="9.88671875" style="107" customWidth="1"/>
    <col min="11024" max="11024" width="11.33203125" style="107" customWidth="1"/>
    <col min="11025" max="11025" width="11.5546875" style="107" customWidth="1"/>
    <col min="11026" max="11026" width="11.6640625" style="107" customWidth="1"/>
    <col min="11027" max="11027" width="10.33203125" style="107" customWidth="1"/>
    <col min="11028" max="11028" width="11.77734375" style="107" customWidth="1"/>
    <col min="11029" max="11029" width="12.109375" style="107" customWidth="1"/>
    <col min="11030" max="11030" width="11" style="107" customWidth="1"/>
    <col min="11031" max="11031" width="12.109375" style="107" customWidth="1"/>
    <col min="11032" max="11032" width="10.5546875" style="107" customWidth="1"/>
    <col min="11033" max="11033" width="9.88671875" style="107" customWidth="1"/>
    <col min="11034" max="11034" width="10.77734375" style="107" customWidth="1"/>
    <col min="11035" max="11035" width="9.77734375" style="107" customWidth="1"/>
    <col min="11036" max="11036" width="11.21875" style="107" customWidth="1"/>
    <col min="11037" max="11037" width="10.33203125" style="107" customWidth="1"/>
    <col min="11038" max="11038" width="11.88671875" style="107" customWidth="1"/>
    <col min="11039" max="11039" width="8.77734375" style="107"/>
    <col min="11040" max="11040" width="13.88671875" style="107" customWidth="1"/>
    <col min="11041" max="11041" width="10.88671875" style="107" customWidth="1"/>
    <col min="11042" max="11042" width="11.44140625" style="107" customWidth="1"/>
    <col min="11043" max="11043" width="11.77734375" style="107" customWidth="1"/>
    <col min="11044" max="11044" width="11.109375" style="107" customWidth="1"/>
    <col min="11045" max="11045" width="10.88671875" style="107" customWidth="1"/>
    <col min="11046" max="11049" width="8.77734375" style="107"/>
    <col min="11050" max="11050" width="11.44140625" style="107" bestFit="1" customWidth="1"/>
    <col min="11051" max="11051" width="10.21875" style="107" customWidth="1"/>
    <col min="11052" max="11052" width="11.5546875" style="107" customWidth="1"/>
    <col min="11053" max="11053" width="12.109375" style="107" customWidth="1"/>
    <col min="11054" max="11054" width="13.21875" style="107" customWidth="1"/>
    <col min="11055" max="11055" width="14.109375" style="107" customWidth="1"/>
    <col min="11056" max="11056" width="11.77734375" style="107" customWidth="1"/>
    <col min="11057" max="11057" width="9.6640625" style="107" customWidth="1"/>
    <col min="11058" max="11061" width="8.77734375" style="107"/>
    <col min="11062" max="11062" width="28.77734375" style="107" customWidth="1"/>
    <col min="11063" max="11063" width="11.77734375" style="107" customWidth="1"/>
    <col min="11064" max="11064" width="10" style="107" customWidth="1"/>
    <col min="11065" max="11065" width="10.44140625" style="107" customWidth="1"/>
    <col min="11066" max="11067" width="8.77734375" style="107"/>
    <col min="11068" max="11068" width="9.33203125" style="107" customWidth="1"/>
    <col min="11069" max="11069" width="18.44140625" style="107" customWidth="1"/>
    <col min="11070" max="11070" width="11" style="107" customWidth="1"/>
    <col min="11071" max="11071" width="9.5546875" style="107" customWidth="1"/>
    <col min="11072" max="11072" width="10.6640625" style="107" customWidth="1"/>
    <col min="11073" max="11073" width="9.88671875" style="107" customWidth="1"/>
    <col min="11074" max="11074" width="11.44140625" style="107" customWidth="1"/>
    <col min="11075" max="11075" width="9.88671875" style="107" customWidth="1"/>
    <col min="11076" max="11076" width="10" style="107" customWidth="1"/>
    <col min="11077" max="11077" width="6.77734375" style="107" customWidth="1"/>
    <col min="11078" max="11078" width="12.5546875" style="107" customWidth="1"/>
    <col min="11079" max="11079" width="9.5546875" style="107" customWidth="1"/>
    <col min="11080" max="11080" width="10.33203125" style="107" customWidth="1"/>
    <col min="11081" max="11081" width="7.77734375" style="107" customWidth="1"/>
    <col min="11082" max="11082" width="7.21875" style="107" customWidth="1"/>
    <col min="11083" max="11083" width="17.6640625" style="107" customWidth="1"/>
    <col min="11084" max="11084" width="8.77734375" style="107" customWidth="1"/>
    <col min="11085" max="11085" width="13.109375" style="107" bestFit="1" customWidth="1"/>
    <col min="11086" max="11086" width="13.77734375" style="107" customWidth="1"/>
    <col min="11087" max="11088" width="8.77734375" style="107"/>
    <col min="11089" max="11089" width="9" style="107" bestFit="1" customWidth="1"/>
    <col min="11090" max="11098" width="8.77734375" style="107"/>
    <col min="11099" max="11099" width="13.109375" style="107" customWidth="1"/>
    <col min="11100" max="11100" width="8.77734375" style="107"/>
    <col min="11101" max="11101" width="9.88671875" style="107" customWidth="1"/>
    <col min="11102" max="11105" width="8.77734375" style="107"/>
    <col min="11106" max="11106" width="8.5546875" style="107" customWidth="1"/>
    <col min="11107" max="11107" width="30.33203125" style="107" customWidth="1"/>
    <col min="11108" max="11108" width="9" style="107" bestFit="1" customWidth="1"/>
    <col min="11109" max="11109" width="8.77734375" style="107"/>
    <col min="11110" max="11110" width="5.88671875" style="107" customWidth="1"/>
    <col min="11111" max="11111" width="6.88671875" style="107" customWidth="1"/>
    <col min="11112" max="11112" width="23.88671875" style="107" customWidth="1"/>
    <col min="11113" max="11119" width="8.77734375" style="107"/>
    <col min="11120" max="11120" width="9" style="107" bestFit="1" customWidth="1"/>
    <col min="11121" max="11122" width="8.77734375" style="107"/>
    <col min="11123" max="11123" width="32.88671875" style="107" customWidth="1"/>
    <col min="11124" max="11124" width="16.6640625" style="107" customWidth="1"/>
    <col min="11125" max="11125" width="10.21875" style="107" customWidth="1"/>
    <col min="11126" max="11126" width="12.44140625" style="107" customWidth="1"/>
    <col min="11127" max="11127" width="10" style="107" bestFit="1" customWidth="1"/>
    <col min="11128" max="11128" width="8.77734375" style="107"/>
    <col min="11129" max="11129" width="9" style="107" bestFit="1" customWidth="1"/>
    <col min="11130" max="11131" width="8.77734375" style="107"/>
    <col min="11132" max="11132" width="11.6640625" style="107" customWidth="1"/>
    <col min="11133" max="11133" width="8.77734375" style="107"/>
    <col min="11134" max="11134" width="28.77734375" style="107" customWidth="1"/>
    <col min="11135" max="11135" width="12.33203125" style="107" customWidth="1"/>
    <col min="11136" max="11136" width="11.21875" style="107" customWidth="1"/>
    <col min="11137" max="11264" width="8.77734375" style="107"/>
    <col min="11265" max="11265" width="5.6640625" style="107" customWidth="1"/>
    <col min="11266" max="11266" width="26.5546875" style="107" customWidth="1"/>
    <col min="11267" max="11267" width="11.44140625" style="107" customWidth="1"/>
    <col min="11268" max="11268" width="7.44140625" style="107" customWidth="1"/>
    <col min="11269" max="11269" width="8.5546875" style="107" customWidth="1"/>
    <col min="11270" max="11270" width="12.33203125" style="107" customWidth="1"/>
    <col min="11271" max="11271" width="11.77734375" style="107" customWidth="1"/>
    <col min="11272" max="11272" width="8.21875" style="107" customWidth="1"/>
    <col min="11273" max="11273" width="12" style="107" customWidth="1"/>
    <col min="11274" max="11274" width="8.77734375" style="107" customWidth="1"/>
    <col min="11275" max="11275" width="11.109375" style="107" customWidth="1"/>
    <col min="11276" max="11276" width="12.88671875" style="107" customWidth="1"/>
    <col min="11277" max="11277" width="12.5546875" style="107" customWidth="1"/>
    <col min="11278" max="11278" width="9.6640625" style="107" customWidth="1"/>
    <col min="11279" max="11279" width="9.88671875" style="107" customWidth="1"/>
    <col min="11280" max="11280" width="11.33203125" style="107" customWidth="1"/>
    <col min="11281" max="11281" width="11.5546875" style="107" customWidth="1"/>
    <col min="11282" max="11282" width="11.6640625" style="107" customWidth="1"/>
    <col min="11283" max="11283" width="10.33203125" style="107" customWidth="1"/>
    <col min="11284" max="11284" width="11.77734375" style="107" customWidth="1"/>
    <col min="11285" max="11285" width="12.109375" style="107" customWidth="1"/>
    <col min="11286" max="11286" width="11" style="107" customWidth="1"/>
    <col min="11287" max="11287" width="12.109375" style="107" customWidth="1"/>
    <col min="11288" max="11288" width="10.5546875" style="107" customWidth="1"/>
    <col min="11289" max="11289" width="9.88671875" style="107" customWidth="1"/>
    <col min="11290" max="11290" width="10.77734375" style="107" customWidth="1"/>
    <col min="11291" max="11291" width="9.77734375" style="107" customWidth="1"/>
    <col min="11292" max="11292" width="11.21875" style="107" customWidth="1"/>
    <col min="11293" max="11293" width="10.33203125" style="107" customWidth="1"/>
    <col min="11294" max="11294" width="11.88671875" style="107" customWidth="1"/>
    <col min="11295" max="11295" width="8.77734375" style="107"/>
    <col min="11296" max="11296" width="13.88671875" style="107" customWidth="1"/>
    <col min="11297" max="11297" width="10.88671875" style="107" customWidth="1"/>
    <col min="11298" max="11298" width="11.44140625" style="107" customWidth="1"/>
    <col min="11299" max="11299" width="11.77734375" style="107" customWidth="1"/>
    <col min="11300" max="11300" width="11.109375" style="107" customWidth="1"/>
    <col min="11301" max="11301" width="10.88671875" style="107" customWidth="1"/>
    <col min="11302" max="11305" width="8.77734375" style="107"/>
    <col min="11306" max="11306" width="11.44140625" style="107" bestFit="1" customWidth="1"/>
    <col min="11307" max="11307" width="10.21875" style="107" customWidth="1"/>
    <col min="11308" max="11308" width="11.5546875" style="107" customWidth="1"/>
    <col min="11309" max="11309" width="12.109375" style="107" customWidth="1"/>
    <col min="11310" max="11310" width="13.21875" style="107" customWidth="1"/>
    <col min="11311" max="11311" width="14.109375" style="107" customWidth="1"/>
    <col min="11312" max="11312" width="11.77734375" style="107" customWidth="1"/>
    <col min="11313" max="11313" width="9.6640625" style="107" customWidth="1"/>
    <col min="11314" max="11317" width="8.77734375" style="107"/>
    <col min="11318" max="11318" width="28.77734375" style="107" customWidth="1"/>
    <col min="11319" max="11319" width="11.77734375" style="107" customWidth="1"/>
    <col min="11320" max="11320" width="10" style="107" customWidth="1"/>
    <col min="11321" max="11321" width="10.44140625" style="107" customWidth="1"/>
    <col min="11322" max="11323" width="8.77734375" style="107"/>
    <col min="11324" max="11324" width="9.33203125" style="107" customWidth="1"/>
    <col min="11325" max="11325" width="18.44140625" style="107" customWidth="1"/>
    <col min="11326" max="11326" width="11" style="107" customWidth="1"/>
    <col min="11327" max="11327" width="9.5546875" style="107" customWidth="1"/>
    <col min="11328" max="11328" width="10.6640625" style="107" customWidth="1"/>
    <col min="11329" max="11329" width="9.88671875" style="107" customWidth="1"/>
    <col min="11330" max="11330" width="11.44140625" style="107" customWidth="1"/>
    <col min="11331" max="11331" width="9.88671875" style="107" customWidth="1"/>
    <col min="11332" max="11332" width="10" style="107" customWidth="1"/>
    <col min="11333" max="11333" width="6.77734375" style="107" customWidth="1"/>
    <col min="11334" max="11334" width="12.5546875" style="107" customWidth="1"/>
    <col min="11335" max="11335" width="9.5546875" style="107" customWidth="1"/>
    <col min="11336" max="11336" width="10.33203125" style="107" customWidth="1"/>
    <col min="11337" max="11337" width="7.77734375" style="107" customWidth="1"/>
    <col min="11338" max="11338" width="7.21875" style="107" customWidth="1"/>
    <col min="11339" max="11339" width="17.6640625" style="107" customWidth="1"/>
    <col min="11340" max="11340" width="8.77734375" style="107" customWidth="1"/>
    <col min="11341" max="11341" width="13.109375" style="107" bestFit="1" customWidth="1"/>
    <col min="11342" max="11342" width="13.77734375" style="107" customWidth="1"/>
    <col min="11343" max="11344" width="8.77734375" style="107"/>
    <col min="11345" max="11345" width="9" style="107" bestFit="1" customWidth="1"/>
    <col min="11346" max="11354" width="8.77734375" style="107"/>
    <col min="11355" max="11355" width="13.109375" style="107" customWidth="1"/>
    <col min="11356" max="11356" width="8.77734375" style="107"/>
    <col min="11357" max="11357" width="9.88671875" style="107" customWidth="1"/>
    <col min="11358" max="11361" width="8.77734375" style="107"/>
    <col min="11362" max="11362" width="8.5546875" style="107" customWidth="1"/>
    <col min="11363" max="11363" width="30.33203125" style="107" customWidth="1"/>
    <col min="11364" max="11364" width="9" style="107" bestFit="1" customWidth="1"/>
    <col min="11365" max="11365" width="8.77734375" style="107"/>
    <col min="11366" max="11366" width="5.88671875" style="107" customWidth="1"/>
    <col min="11367" max="11367" width="6.88671875" style="107" customWidth="1"/>
    <col min="11368" max="11368" width="23.88671875" style="107" customWidth="1"/>
    <col min="11369" max="11375" width="8.77734375" style="107"/>
    <col min="11376" max="11376" width="9" style="107" bestFit="1" customWidth="1"/>
    <col min="11377" max="11378" width="8.77734375" style="107"/>
    <col min="11379" max="11379" width="32.88671875" style="107" customWidth="1"/>
    <col min="11380" max="11380" width="16.6640625" style="107" customWidth="1"/>
    <col min="11381" max="11381" width="10.21875" style="107" customWidth="1"/>
    <col min="11382" max="11382" width="12.44140625" style="107" customWidth="1"/>
    <col min="11383" max="11383" width="10" style="107" bestFit="1" customWidth="1"/>
    <col min="11384" max="11384" width="8.77734375" style="107"/>
    <col min="11385" max="11385" width="9" style="107" bestFit="1" customWidth="1"/>
    <col min="11386" max="11387" width="8.77734375" style="107"/>
    <col min="11388" max="11388" width="11.6640625" style="107" customWidth="1"/>
    <col min="11389" max="11389" width="8.77734375" style="107"/>
    <col min="11390" max="11390" width="28.77734375" style="107" customWidth="1"/>
    <col min="11391" max="11391" width="12.33203125" style="107" customWidth="1"/>
    <col min="11392" max="11392" width="11.21875" style="107" customWidth="1"/>
    <col min="11393" max="11520" width="8.77734375" style="107"/>
    <col min="11521" max="11521" width="5.6640625" style="107" customWidth="1"/>
    <col min="11522" max="11522" width="26.5546875" style="107" customWidth="1"/>
    <col min="11523" max="11523" width="11.44140625" style="107" customWidth="1"/>
    <col min="11524" max="11524" width="7.44140625" style="107" customWidth="1"/>
    <col min="11525" max="11525" width="8.5546875" style="107" customWidth="1"/>
    <col min="11526" max="11526" width="12.33203125" style="107" customWidth="1"/>
    <col min="11527" max="11527" width="11.77734375" style="107" customWidth="1"/>
    <col min="11528" max="11528" width="8.21875" style="107" customWidth="1"/>
    <col min="11529" max="11529" width="12" style="107" customWidth="1"/>
    <col min="11530" max="11530" width="8.77734375" style="107" customWidth="1"/>
    <col min="11531" max="11531" width="11.109375" style="107" customWidth="1"/>
    <col min="11532" max="11532" width="12.88671875" style="107" customWidth="1"/>
    <col min="11533" max="11533" width="12.5546875" style="107" customWidth="1"/>
    <col min="11534" max="11534" width="9.6640625" style="107" customWidth="1"/>
    <col min="11535" max="11535" width="9.88671875" style="107" customWidth="1"/>
    <col min="11536" max="11536" width="11.33203125" style="107" customWidth="1"/>
    <col min="11537" max="11537" width="11.5546875" style="107" customWidth="1"/>
    <col min="11538" max="11538" width="11.6640625" style="107" customWidth="1"/>
    <col min="11539" max="11539" width="10.33203125" style="107" customWidth="1"/>
    <col min="11540" max="11540" width="11.77734375" style="107" customWidth="1"/>
    <col min="11541" max="11541" width="12.109375" style="107" customWidth="1"/>
    <col min="11542" max="11542" width="11" style="107" customWidth="1"/>
    <col min="11543" max="11543" width="12.109375" style="107" customWidth="1"/>
    <col min="11544" max="11544" width="10.5546875" style="107" customWidth="1"/>
    <col min="11545" max="11545" width="9.88671875" style="107" customWidth="1"/>
    <col min="11546" max="11546" width="10.77734375" style="107" customWidth="1"/>
    <col min="11547" max="11547" width="9.77734375" style="107" customWidth="1"/>
    <col min="11548" max="11548" width="11.21875" style="107" customWidth="1"/>
    <col min="11549" max="11549" width="10.33203125" style="107" customWidth="1"/>
    <col min="11550" max="11550" width="11.88671875" style="107" customWidth="1"/>
    <col min="11551" max="11551" width="8.77734375" style="107"/>
    <col min="11552" max="11552" width="13.88671875" style="107" customWidth="1"/>
    <col min="11553" max="11553" width="10.88671875" style="107" customWidth="1"/>
    <col min="11554" max="11554" width="11.44140625" style="107" customWidth="1"/>
    <col min="11555" max="11555" width="11.77734375" style="107" customWidth="1"/>
    <col min="11556" max="11556" width="11.109375" style="107" customWidth="1"/>
    <col min="11557" max="11557" width="10.88671875" style="107" customWidth="1"/>
    <col min="11558" max="11561" width="8.77734375" style="107"/>
    <col min="11562" max="11562" width="11.44140625" style="107" bestFit="1" customWidth="1"/>
    <col min="11563" max="11563" width="10.21875" style="107" customWidth="1"/>
    <col min="11564" max="11564" width="11.5546875" style="107" customWidth="1"/>
    <col min="11565" max="11565" width="12.109375" style="107" customWidth="1"/>
    <col min="11566" max="11566" width="13.21875" style="107" customWidth="1"/>
    <col min="11567" max="11567" width="14.109375" style="107" customWidth="1"/>
    <col min="11568" max="11568" width="11.77734375" style="107" customWidth="1"/>
    <col min="11569" max="11569" width="9.6640625" style="107" customWidth="1"/>
    <col min="11570" max="11573" width="8.77734375" style="107"/>
    <col min="11574" max="11574" width="28.77734375" style="107" customWidth="1"/>
    <col min="11575" max="11575" width="11.77734375" style="107" customWidth="1"/>
    <col min="11576" max="11576" width="10" style="107" customWidth="1"/>
    <col min="11577" max="11577" width="10.44140625" style="107" customWidth="1"/>
    <col min="11578" max="11579" width="8.77734375" style="107"/>
    <col min="11580" max="11580" width="9.33203125" style="107" customWidth="1"/>
    <col min="11581" max="11581" width="18.44140625" style="107" customWidth="1"/>
    <col min="11582" max="11582" width="11" style="107" customWidth="1"/>
    <col min="11583" max="11583" width="9.5546875" style="107" customWidth="1"/>
    <col min="11584" max="11584" width="10.6640625" style="107" customWidth="1"/>
    <col min="11585" max="11585" width="9.88671875" style="107" customWidth="1"/>
    <col min="11586" max="11586" width="11.44140625" style="107" customWidth="1"/>
    <col min="11587" max="11587" width="9.88671875" style="107" customWidth="1"/>
    <col min="11588" max="11588" width="10" style="107" customWidth="1"/>
    <col min="11589" max="11589" width="6.77734375" style="107" customWidth="1"/>
    <col min="11590" max="11590" width="12.5546875" style="107" customWidth="1"/>
    <col min="11591" max="11591" width="9.5546875" style="107" customWidth="1"/>
    <col min="11592" max="11592" width="10.33203125" style="107" customWidth="1"/>
    <col min="11593" max="11593" width="7.77734375" style="107" customWidth="1"/>
    <col min="11594" max="11594" width="7.21875" style="107" customWidth="1"/>
    <col min="11595" max="11595" width="17.6640625" style="107" customWidth="1"/>
    <col min="11596" max="11596" width="8.77734375" style="107" customWidth="1"/>
    <col min="11597" max="11597" width="13.109375" style="107" bestFit="1" customWidth="1"/>
    <col min="11598" max="11598" width="13.77734375" style="107" customWidth="1"/>
    <col min="11599" max="11600" width="8.77734375" style="107"/>
    <col min="11601" max="11601" width="9" style="107" bestFit="1" customWidth="1"/>
    <col min="11602" max="11610" width="8.77734375" style="107"/>
    <col min="11611" max="11611" width="13.109375" style="107" customWidth="1"/>
    <col min="11612" max="11612" width="8.77734375" style="107"/>
    <col min="11613" max="11613" width="9.88671875" style="107" customWidth="1"/>
    <col min="11614" max="11617" width="8.77734375" style="107"/>
    <col min="11618" max="11618" width="8.5546875" style="107" customWidth="1"/>
    <col min="11619" max="11619" width="30.33203125" style="107" customWidth="1"/>
    <col min="11620" max="11620" width="9" style="107" bestFit="1" customWidth="1"/>
    <col min="11621" max="11621" width="8.77734375" style="107"/>
    <col min="11622" max="11622" width="5.88671875" style="107" customWidth="1"/>
    <col min="11623" max="11623" width="6.88671875" style="107" customWidth="1"/>
    <col min="11624" max="11624" width="23.88671875" style="107" customWidth="1"/>
    <col min="11625" max="11631" width="8.77734375" style="107"/>
    <col min="11632" max="11632" width="9" style="107" bestFit="1" customWidth="1"/>
    <col min="11633" max="11634" width="8.77734375" style="107"/>
    <col min="11635" max="11635" width="32.88671875" style="107" customWidth="1"/>
    <col min="11636" max="11636" width="16.6640625" style="107" customWidth="1"/>
    <col min="11637" max="11637" width="10.21875" style="107" customWidth="1"/>
    <col min="11638" max="11638" width="12.44140625" style="107" customWidth="1"/>
    <col min="11639" max="11639" width="10" style="107" bestFit="1" customWidth="1"/>
    <col min="11640" max="11640" width="8.77734375" style="107"/>
    <col min="11641" max="11641" width="9" style="107" bestFit="1" customWidth="1"/>
    <col min="11642" max="11643" width="8.77734375" style="107"/>
    <col min="11644" max="11644" width="11.6640625" style="107" customWidth="1"/>
    <col min="11645" max="11645" width="8.77734375" style="107"/>
    <col min="11646" max="11646" width="28.77734375" style="107" customWidth="1"/>
    <col min="11647" max="11647" width="12.33203125" style="107" customWidth="1"/>
    <col min="11648" max="11648" width="11.21875" style="107" customWidth="1"/>
    <col min="11649" max="11776" width="8.77734375" style="107"/>
    <col min="11777" max="11777" width="5.6640625" style="107" customWidth="1"/>
    <col min="11778" max="11778" width="26.5546875" style="107" customWidth="1"/>
    <col min="11779" max="11779" width="11.44140625" style="107" customWidth="1"/>
    <col min="11780" max="11780" width="7.44140625" style="107" customWidth="1"/>
    <col min="11781" max="11781" width="8.5546875" style="107" customWidth="1"/>
    <col min="11782" max="11782" width="12.33203125" style="107" customWidth="1"/>
    <col min="11783" max="11783" width="11.77734375" style="107" customWidth="1"/>
    <col min="11784" max="11784" width="8.21875" style="107" customWidth="1"/>
    <col min="11785" max="11785" width="12" style="107" customWidth="1"/>
    <col min="11786" max="11786" width="8.77734375" style="107" customWidth="1"/>
    <col min="11787" max="11787" width="11.109375" style="107" customWidth="1"/>
    <col min="11788" max="11788" width="12.88671875" style="107" customWidth="1"/>
    <col min="11789" max="11789" width="12.5546875" style="107" customWidth="1"/>
    <col min="11790" max="11790" width="9.6640625" style="107" customWidth="1"/>
    <col min="11791" max="11791" width="9.88671875" style="107" customWidth="1"/>
    <col min="11792" max="11792" width="11.33203125" style="107" customWidth="1"/>
    <col min="11793" max="11793" width="11.5546875" style="107" customWidth="1"/>
    <col min="11794" max="11794" width="11.6640625" style="107" customWidth="1"/>
    <col min="11795" max="11795" width="10.33203125" style="107" customWidth="1"/>
    <col min="11796" max="11796" width="11.77734375" style="107" customWidth="1"/>
    <col min="11797" max="11797" width="12.109375" style="107" customWidth="1"/>
    <col min="11798" max="11798" width="11" style="107" customWidth="1"/>
    <col min="11799" max="11799" width="12.109375" style="107" customWidth="1"/>
    <col min="11800" max="11800" width="10.5546875" style="107" customWidth="1"/>
    <col min="11801" max="11801" width="9.88671875" style="107" customWidth="1"/>
    <col min="11802" max="11802" width="10.77734375" style="107" customWidth="1"/>
    <col min="11803" max="11803" width="9.77734375" style="107" customWidth="1"/>
    <col min="11804" max="11804" width="11.21875" style="107" customWidth="1"/>
    <col min="11805" max="11805" width="10.33203125" style="107" customWidth="1"/>
    <col min="11806" max="11806" width="11.88671875" style="107" customWidth="1"/>
    <col min="11807" max="11807" width="8.77734375" style="107"/>
    <col min="11808" max="11808" width="13.88671875" style="107" customWidth="1"/>
    <col min="11809" max="11809" width="10.88671875" style="107" customWidth="1"/>
    <col min="11810" max="11810" width="11.44140625" style="107" customWidth="1"/>
    <col min="11811" max="11811" width="11.77734375" style="107" customWidth="1"/>
    <col min="11812" max="11812" width="11.109375" style="107" customWidth="1"/>
    <col min="11813" max="11813" width="10.88671875" style="107" customWidth="1"/>
    <col min="11814" max="11817" width="8.77734375" style="107"/>
    <col min="11818" max="11818" width="11.44140625" style="107" bestFit="1" customWidth="1"/>
    <col min="11819" max="11819" width="10.21875" style="107" customWidth="1"/>
    <col min="11820" max="11820" width="11.5546875" style="107" customWidth="1"/>
    <col min="11821" max="11821" width="12.109375" style="107" customWidth="1"/>
    <col min="11822" max="11822" width="13.21875" style="107" customWidth="1"/>
    <col min="11823" max="11823" width="14.109375" style="107" customWidth="1"/>
    <col min="11824" max="11824" width="11.77734375" style="107" customWidth="1"/>
    <col min="11825" max="11825" width="9.6640625" style="107" customWidth="1"/>
    <col min="11826" max="11829" width="8.77734375" style="107"/>
    <col min="11830" max="11830" width="28.77734375" style="107" customWidth="1"/>
    <col min="11831" max="11831" width="11.77734375" style="107" customWidth="1"/>
    <col min="11832" max="11832" width="10" style="107" customWidth="1"/>
    <col min="11833" max="11833" width="10.44140625" style="107" customWidth="1"/>
    <col min="11834" max="11835" width="8.77734375" style="107"/>
    <col min="11836" max="11836" width="9.33203125" style="107" customWidth="1"/>
    <col min="11837" max="11837" width="18.44140625" style="107" customWidth="1"/>
    <col min="11838" max="11838" width="11" style="107" customWidth="1"/>
    <col min="11839" max="11839" width="9.5546875" style="107" customWidth="1"/>
    <col min="11840" max="11840" width="10.6640625" style="107" customWidth="1"/>
    <col min="11841" max="11841" width="9.88671875" style="107" customWidth="1"/>
    <col min="11842" max="11842" width="11.44140625" style="107" customWidth="1"/>
    <col min="11843" max="11843" width="9.88671875" style="107" customWidth="1"/>
    <col min="11844" max="11844" width="10" style="107" customWidth="1"/>
    <col min="11845" max="11845" width="6.77734375" style="107" customWidth="1"/>
    <col min="11846" max="11846" width="12.5546875" style="107" customWidth="1"/>
    <col min="11847" max="11847" width="9.5546875" style="107" customWidth="1"/>
    <col min="11848" max="11848" width="10.33203125" style="107" customWidth="1"/>
    <col min="11849" max="11849" width="7.77734375" style="107" customWidth="1"/>
    <col min="11850" max="11850" width="7.21875" style="107" customWidth="1"/>
    <col min="11851" max="11851" width="17.6640625" style="107" customWidth="1"/>
    <col min="11852" max="11852" width="8.77734375" style="107" customWidth="1"/>
    <col min="11853" max="11853" width="13.109375" style="107" bestFit="1" customWidth="1"/>
    <col min="11854" max="11854" width="13.77734375" style="107" customWidth="1"/>
    <col min="11855" max="11856" width="8.77734375" style="107"/>
    <col min="11857" max="11857" width="9" style="107" bestFit="1" customWidth="1"/>
    <col min="11858" max="11866" width="8.77734375" style="107"/>
    <col min="11867" max="11867" width="13.109375" style="107" customWidth="1"/>
    <col min="11868" max="11868" width="8.77734375" style="107"/>
    <col min="11869" max="11869" width="9.88671875" style="107" customWidth="1"/>
    <col min="11870" max="11873" width="8.77734375" style="107"/>
    <col min="11874" max="11874" width="8.5546875" style="107" customWidth="1"/>
    <col min="11875" max="11875" width="30.33203125" style="107" customWidth="1"/>
    <col min="11876" max="11876" width="9" style="107" bestFit="1" customWidth="1"/>
    <col min="11877" max="11877" width="8.77734375" style="107"/>
    <col min="11878" max="11878" width="5.88671875" style="107" customWidth="1"/>
    <col min="11879" max="11879" width="6.88671875" style="107" customWidth="1"/>
    <col min="11880" max="11880" width="23.88671875" style="107" customWidth="1"/>
    <col min="11881" max="11887" width="8.77734375" style="107"/>
    <col min="11888" max="11888" width="9" style="107" bestFit="1" customWidth="1"/>
    <col min="11889" max="11890" width="8.77734375" style="107"/>
    <col min="11891" max="11891" width="32.88671875" style="107" customWidth="1"/>
    <col min="11892" max="11892" width="16.6640625" style="107" customWidth="1"/>
    <col min="11893" max="11893" width="10.21875" style="107" customWidth="1"/>
    <col min="11894" max="11894" width="12.44140625" style="107" customWidth="1"/>
    <col min="11895" max="11895" width="10" style="107" bestFit="1" customWidth="1"/>
    <col min="11896" max="11896" width="8.77734375" style="107"/>
    <col min="11897" max="11897" width="9" style="107" bestFit="1" customWidth="1"/>
    <col min="11898" max="11899" width="8.77734375" style="107"/>
    <col min="11900" max="11900" width="11.6640625" style="107" customWidth="1"/>
    <col min="11901" max="11901" width="8.77734375" style="107"/>
    <col min="11902" max="11902" width="28.77734375" style="107" customWidth="1"/>
    <col min="11903" max="11903" width="12.33203125" style="107" customWidth="1"/>
    <col min="11904" max="11904" width="11.21875" style="107" customWidth="1"/>
    <col min="11905" max="12032" width="8.77734375" style="107"/>
    <col min="12033" max="12033" width="5.6640625" style="107" customWidth="1"/>
    <col min="12034" max="12034" width="26.5546875" style="107" customWidth="1"/>
    <col min="12035" max="12035" width="11.44140625" style="107" customWidth="1"/>
    <col min="12036" max="12036" width="7.44140625" style="107" customWidth="1"/>
    <col min="12037" max="12037" width="8.5546875" style="107" customWidth="1"/>
    <col min="12038" max="12038" width="12.33203125" style="107" customWidth="1"/>
    <col min="12039" max="12039" width="11.77734375" style="107" customWidth="1"/>
    <col min="12040" max="12040" width="8.21875" style="107" customWidth="1"/>
    <col min="12041" max="12041" width="12" style="107" customWidth="1"/>
    <col min="12042" max="12042" width="8.77734375" style="107" customWidth="1"/>
    <col min="12043" max="12043" width="11.109375" style="107" customWidth="1"/>
    <col min="12044" max="12044" width="12.88671875" style="107" customWidth="1"/>
    <col min="12045" max="12045" width="12.5546875" style="107" customWidth="1"/>
    <col min="12046" max="12046" width="9.6640625" style="107" customWidth="1"/>
    <col min="12047" max="12047" width="9.88671875" style="107" customWidth="1"/>
    <col min="12048" max="12048" width="11.33203125" style="107" customWidth="1"/>
    <col min="12049" max="12049" width="11.5546875" style="107" customWidth="1"/>
    <col min="12050" max="12050" width="11.6640625" style="107" customWidth="1"/>
    <col min="12051" max="12051" width="10.33203125" style="107" customWidth="1"/>
    <col min="12052" max="12052" width="11.77734375" style="107" customWidth="1"/>
    <col min="12053" max="12053" width="12.109375" style="107" customWidth="1"/>
    <col min="12054" max="12054" width="11" style="107" customWidth="1"/>
    <col min="12055" max="12055" width="12.109375" style="107" customWidth="1"/>
    <col min="12056" max="12056" width="10.5546875" style="107" customWidth="1"/>
    <col min="12057" max="12057" width="9.88671875" style="107" customWidth="1"/>
    <col min="12058" max="12058" width="10.77734375" style="107" customWidth="1"/>
    <col min="12059" max="12059" width="9.77734375" style="107" customWidth="1"/>
    <col min="12060" max="12060" width="11.21875" style="107" customWidth="1"/>
    <col min="12061" max="12061" width="10.33203125" style="107" customWidth="1"/>
    <col min="12062" max="12062" width="11.88671875" style="107" customWidth="1"/>
    <col min="12063" max="12063" width="8.77734375" style="107"/>
    <col min="12064" max="12064" width="13.88671875" style="107" customWidth="1"/>
    <col min="12065" max="12065" width="10.88671875" style="107" customWidth="1"/>
    <col min="12066" max="12066" width="11.44140625" style="107" customWidth="1"/>
    <col min="12067" max="12067" width="11.77734375" style="107" customWidth="1"/>
    <col min="12068" max="12068" width="11.109375" style="107" customWidth="1"/>
    <col min="12069" max="12069" width="10.88671875" style="107" customWidth="1"/>
    <col min="12070" max="12073" width="8.77734375" style="107"/>
    <col min="12074" max="12074" width="11.44140625" style="107" bestFit="1" customWidth="1"/>
    <col min="12075" max="12075" width="10.21875" style="107" customWidth="1"/>
    <col min="12076" max="12076" width="11.5546875" style="107" customWidth="1"/>
    <col min="12077" max="12077" width="12.109375" style="107" customWidth="1"/>
    <col min="12078" max="12078" width="13.21875" style="107" customWidth="1"/>
    <col min="12079" max="12079" width="14.109375" style="107" customWidth="1"/>
    <col min="12080" max="12080" width="11.77734375" style="107" customWidth="1"/>
    <col min="12081" max="12081" width="9.6640625" style="107" customWidth="1"/>
    <col min="12082" max="12085" width="8.77734375" style="107"/>
    <col min="12086" max="12086" width="28.77734375" style="107" customWidth="1"/>
    <col min="12087" max="12087" width="11.77734375" style="107" customWidth="1"/>
    <col min="12088" max="12088" width="10" style="107" customWidth="1"/>
    <col min="12089" max="12089" width="10.44140625" style="107" customWidth="1"/>
    <col min="12090" max="12091" width="8.77734375" style="107"/>
    <col min="12092" max="12092" width="9.33203125" style="107" customWidth="1"/>
    <col min="12093" max="12093" width="18.44140625" style="107" customWidth="1"/>
    <col min="12094" max="12094" width="11" style="107" customWidth="1"/>
    <col min="12095" max="12095" width="9.5546875" style="107" customWidth="1"/>
    <col min="12096" max="12096" width="10.6640625" style="107" customWidth="1"/>
    <col min="12097" max="12097" width="9.88671875" style="107" customWidth="1"/>
    <col min="12098" max="12098" width="11.44140625" style="107" customWidth="1"/>
    <col min="12099" max="12099" width="9.88671875" style="107" customWidth="1"/>
    <col min="12100" max="12100" width="10" style="107" customWidth="1"/>
    <col min="12101" max="12101" width="6.77734375" style="107" customWidth="1"/>
    <col min="12102" max="12102" width="12.5546875" style="107" customWidth="1"/>
    <col min="12103" max="12103" width="9.5546875" style="107" customWidth="1"/>
    <col min="12104" max="12104" width="10.33203125" style="107" customWidth="1"/>
    <col min="12105" max="12105" width="7.77734375" style="107" customWidth="1"/>
    <col min="12106" max="12106" width="7.21875" style="107" customWidth="1"/>
    <col min="12107" max="12107" width="17.6640625" style="107" customWidth="1"/>
    <col min="12108" max="12108" width="8.77734375" style="107" customWidth="1"/>
    <col min="12109" max="12109" width="13.109375" style="107" bestFit="1" customWidth="1"/>
    <col min="12110" max="12110" width="13.77734375" style="107" customWidth="1"/>
    <col min="12111" max="12112" width="8.77734375" style="107"/>
    <col min="12113" max="12113" width="9" style="107" bestFit="1" customWidth="1"/>
    <col min="12114" max="12122" width="8.77734375" style="107"/>
    <col min="12123" max="12123" width="13.109375" style="107" customWidth="1"/>
    <col min="12124" max="12124" width="8.77734375" style="107"/>
    <col min="12125" max="12125" width="9.88671875" style="107" customWidth="1"/>
    <col min="12126" max="12129" width="8.77734375" style="107"/>
    <col min="12130" max="12130" width="8.5546875" style="107" customWidth="1"/>
    <col min="12131" max="12131" width="30.33203125" style="107" customWidth="1"/>
    <col min="12132" max="12132" width="9" style="107" bestFit="1" customWidth="1"/>
    <col min="12133" max="12133" width="8.77734375" style="107"/>
    <col min="12134" max="12134" width="5.88671875" style="107" customWidth="1"/>
    <col min="12135" max="12135" width="6.88671875" style="107" customWidth="1"/>
    <col min="12136" max="12136" width="23.88671875" style="107" customWidth="1"/>
    <col min="12137" max="12143" width="8.77734375" style="107"/>
    <col min="12144" max="12144" width="9" style="107" bestFit="1" customWidth="1"/>
    <col min="12145" max="12146" width="8.77734375" style="107"/>
    <col min="12147" max="12147" width="32.88671875" style="107" customWidth="1"/>
    <col min="12148" max="12148" width="16.6640625" style="107" customWidth="1"/>
    <col min="12149" max="12149" width="10.21875" style="107" customWidth="1"/>
    <col min="12150" max="12150" width="12.44140625" style="107" customWidth="1"/>
    <col min="12151" max="12151" width="10" style="107" bestFit="1" customWidth="1"/>
    <col min="12152" max="12152" width="8.77734375" style="107"/>
    <col min="12153" max="12153" width="9" style="107" bestFit="1" customWidth="1"/>
    <col min="12154" max="12155" width="8.77734375" style="107"/>
    <col min="12156" max="12156" width="11.6640625" style="107" customWidth="1"/>
    <col min="12157" max="12157" width="8.77734375" style="107"/>
    <col min="12158" max="12158" width="28.77734375" style="107" customWidth="1"/>
    <col min="12159" max="12159" width="12.33203125" style="107" customWidth="1"/>
    <col min="12160" max="12160" width="11.21875" style="107" customWidth="1"/>
    <col min="12161" max="12288" width="8.77734375" style="107"/>
    <col min="12289" max="12289" width="5.6640625" style="107" customWidth="1"/>
    <col min="12290" max="12290" width="26.5546875" style="107" customWidth="1"/>
    <col min="12291" max="12291" width="11.44140625" style="107" customWidth="1"/>
    <col min="12292" max="12292" width="7.44140625" style="107" customWidth="1"/>
    <col min="12293" max="12293" width="8.5546875" style="107" customWidth="1"/>
    <col min="12294" max="12294" width="12.33203125" style="107" customWidth="1"/>
    <col min="12295" max="12295" width="11.77734375" style="107" customWidth="1"/>
    <col min="12296" max="12296" width="8.21875" style="107" customWidth="1"/>
    <col min="12297" max="12297" width="12" style="107" customWidth="1"/>
    <col min="12298" max="12298" width="8.77734375" style="107" customWidth="1"/>
    <col min="12299" max="12299" width="11.109375" style="107" customWidth="1"/>
    <col min="12300" max="12300" width="12.88671875" style="107" customWidth="1"/>
    <col min="12301" max="12301" width="12.5546875" style="107" customWidth="1"/>
    <col min="12302" max="12302" width="9.6640625" style="107" customWidth="1"/>
    <col min="12303" max="12303" width="9.88671875" style="107" customWidth="1"/>
    <col min="12304" max="12304" width="11.33203125" style="107" customWidth="1"/>
    <col min="12305" max="12305" width="11.5546875" style="107" customWidth="1"/>
    <col min="12306" max="12306" width="11.6640625" style="107" customWidth="1"/>
    <col min="12307" max="12307" width="10.33203125" style="107" customWidth="1"/>
    <col min="12308" max="12308" width="11.77734375" style="107" customWidth="1"/>
    <col min="12309" max="12309" width="12.109375" style="107" customWidth="1"/>
    <col min="12310" max="12310" width="11" style="107" customWidth="1"/>
    <col min="12311" max="12311" width="12.109375" style="107" customWidth="1"/>
    <col min="12312" max="12312" width="10.5546875" style="107" customWidth="1"/>
    <col min="12313" max="12313" width="9.88671875" style="107" customWidth="1"/>
    <col min="12314" max="12314" width="10.77734375" style="107" customWidth="1"/>
    <col min="12315" max="12315" width="9.77734375" style="107" customWidth="1"/>
    <col min="12316" max="12316" width="11.21875" style="107" customWidth="1"/>
    <col min="12317" max="12317" width="10.33203125" style="107" customWidth="1"/>
    <col min="12318" max="12318" width="11.88671875" style="107" customWidth="1"/>
    <col min="12319" max="12319" width="8.77734375" style="107"/>
    <col min="12320" max="12320" width="13.88671875" style="107" customWidth="1"/>
    <col min="12321" max="12321" width="10.88671875" style="107" customWidth="1"/>
    <col min="12322" max="12322" width="11.44140625" style="107" customWidth="1"/>
    <col min="12323" max="12323" width="11.77734375" style="107" customWidth="1"/>
    <col min="12324" max="12324" width="11.109375" style="107" customWidth="1"/>
    <col min="12325" max="12325" width="10.88671875" style="107" customWidth="1"/>
    <col min="12326" max="12329" width="8.77734375" style="107"/>
    <col min="12330" max="12330" width="11.44140625" style="107" bestFit="1" customWidth="1"/>
    <col min="12331" max="12331" width="10.21875" style="107" customWidth="1"/>
    <col min="12332" max="12332" width="11.5546875" style="107" customWidth="1"/>
    <col min="12333" max="12333" width="12.109375" style="107" customWidth="1"/>
    <col min="12334" max="12334" width="13.21875" style="107" customWidth="1"/>
    <col min="12335" max="12335" width="14.109375" style="107" customWidth="1"/>
    <col min="12336" max="12336" width="11.77734375" style="107" customWidth="1"/>
    <col min="12337" max="12337" width="9.6640625" style="107" customWidth="1"/>
    <col min="12338" max="12341" width="8.77734375" style="107"/>
    <col min="12342" max="12342" width="28.77734375" style="107" customWidth="1"/>
    <col min="12343" max="12343" width="11.77734375" style="107" customWidth="1"/>
    <col min="12344" max="12344" width="10" style="107" customWidth="1"/>
    <col min="12345" max="12345" width="10.44140625" style="107" customWidth="1"/>
    <col min="12346" max="12347" width="8.77734375" style="107"/>
    <col min="12348" max="12348" width="9.33203125" style="107" customWidth="1"/>
    <col min="12349" max="12349" width="18.44140625" style="107" customWidth="1"/>
    <col min="12350" max="12350" width="11" style="107" customWidth="1"/>
    <col min="12351" max="12351" width="9.5546875" style="107" customWidth="1"/>
    <col min="12352" max="12352" width="10.6640625" style="107" customWidth="1"/>
    <col min="12353" max="12353" width="9.88671875" style="107" customWidth="1"/>
    <col min="12354" max="12354" width="11.44140625" style="107" customWidth="1"/>
    <col min="12355" max="12355" width="9.88671875" style="107" customWidth="1"/>
    <col min="12356" max="12356" width="10" style="107" customWidth="1"/>
    <col min="12357" max="12357" width="6.77734375" style="107" customWidth="1"/>
    <col min="12358" max="12358" width="12.5546875" style="107" customWidth="1"/>
    <col min="12359" max="12359" width="9.5546875" style="107" customWidth="1"/>
    <col min="12360" max="12360" width="10.33203125" style="107" customWidth="1"/>
    <col min="12361" max="12361" width="7.77734375" style="107" customWidth="1"/>
    <col min="12362" max="12362" width="7.21875" style="107" customWidth="1"/>
    <col min="12363" max="12363" width="17.6640625" style="107" customWidth="1"/>
    <col min="12364" max="12364" width="8.77734375" style="107" customWidth="1"/>
    <col min="12365" max="12365" width="13.109375" style="107" bestFit="1" customWidth="1"/>
    <col min="12366" max="12366" width="13.77734375" style="107" customWidth="1"/>
    <col min="12367" max="12368" width="8.77734375" style="107"/>
    <col min="12369" max="12369" width="9" style="107" bestFit="1" customWidth="1"/>
    <col min="12370" max="12378" width="8.77734375" style="107"/>
    <col min="12379" max="12379" width="13.109375" style="107" customWidth="1"/>
    <col min="12380" max="12380" width="8.77734375" style="107"/>
    <col min="12381" max="12381" width="9.88671875" style="107" customWidth="1"/>
    <col min="12382" max="12385" width="8.77734375" style="107"/>
    <col min="12386" max="12386" width="8.5546875" style="107" customWidth="1"/>
    <col min="12387" max="12387" width="30.33203125" style="107" customWidth="1"/>
    <col min="12388" max="12388" width="9" style="107" bestFit="1" customWidth="1"/>
    <col min="12389" max="12389" width="8.77734375" style="107"/>
    <col min="12390" max="12390" width="5.88671875" style="107" customWidth="1"/>
    <col min="12391" max="12391" width="6.88671875" style="107" customWidth="1"/>
    <col min="12392" max="12392" width="23.88671875" style="107" customWidth="1"/>
    <col min="12393" max="12399" width="8.77734375" style="107"/>
    <col min="12400" max="12400" width="9" style="107" bestFit="1" customWidth="1"/>
    <col min="12401" max="12402" width="8.77734375" style="107"/>
    <col min="12403" max="12403" width="32.88671875" style="107" customWidth="1"/>
    <col min="12404" max="12404" width="16.6640625" style="107" customWidth="1"/>
    <col min="12405" max="12405" width="10.21875" style="107" customWidth="1"/>
    <col min="12406" max="12406" width="12.44140625" style="107" customWidth="1"/>
    <col min="12407" max="12407" width="10" style="107" bestFit="1" customWidth="1"/>
    <col min="12408" max="12408" width="8.77734375" style="107"/>
    <col min="12409" max="12409" width="9" style="107" bestFit="1" customWidth="1"/>
    <col min="12410" max="12411" width="8.77734375" style="107"/>
    <col min="12412" max="12412" width="11.6640625" style="107" customWidth="1"/>
    <col min="12413" max="12413" width="8.77734375" style="107"/>
    <col min="12414" max="12414" width="28.77734375" style="107" customWidth="1"/>
    <col min="12415" max="12415" width="12.33203125" style="107" customWidth="1"/>
    <col min="12416" max="12416" width="11.21875" style="107" customWidth="1"/>
    <col min="12417" max="12544" width="8.77734375" style="107"/>
    <col min="12545" max="12545" width="5.6640625" style="107" customWidth="1"/>
    <col min="12546" max="12546" width="26.5546875" style="107" customWidth="1"/>
    <col min="12547" max="12547" width="11.44140625" style="107" customWidth="1"/>
    <col min="12548" max="12548" width="7.44140625" style="107" customWidth="1"/>
    <col min="12549" max="12549" width="8.5546875" style="107" customWidth="1"/>
    <col min="12550" max="12550" width="12.33203125" style="107" customWidth="1"/>
    <col min="12551" max="12551" width="11.77734375" style="107" customWidth="1"/>
    <col min="12552" max="12552" width="8.21875" style="107" customWidth="1"/>
    <col min="12553" max="12553" width="12" style="107" customWidth="1"/>
    <col min="12554" max="12554" width="8.77734375" style="107" customWidth="1"/>
    <col min="12555" max="12555" width="11.109375" style="107" customWidth="1"/>
    <col min="12556" max="12556" width="12.88671875" style="107" customWidth="1"/>
    <col min="12557" max="12557" width="12.5546875" style="107" customWidth="1"/>
    <col min="12558" max="12558" width="9.6640625" style="107" customWidth="1"/>
    <col min="12559" max="12559" width="9.88671875" style="107" customWidth="1"/>
    <col min="12560" max="12560" width="11.33203125" style="107" customWidth="1"/>
    <col min="12561" max="12561" width="11.5546875" style="107" customWidth="1"/>
    <col min="12562" max="12562" width="11.6640625" style="107" customWidth="1"/>
    <col min="12563" max="12563" width="10.33203125" style="107" customWidth="1"/>
    <col min="12564" max="12564" width="11.77734375" style="107" customWidth="1"/>
    <col min="12565" max="12565" width="12.109375" style="107" customWidth="1"/>
    <col min="12566" max="12566" width="11" style="107" customWidth="1"/>
    <col min="12567" max="12567" width="12.109375" style="107" customWidth="1"/>
    <col min="12568" max="12568" width="10.5546875" style="107" customWidth="1"/>
    <col min="12569" max="12569" width="9.88671875" style="107" customWidth="1"/>
    <col min="12570" max="12570" width="10.77734375" style="107" customWidth="1"/>
    <col min="12571" max="12571" width="9.77734375" style="107" customWidth="1"/>
    <col min="12572" max="12572" width="11.21875" style="107" customWidth="1"/>
    <col min="12573" max="12573" width="10.33203125" style="107" customWidth="1"/>
    <col min="12574" max="12574" width="11.88671875" style="107" customWidth="1"/>
    <col min="12575" max="12575" width="8.77734375" style="107"/>
    <col min="12576" max="12576" width="13.88671875" style="107" customWidth="1"/>
    <col min="12577" max="12577" width="10.88671875" style="107" customWidth="1"/>
    <col min="12578" max="12578" width="11.44140625" style="107" customWidth="1"/>
    <col min="12579" max="12579" width="11.77734375" style="107" customWidth="1"/>
    <col min="12580" max="12580" width="11.109375" style="107" customWidth="1"/>
    <col min="12581" max="12581" width="10.88671875" style="107" customWidth="1"/>
    <col min="12582" max="12585" width="8.77734375" style="107"/>
    <col min="12586" max="12586" width="11.44140625" style="107" bestFit="1" customWidth="1"/>
    <col min="12587" max="12587" width="10.21875" style="107" customWidth="1"/>
    <col min="12588" max="12588" width="11.5546875" style="107" customWidth="1"/>
    <col min="12589" max="12589" width="12.109375" style="107" customWidth="1"/>
    <col min="12590" max="12590" width="13.21875" style="107" customWidth="1"/>
    <col min="12591" max="12591" width="14.109375" style="107" customWidth="1"/>
    <col min="12592" max="12592" width="11.77734375" style="107" customWidth="1"/>
    <col min="12593" max="12593" width="9.6640625" style="107" customWidth="1"/>
    <col min="12594" max="12597" width="8.77734375" style="107"/>
    <col min="12598" max="12598" width="28.77734375" style="107" customWidth="1"/>
    <col min="12599" max="12599" width="11.77734375" style="107" customWidth="1"/>
    <col min="12600" max="12600" width="10" style="107" customWidth="1"/>
    <col min="12601" max="12601" width="10.44140625" style="107" customWidth="1"/>
    <col min="12602" max="12603" width="8.77734375" style="107"/>
    <col min="12604" max="12604" width="9.33203125" style="107" customWidth="1"/>
    <col min="12605" max="12605" width="18.44140625" style="107" customWidth="1"/>
    <col min="12606" max="12606" width="11" style="107" customWidth="1"/>
    <col min="12607" max="12607" width="9.5546875" style="107" customWidth="1"/>
    <col min="12608" max="12608" width="10.6640625" style="107" customWidth="1"/>
    <col min="12609" max="12609" width="9.88671875" style="107" customWidth="1"/>
    <col min="12610" max="12610" width="11.44140625" style="107" customWidth="1"/>
    <col min="12611" max="12611" width="9.88671875" style="107" customWidth="1"/>
    <col min="12612" max="12612" width="10" style="107" customWidth="1"/>
    <col min="12613" max="12613" width="6.77734375" style="107" customWidth="1"/>
    <col min="12614" max="12614" width="12.5546875" style="107" customWidth="1"/>
    <col min="12615" max="12615" width="9.5546875" style="107" customWidth="1"/>
    <col min="12616" max="12616" width="10.33203125" style="107" customWidth="1"/>
    <col min="12617" max="12617" width="7.77734375" style="107" customWidth="1"/>
    <col min="12618" max="12618" width="7.21875" style="107" customWidth="1"/>
    <col min="12619" max="12619" width="17.6640625" style="107" customWidth="1"/>
    <col min="12620" max="12620" width="8.77734375" style="107" customWidth="1"/>
    <col min="12621" max="12621" width="13.109375" style="107" bestFit="1" customWidth="1"/>
    <col min="12622" max="12622" width="13.77734375" style="107" customWidth="1"/>
    <col min="12623" max="12624" width="8.77734375" style="107"/>
    <col min="12625" max="12625" width="9" style="107" bestFit="1" customWidth="1"/>
    <col min="12626" max="12634" width="8.77734375" style="107"/>
    <col min="12635" max="12635" width="13.109375" style="107" customWidth="1"/>
    <col min="12636" max="12636" width="8.77734375" style="107"/>
    <col min="12637" max="12637" width="9.88671875" style="107" customWidth="1"/>
    <col min="12638" max="12641" width="8.77734375" style="107"/>
    <col min="12642" max="12642" width="8.5546875" style="107" customWidth="1"/>
    <col min="12643" max="12643" width="30.33203125" style="107" customWidth="1"/>
    <col min="12644" max="12644" width="9" style="107" bestFit="1" customWidth="1"/>
    <col min="12645" max="12645" width="8.77734375" style="107"/>
    <col min="12646" max="12646" width="5.88671875" style="107" customWidth="1"/>
    <col min="12647" max="12647" width="6.88671875" style="107" customWidth="1"/>
    <col min="12648" max="12648" width="23.88671875" style="107" customWidth="1"/>
    <col min="12649" max="12655" width="8.77734375" style="107"/>
    <col min="12656" max="12656" width="9" style="107" bestFit="1" customWidth="1"/>
    <col min="12657" max="12658" width="8.77734375" style="107"/>
    <col min="12659" max="12659" width="32.88671875" style="107" customWidth="1"/>
    <col min="12660" max="12660" width="16.6640625" style="107" customWidth="1"/>
    <col min="12661" max="12661" width="10.21875" style="107" customWidth="1"/>
    <col min="12662" max="12662" width="12.44140625" style="107" customWidth="1"/>
    <col min="12663" max="12663" width="10" style="107" bestFit="1" customWidth="1"/>
    <col min="12664" max="12664" width="8.77734375" style="107"/>
    <col min="12665" max="12665" width="9" style="107" bestFit="1" customWidth="1"/>
    <col min="12666" max="12667" width="8.77734375" style="107"/>
    <col min="12668" max="12668" width="11.6640625" style="107" customWidth="1"/>
    <col min="12669" max="12669" width="8.77734375" style="107"/>
    <col min="12670" max="12670" width="28.77734375" style="107" customWidth="1"/>
    <col min="12671" max="12671" width="12.33203125" style="107" customWidth="1"/>
    <col min="12672" max="12672" width="11.21875" style="107" customWidth="1"/>
    <col min="12673" max="12800" width="8.77734375" style="107"/>
    <col min="12801" max="12801" width="5.6640625" style="107" customWidth="1"/>
    <col min="12802" max="12802" width="26.5546875" style="107" customWidth="1"/>
    <col min="12803" max="12803" width="11.44140625" style="107" customWidth="1"/>
    <col min="12804" max="12804" width="7.44140625" style="107" customWidth="1"/>
    <col min="12805" max="12805" width="8.5546875" style="107" customWidth="1"/>
    <col min="12806" max="12806" width="12.33203125" style="107" customWidth="1"/>
    <col min="12807" max="12807" width="11.77734375" style="107" customWidth="1"/>
    <col min="12808" max="12808" width="8.21875" style="107" customWidth="1"/>
    <col min="12809" max="12809" width="12" style="107" customWidth="1"/>
    <col min="12810" max="12810" width="8.77734375" style="107" customWidth="1"/>
    <col min="12811" max="12811" width="11.109375" style="107" customWidth="1"/>
    <col min="12812" max="12812" width="12.88671875" style="107" customWidth="1"/>
    <col min="12813" max="12813" width="12.5546875" style="107" customWidth="1"/>
    <col min="12814" max="12814" width="9.6640625" style="107" customWidth="1"/>
    <col min="12815" max="12815" width="9.88671875" style="107" customWidth="1"/>
    <col min="12816" max="12816" width="11.33203125" style="107" customWidth="1"/>
    <col min="12817" max="12817" width="11.5546875" style="107" customWidth="1"/>
    <col min="12818" max="12818" width="11.6640625" style="107" customWidth="1"/>
    <col min="12819" max="12819" width="10.33203125" style="107" customWidth="1"/>
    <col min="12820" max="12820" width="11.77734375" style="107" customWidth="1"/>
    <col min="12821" max="12821" width="12.109375" style="107" customWidth="1"/>
    <col min="12822" max="12822" width="11" style="107" customWidth="1"/>
    <col min="12823" max="12823" width="12.109375" style="107" customWidth="1"/>
    <col min="12824" max="12824" width="10.5546875" style="107" customWidth="1"/>
    <col min="12825" max="12825" width="9.88671875" style="107" customWidth="1"/>
    <col min="12826" max="12826" width="10.77734375" style="107" customWidth="1"/>
    <col min="12827" max="12827" width="9.77734375" style="107" customWidth="1"/>
    <col min="12828" max="12828" width="11.21875" style="107" customWidth="1"/>
    <col min="12829" max="12829" width="10.33203125" style="107" customWidth="1"/>
    <col min="12830" max="12830" width="11.88671875" style="107" customWidth="1"/>
    <col min="12831" max="12831" width="8.77734375" style="107"/>
    <col min="12832" max="12832" width="13.88671875" style="107" customWidth="1"/>
    <col min="12833" max="12833" width="10.88671875" style="107" customWidth="1"/>
    <col min="12834" max="12834" width="11.44140625" style="107" customWidth="1"/>
    <col min="12835" max="12835" width="11.77734375" style="107" customWidth="1"/>
    <col min="12836" max="12836" width="11.109375" style="107" customWidth="1"/>
    <col min="12837" max="12837" width="10.88671875" style="107" customWidth="1"/>
    <col min="12838" max="12841" width="8.77734375" style="107"/>
    <col min="12842" max="12842" width="11.44140625" style="107" bestFit="1" customWidth="1"/>
    <col min="12843" max="12843" width="10.21875" style="107" customWidth="1"/>
    <col min="12844" max="12844" width="11.5546875" style="107" customWidth="1"/>
    <col min="12845" max="12845" width="12.109375" style="107" customWidth="1"/>
    <col min="12846" max="12846" width="13.21875" style="107" customWidth="1"/>
    <col min="12847" max="12847" width="14.109375" style="107" customWidth="1"/>
    <col min="12848" max="12848" width="11.77734375" style="107" customWidth="1"/>
    <col min="12849" max="12849" width="9.6640625" style="107" customWidth="1"/>
    <col min="12850" max="12853" width="8.77734375" style="107"/>
    <col min="12854" max="12854" width="28.77734375" style="107" customWidth="1"/>
    <col min="12855" max="12855" width="11.77734375" style="107" customWidth="1"/>
    <col min="12856" max="12856" width="10" style="107" customWidth="1"/>
    <col min="12857" max="12857" width="10.44140625" style="107" customWidth="1"/>
    <col min="12858" max="12859" width="8.77734375" style="107"/>
    <col min="12860" max="12860" width="9.33203125" style="107" customWidth="1"/>
    <col min="12861" max="12861" width="18.44140625" style="107" customWidth="1"/>
    <col min="12862" max="12862" width="11" style="107" customWidth="1"/>
    <col min="12863" max="12863" width="9.5546875" style="107" customWidth="1"/>
    <col min="12864" max="12864" width="10.6640625" style="107" customWidth="1"/>
    <col min="12865" max="12865" width="9.88671875" style="107" customWidth="1"/>
    <col min="12866" max="12866" width="11.44140625" style="107" customWidth="1"/>
    <col min="12867" max="12867" width="9.88671875" style="107" customWidth="1"/>
    <col min="12868" max="12868" width="10" style="107" customWidth="1"/>
    <col min="12869" max="12869" width="6.77734375" style="107" customWidth="1"/>
    <col min="12870" max="12870" width="12.5546875" style="107" customWidth="1"/>
    <col min="12871" max="12871" width="9.5546875" style="107" customWidth="1"/>
    <col min="12872" max="12872" width="10.33203125" style="107" customWidth="1"/>
    <col min="12873" max="12873" width="7.77734375" style="107" customWidth="1"/>
    <col min="12874" max="12874" width="7.21875" style="107" customWidth="1"/>
    <col min="12875" max="12875" width="17.6640625" style="107" customWidth="1"/>
    <col min="12876" max="12876" width="8.77734375" style="107" customWidth="1"/>
    <col min="12877" max="12877" width="13.109375" style="107" bestFit="1" customWidth="1"/>
    <col min="12878" max="12878" width="13.77734375" style="107" customWidth="1"/>
    <col min="12879" max="12880" width="8.77734375" style="107"/>
    <col min="12881" max="12881" width="9" style="107" bestFit="1" customWidth="1"/>
    <col min="12882" max="12890" width="8.77734375" style="107"/>
    <col min="12891" max="12891" width="13.109375" style="107" customWidth="1"/>
    <col min="12892" max="12892" width="8.77734375" style="107"/>
    <col min="12893" max="12893" width="9.88671875" style="107" customWidth="1"/>
    <col min="12894" max="12897" width="8.77734375" style="107"/>
    <col min="12898" max="12898" width="8.5546875" style="107" customWidth="1"/>
    <col min="12899" max="12899" width="30.33203125" style="107" customWidth="1"/>
    <col min="12900" max="12900" width="9" style="107" bestFit="1" customWidth="1"/>
    <col min="12901" max="12901" width="8.77734375" style="107"/>
    <col min="12902" max="12902" width="5.88671875" style="107" customWidth="1"/>
    <col min="12903" max="12903" width="6.88671875" style="107" customWidth="1"/>
    <col min="12904" max="12904" width="23.88671875" style="107" customWidth="1"/>
    <col min="12905" max="12911" width="8.77734375" style="107"/>
    <col min="12912" max="12912" width="9" style="107" bestFit="1" customWidth="1"/>
    <col min="12913" max="12914" width="8.77734375" style="107"/>
    <col min="12915" max="12915" width="32.88671875" style="107" customWidth="1"/>
    <col min="12916" max="12916" width="16.6640625" style="107" customWidth="1"/>
    <col min="12917" max="12917" width="10.21875" style="107" customWidth="1"/>
    <col min="12918" max="12918" width="12.44140625" style="107" customWidth="1"/>
    <col min="12919" max="12919" width="10" style="107" bestFit="1" customWidth="1"/>
    <col min="12920" max="12920" width="8.77734375" style="107"/>
    <col min="12921" max="12921" width="9" style="107" bestFit="1" customWidth="1"/>
    <col min="12922" max="12923" width="8.77734375" style="107"/>
    <col min="12924" max="12924" width="11.6640625" style="107" customWidth="1"/>
    <col min="12925" max="12925" width="8.77734375" style="107"/>
    <col min="12926" max="12926" width="28.77734375" style="107" customWidth="1"/>
    <col min="12927" max="12927" width="12.33203125" style="107" customWidth="1"/>
    <col min="12928" max="12928" width="11.21875" style="107" customWidth="1"/>
    <col min="12929" max="13056" width="8.77734375" style="107"/>
    <col min="13057" max="13057" width="5.6640625" style="107" customWidth="1"/>
    <col min="13058" max="13058" width="26.5546875" style="107" customWidth="1"/>
    <col min="13059" max="13059" width="11.44140625" style="107" customWidth="1"/>
    <col min="13060" max="13060" width="7.44140625" style="107" customWidth="1"/>
    <col min="13061" max="13061" width="8.5546875" style="107" customWidth="1"/>
    <col min="13062" max="13062" width="12.33203125" style="107" customWidth="1"/>
    <col min="13063" max="13063" width="11.77734375" style="107" customWidth="1"/>
    <col min="13064" max="13064" width="8.21875" style="107" customWidth="1"/>
    <col min="13065" max="13065" width="12" style="107" customWidth="1"/>
    <col min="13066" max="13066" width="8.77734375" style="107" customWidth="1"/>
    <col min="13067" max="13067" width="11.109375" style="107" customWidth="1"/>
    <col min="13068" max="13068" width="12.88671875" style="107" customWidth="1"/>
    <col min="13069" max="13069" width="12.5546875" style="107" customWidth="1"/>
    <col min="13070" max="13070" width="9.6640625" style="107" customWidth="1"/>
    <col min="13071" max="13071" width="9.88671875" style="107" customWidth="1"/>
    <col min="13072" max="13072" width="11.33203125" style="107" customWidth="1"/>
    <col min="13073" max="13073" width="11.5546875" style="107" customWidth="1"/>
    <col min="13074" max="13074" width="11.6640625" style="107" customWidth="1"/>
    <col min="13075" max="13075" width="10.33203125" style="107" customWidth="1"/>
    <col min="13076" max="13076" width="11.77734375" style="107" customWidth="1"/>
    <col min="13077" max="13077" width="12.109375" style="107" customWidth="1"/>
    <col min="13078" max="13078" width="11" style="107" customWidth="1"/>
    <col min="13079" max="13079" width="12.109375" style="107" customWidth="1"/>
    <col min="13080" max="13080" width="10.5546875" style="107" customWidth="1"/>
    <col min="13081" max="13081" width="9.88671875" style="107" customWidth="1"/>
    <col min="13082" max="13082" width="10.77734375" style="107" customWidth="1"/>
    <col min="13083" max="13083" width="9.77734375" style="107" customWidth="1"/>
    <col min="13084" max="13084" width="11.21875" style="107" customWidth="1"/>
    <col min="13085" max="13085" width="10.33203125" style="107" customWidth="1"/>
    <col min="13086" max="13086" width="11.88671875" style="107" customWidth="1"/>
    <col min="13087" max="13087" width="8.77734375" style="107"/>
    <col min="13088" max="13088" width="13.88671875" style="107" customWidth="1"/>
    <col min="13089" max="13089" width="10.88671875" style="107" customWidth="1"/>
    <col min="13090" max="13090" width="11.44140625" style="107" customWidth="1"/>
    <col min="13091" max="13091" width="11.77734375" style="107" customWidth="1"/>
    <col min="13092" max="13092" width="11.109375" style="107" customWidth="1"/>
    <col min="13093" max="13093" width="10.88671875" style="107" customWidth="1"/>
    <col min="13094" max="13097" width="8.77734375" style="107"/>
    <col min="13098" max="13098" width="11.44140625" style="107" bestFit="1" customWidth="1"/>
    <col min="13099" max="13099" width="10.21875" style="107" customWidth="1"/>
    <col min="13100" max="13100" width="11.5546875" style="107" customWidth="1"/>
    <col min="13101" max="13101" width="12.109375" style="107" customWidth="1"/>
    <col min="13102" max="13102" width="13.21875" style="107" customWidth="1"/>
    <col min="13103" max="13103" width="14.109375" style="107" customWidth="1"/>
    <col min="13104" max="13104" width="11.77734375" style="107" customWidth="1"/>
    <col min="13105" max="13105" width="9.6640625" style="107" customWidth="1"/>
    <col min="13106" max="13109" width="8.77734375" style="107"/>
    <col min="13110" max="13110" width="28.77734375" style="107" customWidth="1"/>
    <col min="13111" max="13111" width="11.77734375" style="107" customWidth="1"/>
    <col min="13112" max="13112" width="10" style="107" customWidth="1"/>
    <col min="13113" max="13113" width="10.44140625" style="107" customWidth="1"/>
    <col min="13114" max="13115" width="8.77734375" style="107"/>
    <col min="13116" max="13116" width="9.33203125" style="107" customWidth="1"/>
    <col min="13117" max="13117" width="18.44140625" style="107" customWidth="1"/>
    <col min="13118" max="13118" width="11" style="107" customWidth="1"/>
    <col min="13119" max="13119" width="9.5546875" style="107" customWidth="1"/>
    <col min="13120" max="13120" width="10.6640625" style="107" customWidth="1"/>
    <col min="13121" max="13121" width="9.88671875" style="107" customWidth="1"/>
    <col min="13122" max="13122" width="11.44140625" style="107" customWidth="1"/>
    <col min="13123" max="13123" width="9.88671875" style="107" customWidth="1"/>
    <col min="13124" max="13124" width="10" style="107" customWidth="1"/>
    <col min="13125" max="13125" width="6.77734375" style="107" customWidth="1"/>
    <col min="13126" max="13126" width="12.5546875" style="107" customWidth="1"/>
    <col min="13127" max="13127" width="9.5546875" style="107" customWidth="1"/>
    <col min="13128" max="13128" width="10.33203125" style="107" customWidth="1"/>
    <col min="13129" max="13129" width="7.77734375" style="107" customWidth="1"/>
    <col min="13130" max="13130" width="7.21875" style="107" customWidth="1"/>
    <col min="13131" max="13131" width="17.6640625" style="107" customWidth="1"/>
    <col min="13132" max="13132" width="8.77734375" style="107" customWidth="1"/>
    <col min="13133" max="13133" width="13.109375" style="107" bestFit="1" customWidth="1"/>
    <col min="13134" max="13134" width="13.77734375" style="107" customWidth="1"/>
    <col min="13135" max="13136" width="8.77734375" style="107"/>
    <col min="13137" max="13137" width="9" style="107" bestFit="1" customWidth="1"/>
    <col min="13138" max="13146" width="8.77734375" style="107"/>
    <col min="13147" max="13147" width="13.109375" style="107" customWidth="1"/>
    <col min="13148" max="13148" width="8.77734375" style="107"/>
    <col min="13149" max="13149" width="9.88671875" style="107" customWidth="1"/>
    <col min="13150" max="13153" width="8.77734375" style="107"/>
    <col min="13154" max="13154" width="8.5546875" style="107" customWidth="1"/>
    <col min="13155" max="13155" width="30.33203125" style="107" customWidth="1"/>
    <col min="13156" max="13156" width="9" style="107" bestFit="1" customWidth="1"/>
    <col min="13157" max="13157" width="8.77734375" style="107"/>
    <col min="13158" max="13158" width="5.88671875" style="107" customWidth="1"/>
    <col min="13159" max="13159" width="6.88671875" style="107" customWidth="1"/>
    <col min="13160" max="13160" width="23.88671875" style="107" customWidth="1"/>
    <col min="13161" max="13167" width="8.77734375" style="107"/>
    <col min="13168" max="13168" width="9" style="107" bestFit="1" customWidth="1"/>
    <col min="13169" max="13170" width="8.77734375" style="107"/>
    <col min="13171" max="13171" width="32.88671875" style="107" customWidth="1"/>
    <col min="13172" max="13172" width="16.6640625" style="107" customWidth="1"/>
    <col min="13173" max="13173" width="10.21875" style="107" customWidth="1"/>
    <col min="13174" max="13174" width="12.44140625" style="107" customWidth="1"/>
    <col min="13175" max="13175" width="10" style="107" bestFit="1" customWidth="1"/>
    <col min="13176" max="13176" width="8.77734375" style="107"/>
    <col min="13177" max="13177" width="9" style="107" bestFit="1" customWidth="1"/>
    <col min="13178" max="13179" width="8.77734375" style="107"/>
    <col min="13180" max="13180" width="11.6640625" style="107" customWidth="1"/>
    <col min="13181" max="13181" width="8.77734375" style="107"/>
    <col min="13182" max="13182" width="28.77734375" style="107" customWidth="1"/>
    <col min="13183" max="13183" width="12.33203125" style="107" customWidth="1"/>
    <col min="13184" max="13184" width="11.21875" style="107" customWidth="1"/>
    <col min="13185" max="13312" width="8.77734375" style="107"/>
    <col min="13313" max="13313" width="5.6640625" style="107" customWidth="1"/>
    <col min="13314" max="13314" width="26.5546875" style="107" customWidth="1"/>
    <col min="13315" max="13315" width="11.44140625" style="107" customWidth="1"/>
    <col min="13316" max="13316" width="7.44140625" style="107" customWidth="1"/>
    <col min="13317" max="13317" width="8.5546875" style="107" customWidth="1"/>
    <col min="13318" max="13318" width="12.33203125" style="107" customWidth="1"/>
    <col min="13319" max="13319" width="11.77734375" style="107" customWidth="1"/>
    <col min="13320" max="13320" width="8.21875" style="107" customWidth="1"/>
    <col min="13321" max="13321" width="12" style="107" customWidth="1"/>
    <col min="13322" max="13322" width="8.77734375" style="107" customWidth="1"/>
    <col min="13323" max="13323" width="11.109375" style="107" customWidth="1"/>
    <col min="13324" max="13324" width="12.88671875" style="107" customWidth="1"/>
    <col min="13325" max="13325" width="12.5546875" style="107" customWidth="1"/>
    <col min="13326" max="13326" width="9.6640625" style="107" customWidth="1"/>
    <col min="13327" max="13327" width="9.88671875" style="107" customWidth="1"/>
    <col min="13328" max="13328" width="11.33203125" style="107" customWidth="1"/>
    <col min="13329" max="13329" width="11.5546875" style="107" customWidth="1"/>
    <col min="13330" max="13330" width="11.6640625" style="107" customWidth="1"/>
    <col min="13331" max="13331" width="10.33203125" style="107" customWidth="1"/>
    <col min="13332" max="13332" width="11.77734375" style="107" customWidth="1"/>
    <col min="13333" max="13333" width="12.109375" style="107" customWidth="1"/>
    <col min="13334" max="13334" width="11" style="107" customWidth="1"/>
    <col min="13335" max="13335" width="12.109375" style="107" customWidth="1"/>
    <col min="13336" max="13336" width="10.5546875" style="107" customWidth="1"/>
    <col min="13337" max="13337" width="9.88671875" style="107" customWidth="1"/>
    <col min="13338" max="13338" width="10.77734375" style="107" customWidth="1"/>
    <col min="13339" max="13339" width="9.77734375" style="107" customWidth="1"/>
    <col min="13340" max="13340" width="11.21875" style="107" customWidth="1"/>
    <col min="13341" max="13341" width="10.33203125" style="107" customWidth="1"/>
    <col min="13342" max="13342" width="11.88671875" style="107" customWidth="1"/>
    <col min="13343" max="13343" width="8.77734375" style="107"/>
    <col min="13344" max="13344" width="13.88671875" style="107" customWidth="1"/>
    <col min="13345" max="13345" width="10.88671875" style="107" customWidth="1"/>
    <col min="13346" max="13346" width="11.44140625" style="107" customWidth="1"/>
    <col min="13347" max="13347" width="11.77734375" style="107" customWidth="1"/>
    <col min="13348" max="13348" width="11.109375" style="107" customWidth="1"/>
    <col min="13349" max="13349" width="10.88671875" style="107" customWidth="1"/>
    <col min="13350" max="13353" width="8.77734375" style="107"/>
    <col min="13354" max="13354" width="11.44140625" style="107" bestFit="1" customWidth="1"/>
    <col min="13355" max="13355" width="10.21875" style="107" customWidth="1"/>
    <col min="13356" max="13356" width="11.5546875" style="107" customWidth="1"/>
    <col min="13357" max="13357" width="12.109375" style="107" customWidth="1"/>
    <col min="13358" max="13358" width="13.21875" style="107" customWidth="1"/>
    <col min="13359" max="13359" width="14.109375" style="107" customWidth="1"/>
    <col min="13360" max="13360" width="11.77734375" style="107" customWidth="1"/>
    <col min="13361" max="13361" width="9.6640625" style="107" customWidth="1"/>
    <col min="13362" max="13365" width="8.77734375" style="107"/>
    <col min="13366" max="13366" width="28.77734375" style="107" customWidth="1"/>
    <col min="13367" max="13367" width="11.77734375" style="107" customWidth="1"/>
    <col min="13368" max="13368" width="10" style="107" customWidth="1"/>
    <col min="13369" max="13369" width="10.44140625" style="107" customWidth="1"/>
    <col min="13370" max="13371" width="8.77734375" style="107"/>
    <col min="13372" max="13372" width="9.33203125" style="107" customWidth="1"/>
    <col min="13373" max="13373" width="18.44140625" style="107" customWidth="1"/>
    <col min="13374" max="13374" width="11" style="107" customWidth="1"/>
    <col min="13375" max="13375" width="9.5546875" style="107" customWidth="1"/>
    <col min="13376" max="13376" width="10.6640625" style="107" customWidth="1"/>
    <col min="13377" max="13377" width="9.88671875" style="107" customWidth="1"/>
    <col min="13378" max="13378" width="11.44140625" style="107" customWidth="1"/>
    <col min="13379" max="13379" width="9.88671875" style="107" customWidth="1"/>
    <col min="13380" max="13380" width="10" style="107" customWidth="1"/>
    <col min="13381" max="13381" width="6.77734375" style="107" customWidth="1"/>
    <col min="13382" max="13382" width="12.5546875" style="107" customWidth="1"/>
    <col min="13383" max="13383" width="9.5546875" style="107" customWidth="1"/>
    <col min="13384" max="13384" width="10.33203125" style="107" customWidth="1"/>
    <col min="13385" max="13385" width="7.77734375" style="107" customWidth="1"/>
    <col min="13386" max="13386" width="7.21875" style="107" customWidth="1"/>
    <col min="13387" max="13387" width="17.6640625" style="107" customWidth="1"/>
    <col min="13388" max="13388" width="8.77734375" style="107" customWidth="1"/>
    <col min="13389" max="13389" width="13.109375" style="107" bestFit="1" customWidth="1"/>
    <col min="13390" max="13390" width="13.77734375" style="107" customWidth="1"/>
    <col min="13391" max="13392" width="8.77734375" style="107"/>
    <col min="13393" max="13393" width="9" style="107" bestFit="1" customWidth="1"/>
    <col min="13394" max="13402" width="8.77734375" style="107"/>
    <col min="13403" max="13403" width="13.109375" style="107" customWidth="1"/>
    <col min="13404" max="13404" width="8.77734375" style="107"/>
    <col min="13405" max="13405" width="9.88671875" style="107" customWidth="1"/>
    <col min="13406" max="13409" width="8.77734375" style="107"/>
    <col min="13410" max="13410" width="8.5546875" style="107" customWidth="1"/>
    <col min="13411" max="13411" width="30.33203125" style="107" customWidth="1"/>
    <col min="13412" max="13412" width="9" style="107" bestFit="1" customWidth="1"/>
    <col min="13413" max="13413" width="8.77734375" style="107"/>
    <col min="13414" max="13414" width="5.88671875" style="107" customWidth="1"/>
    <col min="13415" max="13415" width="6.88671875" style="107" customWidth="1"/>
    <col min="13416" max="13416" width="23.88671875" style="107" customWidth="1"/>
    <col min="13417" max="13423" width="8.77734375" style="107"/>
    <col min="13424" max="13424" width="9" style="107" bestFit="1" customWidth="1"/>
    <col min="13425" max="13426" width="8.77734375" style="107"/>
    <col min="13427" max="13427" width="32.88671875" style="107" customWidth="1"/>
    <col min="13428" max="13428" width="16.6640625" style="107" customWidth="1"/>
    <col min="13429" max="13429" width="10.21875" style="107" customWidth="1"/>
    <col min="13430" max="13430" width="12.44140625" style="107" customWidth="1"/>
    <col min="13431" max="13431" width="10" style="107" bestFit="1" customWidth="1"/>
    <col min="13432" max="13432" width="8.77734375" style="107"/>
    <col min="13433" max="13433" width="9" style="107" bestFit="1" customWidth="1"/>
    <col min="13434" max="13435" width="8.77734375" style="107"/>
    <col min="13436" max="13436" width="11.6640625" style="107" customWidth="1"/>
    <col min="13437" max="13437" width="8.77734375" style="107"/>
    <col min="13438" max="13438" width="28.77734375" style="107" customWidth="1"/>
    <col min="13439" max="13439" width="12.33203125" style="107" customWidth="1"/>
    <col min="13440" max="13440" width="11.21875" style="107" customWidth="1"/>
    <col min="13441" max="13568" width="8.77734375" style="107"/>
    <col min="13569" max="13569" width="5.6640625" style="107" customWidth="1"/>
    <col min="13570" max="13570" width="26.5546875" style="107" customWidth="1"/>
    <col min="13571" max="13571" width="11.44140625" style="107" customWidth="1"/>
    <col min="13572" max="13572" width="7.44140625" style="107" customWidth="1"/>
    <col min="13573" max="13573" width="8.5546875" style="107" customWidth="1"/>
    <col min="13574" max="13574" width="12.33203125" style="107" customWidth="1"/>
    <col min="13575" max="13575" width="11.77734375" style="107" customWidth="1"/>
    <col min="13576" max="13576" width="8.21875" style="107" customWidth="1"/>
    <col min="13577" max="13577" width="12" style="107" customWidth="1"/>
    <col min="13578" max="13578" width="8.77734375" style="107" customWidth="1"/>
    <col min="13579" max="13579" width="11.109375" style="107" customWidth="1"/>
    <col min="13580" max="13580" width="12.88671875" style="107" customWidth="1"/>
    <col min="13581" max="13581" width="12.5546875" style="107" customWidth="1"/>
    <col min="13582" max="13582" width="9.6640625" style="107" customWidth="1"/>
    <col min="13583" max="13583" width="9.88671875" style="107" customWidth="1"/>
    <col min="13584" max="13584" width="11.33203125" style="107" customWidth="1"/>
    <col min="13585" max="13585" width="11.5546875" style="107" customWidth="1"/>
    <col min="13586" max="13586" width="11.6640625" style="107" customWidth="1"/>
    <col min="13587" max="13587" width="10.33203125" style="107" customWidth="1"/>
    <col min="13588" max="13588" width="11.77734375" style="107" customWidth="1"/>
    <col min="13589" max="13589" width="12.109375" style="107" customWidth="1"/>
    <col min="13590" max="13590" width="11" style="107" customWidth="1"/>
    <col min="13591" max="13591" width="12.109375" style="107" customWidth="1"/>
    <col min="13592" max="13592" width="10.5546875" style="107" customWidth="1"/>
    <col min="13593" max="13593" width="9.88671875" style="107" customWidth="1"/>
    <col min="13594" max="13594" width="10.77734375" style="107" customWidth="1"/>
    <col min="13595" max="13595" width="9.77734375" style="107" customWidth="1"/>
    <col min="13596" max="13596" width="11.21875" style="107" customWidth="1"/>
    <col min="13597" max="13597" width="10.33203125" style="107" customWidth="1"/>
    <col min="13598" max="13598" width="11.88671875" style="107" customWidth="1"/>
    <col min="13599" max="13599" width="8.77734375" style="107"/>
    <col min="13600" max="13600" width="13.88671875" style="107" customWidth="1"/>
    <col min="13601" max="13601" width="10.88671875" style="107" customWidth="1"/>
    <col min="13602" max="13602" width="11.44140625" style="107" customWidth="1"/>
    <col min="13603" max="13603" width="11.77734375" style="107" customWidth="1"/>
    <col min="13604" max="13604" width="11.109375" style="107" customWidth="1"/>
    <col min="13605" max="13605" width="10.88671875" style="107" customWidth="1"/>
    <col min="13606" max="13609" width="8.77734375" style="107"/>
    <col min="13610" max="13610" width="11.44140625" style="107" bestFit="1" customWidth="1"/>
    <col min="13611" max="13611" width="10.21875" style="107" customWidth="1"/>
    <col min="13612" max="13612" width="11.5546875" style="107" customWidth="1"/>
    <col min="13613" max="13613" width="12.109375" style="107" customWidth="1"/>
    <col min="13614" max="13614" width="13.21875" style="107" customWidth="1"/>
    <col min="13615" max="13615" width="14.109375" style="107" customWidth="1"/>
    <col min="13616" max="13616" width="11.77734375" style="107" customWidth="1"/>
    <col min="13617" max="13617" width="9.6640625" style="107" customWidth="1"/>
    <col min="13618" max="13621" width="8.77734375" style="107"/>
    <col min="13622" max="13622" width="28.77734375" style="107" customWidth="1"/>
    <col min="13623" max="13623" width="11.77734375" style="107" customWidth="1"/>
    <col min="13624" max="13624" width="10" style="107" customWidth="1"/>
    <col min="13625" max="13625" width="10.44140625" style="107" customWidth="1"/>
    <col min="13626" max="13627" width="8.77734375" style="107"/>
    <col min="13628" max="13628" width="9.33203125" style="107" customWidth="1"/>
    <col min="13629" max="13629" width="18.44140625" style="107" customWidth="1"/>
    <col min="13630" max="13630" width="11" style="107" customWidth="1"/>
    <col min="13631" max="13631" width="9.5546875" style="107" customWidth="1"/>
    <col min="13632" max="13632" width="10.6640625" style="107" customWidth="1"/>
    <col min="13633" max="13633" width="9.88671875" style="107" customWidth="1"/>
    <col min="13634" max="13634" width="11.44140625" style="107" customWidth="1"/>
    <col min="13635" max="13635" width="9.88671875" style="107" customWidth="1"/>
    <col min="13636" max="13636" width="10" style="107" customWidth="1"/>
    <col min="13637" max="13637" width="6.77734375" style="107" customWidth="1"/>
    <col min="13638" max="13638" width="12.5546875" style="107" customWidth="1"/>
    <col min="13639" max="13639" width="9.5546875" style="107" customWidth="1"/>
    <col min="13640" max="13640" width="10.33203125" style="107" customWidth="1"/>
    <col min="13641" max="13641" width="7.77734375" style="107" customWidth="1"/>
    <col min="13642" max="13642" width="7.21875" style="107" customWidth="1"/>
    <col min="13643" max="13643" width="17.6640625" style="107" customWidth="1"/>
    <col min="13644" max="13644" width="8.77734375" style="107" customWidth="1"/>
    <col min="13645" max="13645" width="13.109375" style="107" bestFit="1" customWidth="1"/>
    <col min="13646" max="13646" width="13.77734375" style="107" customWidth="1"/>
    <col min="13647" max="13648" width="8.77734375" style="107"/>
    <col min="13649" max="13649" width="9" style="107" bestFit="1" customWidth="1"/>
    <col min="13650" max="13658" width="8.77734375" style="107"/>
    <col min="13659" max="13659" width="13.109375" style="107" customWidth="1"/>
    <col min="13660" max="13660" width="8.77734375" style="107"/>
    <col min="13661" max="13661" width="9.88671875" style="107" customWidth="1"/>
    <col min="13662" max="13665" width="8.77734375" style="107"/>
    <col min="13666" max="13666" width="8.5546875" style="107" customWidth="1"/>
    <col min="13667" max="13667" width="30.33203125" style="107" customWidth="1"/>
    <col min="13668" max="13668" width="9" style="107" bestFit="1" customWidth="1"/>
    <col min="13669" max="13669" width="8.77734375" style="107"/>
    <col min="13670" max="13670" width="5.88671875" style="107" customWidth="1"/>
    <col min="13671" max="13671" width="6.88671875" style="107" customWidth="1"/>
    <col min="13672" max="13672" width="23.88671875" style="107" customWidth="1"/>
    <col min="13673" max="13679" width="8.77734375" style="107"/>
    <col min="13680" max="13680" width="9" style="107" bestFit="1" customWidth="1"/>
    <col min="13681" max="13682" width="8.77734375" style="107"/>
    <col min="13683" max="13683" width="32.88671875" style="107" customWidth="1"/>
    <col min="13684" max="13684" width="16.6640625" style="107" customWidth="1"/>
    <col min="13685" max="13685" width="10.21875" style="107" customWidth="1"/>
    <col min="13686" max="13686" width="12.44140625" style="107" customWidth="1"/>
    <col min="13687" max="13687" width="10" style="107" bestFit="1" customWidth="1"/>
    <col min="13688" max="13688" width="8.77734375" style="107"/>
    <col min="13689" max="13689" width="9" style="107" bestFit="1" customWidth="1"/>
    <col min="13690" max="13691" width="8.77734375" style="107"/>
    <col min="13692" max="13692" width="11.6640625" style="107" customWidth="1"/>
    <col min="13693" max="13693" width="8.77734375" style="107"/>
    <col min="13694" max="13694" width="28.77734375" style="107" customWidth="1"/>
    <col min="13695" max="13695" width="12.33203125" style="107" customWidth="1"/>
    <col min="13696" max="13696" width="11.21875" style="107" customWidth="1"/>
    <col min="13697" max="13824" width="8.77734375" style="107"/>
    <col min="13825" max="13825" width="5.6640625" style="107" customWidth="1"/>
    <col min="13826" max="13826" width="26.5546875" style="107" customWidth="1"/>
    <col min="13827" max="13827" width="11.44140625" style="107" customWidth="1"/>
    <col min="13828" max="13828" width="7.44140625" style="107" customWidth="1"/>
    <col min="13829" max="13829" width="8.5546875" style="107" customWidth="1"/>
    <col min="13830" max="13830" width="12.33203125" style="107" customWidth="1"/>
    <col min="13831" max="13831" width="11.77734375" style="107" customWidth="1"/>
    <col min="13832" max="13832" width="8.21875" style="107" customWidth="1"/>
    <col min="13833" max="13833" width="12" style="107" customWidth="1"/>
    <col min="13834" max="13834" width="8.77734375" style="107" customWidth="1"/>
    <col min="13835" max="13835" width="11.109375" style="107" customWidth="1"/>
    <col min="13836" max="13836" width="12.88671875" style="107" customWidth="1"/>
    <col min="13837" max="13837" width="12.5546875" style="107" customWidth="1"/>
    <col min="13838" max="13838" width="9.6640625" style="107" customWidth="1"/>
    <col min="13839" max="13839" width="9.88671875" style="107" customWidth="1"/>
    <col min="13840" max="13840" width="11.33203125" style="107" customWidth="1"/>
    <col min="13841" max="13841" width="11.5546875" style="107" customWidth="1"/>
    <col min="13842" max="13842" width="11.6640625" style="107" customWidth="1"/>
    <col min="13843" max="13843" width="10.33203125" style="107" customWidth="1"/>
    <col min="13844" max="13844" width="11.77734375" style="107" customWidth="1"/>
    <col min="13845" max="13845" width="12.109375" style="107" customWidth="1"/>
    <col min="13846" max="13846" width="11" style="107" customWidth="1"/>
    <col min="13847" max="13847" width="12.109375" style="107" customWidth="1"/>
    <col min="13848" max="13848" width="10.5546875" style="107" customWidth="1"/>
    <col min="13849" max="13849" width="9.88671875" style="107" customWidth="1"/>
    <col min="13850" max="13850" width="10.77734375" style="107" customWidth="1"/>
    <col min="13851" max="13851" width="9.77734375" style="107" customWidth="1"/>
    <col min="13852" max="13852" width="11.21875" style="107" customWidth="1"/>
    <col min="13853" max="13853" width="10.33203125" style="107" customWidth="1"/>
    <col min="13854" max="13854" width="11.88671875" style="107" customWidth="1"/>
    <col min="13855" max="13855" width="8.77734375" style="107"/>
    <col min="13856" max="13856" width="13.88671875" style="107" customWidth="1"/>
    <col min="13857" max="13857" width="10.88671875" style="107" customWidth="1"/>
    <col min="13858" max="13858" width="11.44140625" style="107" customWidth="1"/>
    <col min="13859" max="13859" width="11.77734375" style="107" customWidth="1"/>
    <col min="13860" max="13860" width="11.109375" style="107" customWidth="1"/>
    <col min="13861" max="13861" width="10.88671875" style="107" customWidth="1"/>
    <col min="13862" max="13865" width="8.77734375" style="107"/>
    <col min="13866" max="13866" width="11.44140625" style="107" bestFit="1" customWidth="1"/>
    <col min="13867" max="13867" width="10.21875" style="107" customWidth="1"/>
    <col min="13868" max="13868" width="11.5546875" style="107" customWidth="1"/>
    <col min="13869" max="13869" width="12.109375" style="107" customWidth="1"/>
    <col min="13870" max="13870" width="13.21875" style="107" customWidth="1"/>
    <col min="13871" max="13871" width="14.109375" style="107" customWidth="1"/>
    <col min="13872" max="13872" width="11.77734375" style="107" customWidth="1"/>
    <col min="13873" max="13873" width="9.6640625" style="107" customWidth="1"/>
    <col min="13874" max="13877" width="8.77734375" style="107"/>
    <col min="13878" max="13878" width="28.77734375" style="107" customWidth="1"/>
    <col min="13879" max="13879" width="11.77734375" style="107" customWidth="1"/>
    <col min="13880" max="13880" width="10" style="107" customWidth="1"/>
    <col min="13881" max="13881" width="10.44140625" style="107" customWidth="1"/>
    <col min="13882" max="13883" width="8.77734375" style="107"/>
    <col min="13884" max="13884" width="9.33203125" style="107" customWidth="1"/>
    <col min="13885" max="13885" width="18.44140625" style="107" customWidth="1"/>
    <col min="13886" max="13886" width="11" style="107" customWidth="1"/>
    <col min="13887" max="13887" width="9.5546875" style="107" customWidth="1"/>
    <col min="13888" max="13888" width="10.6640625" style="107" customWidth="1"/>
    <col min="13889" max="13889" width="9.88671875" style="107" customWidth="1"/>
    <col min="13890" max="13890" width="11.44140625" style="107" customWidth="1"/>
    <col min="13891" max="13891" width="9.88671875" style="107" customWidth="1"/>
    <col min="13892" max="13892" width="10" style="107" customWidth="1"/>
    <col min="13893" max="13893" width="6.77734375" style="107" customWidth="1"/>
    <col min="13894" max="13894" width="12.5546875" style="107" customWidth="1"/>
    <col min="13895" max="13895" width="9.5546875" style="107" customWidth="1"/>
    <col min="13896" max="13896" width="10.33203125" style="107" customWidth="1"/>
    <col min="13897" max="13897" width="7.77734375" style="107" customWidth="1"/>
    <col min="13898" max="13898" width="7.21875" style="107" customWidth="1"/>
    <col min="13899" max="13899" width="17.6640625" style="107" customWidth="1"/>
    <col min="13900" max="13900" width="8.77734375" style="107" customWidth="1"/>
    <col min="13901" max="13901" width="13.109375" style="107" bestFit="1" customWidth="1"/>
    <col min="13902" max="13902" width="13.77734375" style="107" customWidth="1"/>
    <col min="13903" max="13904" width="8.77734375" style="107"/>
    <col min="13905" max="13905" width="9" style="107" bestFit="1" customWidth="1"/>
    <col min="13906" max="13914" width="8.77734375" style="107"/>
    <col min="13915" max="13915" width="13.109375" style="107" customWidth="1"/>
    <col min="13916" max="13916" width="8.77734375" style="107"/>
    <col min="13917" max="13917" width="9.88671875" style="107" customWidth="1"/>
    <col min="13918" max="13921" width="8.77734375" style="107"/>
    <col min="13922" max="13922" width="8.5546875" style="107" customWidth="1"/>
    <col min="13923" max="13923" width="30.33203125" style="107" customWidth="1"/>
    <col min="13924" max="13924" width="9" style="107" bestFit="1" customWidth="1"/>
    <col min="13925" max="13925" width="8.77734375" style="107"/>
    <col min="13926" max="13926" width="5.88671875" style="107" customWidth="1"/>
    <col min="13927" max="13927" width="6.88671875" style="107" customWidth="1"/>
    <col min="13928" max="13928" width="23.88671875" style="107" customWidth="1"/>
    <col min="13929" max="13935" width="8.77734375" style="107"/>
    <col min="13936" max="13936" width="9" style="107" bestFit="1" customWidth="1"/>
    <col min="13937" max="13938" width="8.77734375" style="107"/>
    <col min="13939" max="13939" width="32.88671875" style="107" customWidth="1"/>
    <col min="13940" max="13940" width="16.6640625" style="107" customWidth="1"/>
    <col min="13941" max="13941" width="10.21875" style="107" customWidth="1"/>
    <col min="13942" max="13942" width="12.44140625" style="107" customWidth="1"/>
    <col min="13943" max="13943" width="10" style="107" bestFit="1" customWidth="1"/>
    <col min="13944" max="13944" width="8.77734375" style="107"/>
    <col min="13945" max="13945" width="9" style="107" bestFit="1" customWidth="1"/>
    <col min="13946" max="13947" width="8.77734375" style="107"/>
    <col min="13948" max="13948" width="11.6640625" style="107" customWidth="1"/>
    <col min="13949" max="13949" width="8.77734375" style="107"/>
    <col min="13950" max="13950" width="28.77734375" style="107" customWidth="1"/>
    <col min="13951" max="13951" width="12.33203125" style="107" customWidth="1"/>
    <col min="13952" max="13952" width="11.21875" style="107" customWidth="1"/>
    <col min="13953" max="14080" width="8.77734375" style="107"/>
    <col min="14081" max="14081" width="5.6640625" style="107" customWidth="1"/>
    <col min="14082" max="14082" width="26.5546875" style="107" customWidth="1"/>
    <col min="14083" max="14083" width="11.44140625" style="107" customWidth="1"/>
    <col min="14084" max="14084" width="7.44140625" style="107" customWidth="1"/>
    <col min="14085" max="14085" width="8.5546875" style="107" customWidth="1"/>
    <col min="14086" max="14086" width="12.33203125" style="107" customWidth="1"/>
    <col min="14087" max="14087" width="11.77734375" style="107" customWidth="1"/>
    <col min="14088" max="14088" width="8.21875" style="107" customWidth="1"/>
    <col min="14089" max="14089" width="12" style="107" customWidth="1"/>
    <col min="14090" max="14090" width="8.77734375" style="107" customWidth="1"/>
    <col min="14091" max="14091" width="11.109375" style="107" customWidth="1"/>
    <col min="14092" max="14092" width="12.88671875" style="107" customWidth="1"/>
    <col min="14093" max="14093" width="12.5546875" style="107" customWidth="1"/>
    <col min="14094" max="14094" width="9.6640625" style="107" customWidth="1"/>
    <col min="14095" max="14095" width="9.88671875" style="107" customWidth="1"/>
    <col min="14096" max="14096" width="11.33203125" style="107" customWidth="1"/>
    <col min="14097" max="14097" width="11.5546875" style="107" customWidth="1"/>
    <col min="14098" max="14098" width="11.6640625" style="107" customWidth="1"/>
    <col min="14099" max="14099" width="10.33203125" style="107" customWidth="1"/>
    <col min="14100" max="14100" width="11.77734375" style="107" customWidth="1"/>
    <col min="14101" max="14101" width="12.109375" style="107" customWidth="1"/>
    <col min="14102" max="14102" width="11" style="107" customWidth="1"/>
    <col min="14103" max="14103" width="12.109375" style="107" customWidth="1"/>
    <col min="14104" max="14104" width="10.5546875" style="107" customWidth="1"/>
    <col min="14105" max="14105" width="9.88671875" style="107" customWidth="1"/>
    <col min="14106" max="14106" width="10.77734375" style="107" customWidth="1"/>
    <col min="14107" max="14107" width="9.77734375" style="107" customWidth="1"/>
    <col min="14108" max="14108" width="11.21875" style="107" customWidth="1"/>
    <col min="14109" max="14109" width="10.33203125" style="107" customWidth="1"/>
    <col min="14110" max="14110" width="11.88671875" style="107" customWidth="1"/>
    <col min="14111" max="14111" width="8.77734375" style="107"/>
    <col min="14112" max="14112" width="13.88671875" style="107" customWidth="1"/>
    <col min="14113" max="14113" width="10.88671875" style="107" customWidth="1"/>
    <col min="14114" max="14114" width="11.44140625" style="107" customWidth="1"/>
    <col min="14115" max="14115" width="11.77734375" style="107" customWidth="1"/>
    <col min="14116" max="14116" width="11.109375" style="107" customWidth="1"/>
    <col min="14117" max="14117" width="10.88671875" style="107" customWidth="1"/>
    <col min="14118" max="14121" width="8.77734375" style="107"/>
    <col min="14122" max="14122" width="11.44140625" style="107" bestFit="1" customWidth="1"/>
    <col min="14123" max="14123" width="10.21875" style="107" customWidth="1"/>
    <col min="14124" max="14124" width="11.5546875" style="107" customWidth="1"/>
    <col min="14125" max="14125" width="12.109375" style="107" customWidth="1"/>
    <col min="14126" max="14126" width="13.21875" style="107" customWidth="1"/>
    <col min="14127" max="14127" width="14.109375" style="107" customWidth="1"/>
    <col min="14128" max="14128" width="11.77734375" style="107" customWidth="1"/>
    <col min="14129" max="14129" width="9.6640625" style="107" customWidth="1"/>
    <col min="14130" max="14133" width="8.77734375" style="107"/>
    <col min="14134" max="14134" width="28.77734375" style="107" customWidth="1"/>
    <col min="14135" max="14135" width="11.77734375" style="107" customWidth="1"/>
    <col min="14136" max="14136" width="10" style="107" customWidth="1"/>
    <col min="14137" max="14137" width="10.44140625" style="107" customWidth="1"/>
    <col min="14138" max="14139" width="8.77734375" style="107"/>
    <col min="14140" max="14140" width="9.33203125" style="107" customWidth="1"/>
    <col min="14141" max="14141" width="18.44140625" style="107" customWidth="1"/>
    <col min="14142" max="14142" width="11" style="107" customWidth="1"/>
    <col min="14143" max="14143" width="9.5546875" style="107" customWidth="1"/>
    <col min="14144" max="14144" width="10.6640625" style="107" customWidth="1"/>
    <col min="14145" max="14145" width="9.88671875" style="107" customWidth="1"/>
    <col min="14146" max="14146" width="11.44140625" style="107" customWidth="1"/>
    <col min="14147" max="14147" width="9.88671875" style="107" customWidth="1"/>
    <col min="14148" max="14148" width="10" style="107" customWidth="1"/>
    <col min="14149" max="14149" width="6.77734375" style="107" customWidth="1"/>
    <col min="14150" max="14150" width="12.5546875" style="107" customWidth="1"/>
    <col min="14151" max="14151" width="9.5546875" style="107" customWidth="1"/>
    <col min="14152" max="14152" width="10.33203125" style="107" customWidth="1"/>
    <col min="14153" max="14153" width="7.77734375" style="107" customWidth="1"/>
    <col min="14154" max="14154" width="7.21875" style="107" customWidth="1"/>
    <col min="14155" max="14155" width="17.6640625" style="107" customWidth="1"/>
    <col min="14156" max="14156" width="8.77734375" style="107" customWidth="1"/>
    <col min="14157" max="14157" width="13.109375" style="107" bestFit="1" customWidth="1"/>
    <col min="14158" max="14158" width="13.77734375" style="107" customWidth="1"/>
    <col min="14159" max="14160" width="8.77734375" style="107"/>
    <col min="14161" max="14161" width="9" style="107" bestFit="1" customWidth="1"/>
    <col min="14162" max="14170" width="8.77734375" style="107"/>
    <col min="14171" max="14171" width="13.109375" style="107" customWidth="1"/>
    <col min="14172" max="14172" width="8.77734375" style="107"/>
    <col min="14173" max="14173" width="9.88671875" style="107" customWidth="1"/>
    <col min="14174" max="14177" width="8.77734375" style="107"/>
    <col min="14178" max="14178" width="8.5546875" style="107" customWidth="1"/>
    <col min="14179" max="14179" width="30.33203125" style="107" customWidth="1"/>
    <col min="14180" max="14180" width="9" style="107" bestFit="1" customWidth="1"/>
    <col min="14181" max="14181" width="8.77734375" style="107"/>
    <col min="14182" max="14182" width="5.88671875" style="107" customWidth="1"/>
    <col min="14183" max="14183" width="6.88671875" style="107" customWidth="1"/>
    <col min="14184" max="14184" width="23.88671875" style="107" customWidth="1"/>
    <col min="14185" max="14191" width="8.77734375" style="107"/>
    <col min="14192" max="14192" width="9" style="107" bestFit="1" customWidth="1"/>
    <col min="14193" max="14194" width="8.77734375" style="107"/>
    <col min="14195" max="14195" width="32.88671875" style="107" customWidth="1"/>
    <col min="14196" max="14196" width="16.6640625" style="107" customWidth="1"/>
    <col min="14197" max="14197" width="10.21875" style="107" customWidth="1"/>
    <col min="14198" max="14198" width="12.44140625" style="107" customWidth="1"/>
    <col min="14199" max="14199" width="10" style="107" bestFit="1" customWidth="1"/>
    <col min="14200" max="14200" width="8.77734375" style="107"/>
    <col min="14201" max="14201" width="9" style="107" bestFit="1" customWidth="1"/>
    <col min="14202" max="14203" width="8.77734375" style="107"/>
    <col min="14204" max="14204" width="11.6640625" style="107" customWidth="1"/>
    <col min="14205" max="14205" width="8.77734375" style="107"/>
    <col min="14206" max="14206" width="28.77734375" style="107" customWidth="1"/>
    <col min="14207" max="14207" width="12.33203125" style="107" customWidth="1"/>
    <col min="14208" max="14208" width="11.21875" style="107" customWidth="1"/>
    <col min="14209" max="14336" width="8.77734375" style="107"/>
    <col min="14337" max="14337" width="5.6640625" style="107" customWidth="1"/>
    <col min="14338" max="14338" width="26.5546875" style="107" customWidth="1"/>
    <col min="14339" max="14339" width="11.44140625" style="107" customWidth="1"/>
    <col min="14340" max="14340" width="7.44140625" style="107" customWidth="1"/>
    <col min="14341" max="14341" width="8.5546875" style="107" customWidth="1"/>
    <col min="14342" max="14342" width="12.33203125" style="107" customWidth="1"/>
    <col min="14343" max="14343" width="11.77734375" style="107" customWidth="1"/>
    <col min="14344" max="14344" width="8.21875" style="107" customWidth="1"/>
    <col min="14345" max="14345" width="12" style="107" customWidth="1"/>
    <col min="14346" max="14346" width="8.77734375" style="107" customWidth="1"/>
    <col min="14347" max="14347" width="11.109375" style="107" customWidth="1"/>
    <col min="14348" max="14348" width="12.88671875" style="107" customWidth="1"/>
    <col min="14349" max="14349" width="12.5546875" style="107" customWidth="1"/>
    <col min="14350" max="14350" width="9.6640625" style="107" customWidth="1"/>
    <col min="14351" max="14351" width="9.88671875" style="107" customWidth="1"/>
    <col min="14352" max="14352" width="11.33203125" style="107" customWidth="1"/>
    <col min="14353" max="14353" width="11.5546875" style="107" customWidth="1"/>
    <col min="14354" max="14354" width="11.6640625" style="107" customWidth="1"/>
    <col min="14355" max="14355" width="10.33203125" style="107" customWidth="1"/>
    <col min="14356" max="14356" width="11.77734375" style="107" customWidth="1"/>
    <col min="14357" max="14357" width="12.109375" style="107" customWidth="1"/>
    <col min="14358" max="14358" width="11" style="107" customWidth="1"/>
    <col min="14359" max="14359" width="12.109375" style="107" customWidth="1"/>
    <col min="14360" max="14360" width="10.5546875" style="107" customWidth="1"/>
    <col min="14361" max="14361" width="9.88671875" style="107" customWidth="1"/>
    <col min="14362" max="14362" width="10.77734375" style="107" customWidth="1"/>
    <col min="14363" max="14363" width="9.77734375" style="107" customWidth="1"/>
    <col min="14364" max="14364" width="11.21875" style="107" customWidth="1"/>
    <col min="14365" max="14365" width="10.33203125" style="107" customWidth="1"/>
    <col min="14366" max="14366" width="11.88671875" style="107" customWidth="1"/>
    <col min="14367" max="14367" width="8.77734375" style="107"/>
    <col min="14368" max="14368" width="13.88671875" style="107" customWidth="1"/>
    <col min="14369" max="14369" width="10.88671875" style="107" customWidth="1"/>
    <col min="14370" max="14370" width="11.44140625" style="107" customWidth="1"/>
    <col min="14371" max="14371" width="11.77734375" style="107" customWidth="1"/>
    <col min="14372" max="14372" width="11.109375" style="107" customWidth="1"/>
    <col min="14373" max="14373" width="10.88671875" style="107" customWidth="1"/>
    <col min="14374" max="14377" width="8.77734375" style="107"/>
    <col min="14378" max="14378" width="11.44140625" style="107" bestFit="1" customWidth="1"/>
    <col min="14379" max="14379" width="10.21875" style="107" customWidth="1"/>
    <col min="14380" max="14380" width="11.5546875" style="107" customWidth="1"/>
    <col min="14381" max="14381" width="12.109375" style="107" customWidth="1"/>
    <col min="14382" max="14382" width="13.21875" style="107" customWidth="1"/>
    <col min="14383" max="14383" width="14.109375" style="107" customWidth="1"/>
    <col min="14384" max="14384" width="11.77734375" style="107" customWidth="1"/>
    <col min="14385" max="14385" width="9.6640625" style="107" customWidth="1"/>
    <col min="14386" max="14389" width="8.77734375" style="107"/>
    <col min="14390" max="14390" width="28.77734375" style="107" customWidth="1"/>
    <col min="14391" max="14391" width="11.77734375" style="107" customWidth="1"/>
    <col min="14392" max="14392" width="10" style="107" customWidth="1"/>
    <col min="14393" max="14393" width="10.44140625" style="107" customWidth="1"/>
    <col min="14394" max="14395" width="8.77734375" style="107"/>
    <col min="14396" max="14396" width="9.33203125" style="107" customWidth="1"/>
    <col min="14397" max="14397" width="18.44140625" style="107" customWidth="1"/>
    <col min="14398" max="14398" width="11" style="107" customWidth="1"/>
    <col min="14399" max="14399" width="9.5546875" style="107" customWidth="1"/>
    <col min="14400" max="14400" width="10.6640625" style="107" customWidth="1"/>
    <col min="14401" max="14401" width="9.88671875" style="107" customWidth="1"/>
    <col min="14402" max="14402" width="11.44140625" style="107" customWidth="1"/>
    <col min="14403" max="14403" width="9.88671875" style="107" customWidth="1"/>
    <col min="14404" max="14404" width="10" style="107" customWidth="1"/>
    <col min="14405" max="14405" width="6.77734375" style="107" customWidth="1"/>
    <col min="14406" max="14406" width="12.5546875" style="107" customWidth="1"/>
    <col min="14407" max="14407" width="9.5546875" style="107" customWidth="1"/>
    <col min="14408" max="14408" width="10.33203125" style="107" customWidth="1"/>
    <col min="14409" max="14409" width="7.77734375" style="107" customWidth="1"/>
    <col min="14410" max="14410" width="7.21875" style="107" customWidth="1"/>
    <col min="14411" max="14411" width="17.6640625" style="107" customWidth="1"/>
    <col min="14412" max="14412" width="8.77734375" style="107" customWidth="1"/>
    <col min="14413" max="14413" width="13.109375" style="107" bestFit="1" customWidth="1"/>
    <col min="14414" max="14414" width="13.77734375" style="107" customWidth="1"/>
    <col min="14415" max="14416" width="8.77734375" style="107"/>
    <col min="14417" max="14417" width="9" style="107" bestFit="1" customWidth="1"/>
    <col min="14418" max="14426" width="8.77734375" style="107"/>
    <col min="14427" max="14427" width="13.109375" style="107" customWidth="1"/>
    <col min="14428" max="14428" width="8.77734375" style="107"/>
    <col min="14429" max="14429" width="9.88671875" style="107" customWidth="1"/>
    <col min="14430" max="14433" width="8.77734375" style="107"/>
    <col min="14434" max="14434" width="8.5546875" style="107" customWidth="1"/>
    <col min="14435" max="14435" width="30.33203125" style="107" customWidth="1"/>
    <col min="14436" max="14436" width="9" style="107" bestFit="1" customWidth="1"/>
    <col min="14437" max="14437" width="8.77734375" style="107"/>
    <col min="14438" max="14438" width="5.88671875" style="107" customWidth="1"/>
    <col min="14439" max="14439" width="6.88671875" style="107" customWidth="1"/>
    <col min="14440" max="14440" width="23.88671875" style="107" customWidth="1"/>
    <col min="14441" max="14447" width="8.77734375" style="107"/>
    <col min="14448" max="14448" width="9" style="107" bestFit="1" customWidth="1"/>
    <col min="14449" max="14450" width="8.77734375" style="107"/>
    <col min="14451" max="14451" width="32.88671875" style="107" customWidth="1"/>
    <col min="14452" max="14452" width="16.6640625" style="107" customWidth="1"/>
    <col min="14453" max="14453" width="10.21875" style="107" customWidth="1"/>
    <col min="14454" max="14454" width="12.44140625" style="107" customWidth="1"/>
    <col min="14455" max="14455" width="10" style="107" bestFit="1" customWidth="1"/>
    <col min="14456" max="14456" width="8.77734375" style="107"/>
    <col min="14457" max="14457" width="9" style="107" bestFit="1" customWidth="1"/>
    <col min="14458" max="14459" width="8.77734375" style="107"/>
    <col min="14460" max="14460" width="11.6640625" style="107" customWidth="1"/>
    <col min="14461" max="14461" width="8.77734375" style="107"/>
    <col min="14462" max="14462" width="28.77734375" style="107" customWidth="1"/>
    <col min="14463" max="14463" width="12.33203125" style="107" customWidth="1"/>
    <col min="14464" max="14464" width="11.21875" style="107" customWidth="1"/>
    <col min="14465" max="14592" width="8.77734375" style="107"/>
    <col min="14593" max="14593" width="5.6640625" style="107" customWidth="1"/>
    <col min="14594" max="14594" width="26.5546875" style="107" customWidth="1"/>
    <col min="14595" max="14595" width="11.44140625" style="107" customWidth="1"/>
    <col min="14596" max="14596" width="7.44140625" style="107" customWidth="1"/>
    <col min="14597" max="14597" width="8.5546875" style="107" customWidth="1"/>
    <col min="14598" max="14598" width="12.33203125" style="107" customWidth="1"/>
    <col min="14599" max="14599" width="11.77734375" style="107" customWidth="1"/>
    <col min="14600" max="14600" width="8.21875" style="107" customWidth="1"/>
    <col min="14601" max="14601" width="12" style="107" customWidth="1"/>
    <col min="14602" max="14602" width="8.77734375" style="107" customWidth="1"/>
    <col min="14603" max="14603" width="11.109375" style="107" customWidth="1"/>
    <col min="14604" max="14604" width="12.88671875" style="107" customWidth="1"/>
    <col min="14605" max="14605" width="12.5546875" style="107" customWidth="1"/>
    <col min="14606" max="14606" width="9.6640625" style="107" customWidth="1"/>
    <col min="14607" max="14607" width="9.88671875" style="107" customWidth="1"/>
    <col min="14608" max="14608" width="11.33203125" style="107" customWidth="1"/>
    <col min="14609" max="14609" width="11.5546875" style="107" customWidth="1"/>
    <col min="14610" max="14610" width="11.6640625" style="107" customWidth="1"/>
    <col min="14611" max="14611" width="10.33203125" style="107" customWidth="1"/>
    <col min="14612" max="14612" width="11.77734375" style="107" customWidth="1"/>
    <col min="14613" max="14613" width="12.109375" style="107" customWidth="1"/>
    <col min="14614" max="14614" width="11" style="107" customWidth="1"/>
    <col min="14615" max="14615" width="12.109375" style="107" customWidth="1"/>
    <col min="14616" max="14616" width="10.5546875" style="107" customWidth="1"/>
    <col min="14617" max="14617" width="9.88671875" style="107" customWidth="1"/>
    <col min="14618" max="14618" width="10.77734375" style="107" customWidth="1"/>
    <col min="14619" max="14619" width="9.77734375" style="107" customWidth="1"/>
    <col min="14620" max="14620" width="11.21875" style="107" customWidth="1"/>
    <col min="14621" max="14621" width="10.33203125" style="107" customWidth="1"/>
    <col min="14622" max="14622" width="11.88671875" style="107" customWidth="1"/>
    <col min="14623" max="14623" width="8.77734375" style="107"/>
    <col min="14624" max="14624" width="13.88671875" style="107" customWidth="1"/>
    <col min="14625" max="14625" width="10.88671875" style="107" customWidth="1"/>
    <col min="14626" max="14626" width="11.44140625" style="107" customWidth="1"/>
    <col min="14627" max="14627" width="11.77734375" style="107" customWidth="1"/>
    <col min="14628" max="14628" width="11.109375" style="107" customWidth="1"/>
    <col min="14629" max="14629" width="10.88671875" style="107" customWidth="1"/>
    <col min="14630" max="14633" width="8.77734375" style="107"/>
    <col min="14634" max="14634" width="11.44140625" style="107" bestFit="1" customWidth="1"/>
    <col min="14635" max="14635" width="10.21875" style="107" customWidth="1"/>
    <col min="14636" max="14636" width="11.5546875" style="107" customWidth="1"/>
    <col min="14637" max="14637" width="12.109375" style="107" customWidth="1"/>
    <col min="14638" max="14638" width="13.21875" style="107" customWidth="1"/>
    <col min="14639" max="14639" width="14.109375" style="107" customWidth="1"/>
    <col min="14640" max="14640" width="11.77734375" style="107" customWidth="1"/>
    <col min="14641" max="14641" width="9.6640625" style="107" customWidth="1"/>
    <col min="14642" max="14645" width="8.77734375" style="107"/>
    <col min="14646" max="14646" width="28.77734375" style="107" customWidth="1"/>
    <col min="14647" max="14647" width="11.77734375" style="107" customWidth="1"/>
    <col min="14648" max="14648" width="10" style="107" customWidth="1"/>
    <col min="14649" max="14649" width="10.44140625" style="107" customWidth="1"/>
    <col min="14650" max="14651" width="8.77734375" style="107"/>
    <col min="14652" max="14652" width="9.33203125" style="107" customWidth="1"/>
    <col min="14653" max="14653" width="18.44140625" style="107" customWidth="1"/>
    <col min="14654" max="14654" width="11" style="107" customWidth="1"/>
    <col min="14655" max="14655" width="9.5546875" style="107" customWidth="1"/>
    <col min="14656" max="14656" width="10.6640625" style="107" customWidth="1"/>
    <col min="14657" max="14657" width="9.88671875" style="107" customWidth="1"/>
    <col min="14658" max="14658" width="11.44140625" style="107" customWidth="1"/>
    <col min="14659" max="14659" width="9.88671875" style="107" customWidth="1"/>
    <col min="14660" max="14660" width="10" style="107" customWidth="1"/>
    <col min="14661" max="14661" width="6.77734375" style="107" customWidth="1"/>
    <col min="14662" max="14662" width="12.5546875" style="107" customWidth="1"/>
    <col min="14663" max="14663" width="9.5546875" style="107" customWidth="1"/>
    <col min="14664" max="14664" width="10.33203125" style="107" customWidth="1"/>
    <col min="14665" max="14665" width="7.77734375" style="107" customWidth="1"/>
    <col min="14666" max="14666" width="7.21875" style="107" customWidth="1"/>
    <col min="14667" max="14667" width="17.6640625" style="107" customWidth="1"/>
    <col min="14668" max="14668" width="8.77734375" style="107" customWidth="1"/>
    <col min="14669" max="14669" width="13.109375" style="107" bestFit="1" customWidth="1"/>
    <col min="14670" max="14670" width="13.77734375" style="107" customWidth="1"/>
    <col min="14671" max="14672" width="8.77734375" style="107"/>
    <col min="14673" max="14673" width="9" style="107" bestFit="1" customWidth="1"/>
    <col min="14674" max="14682" width="8.77734375" style="107"/>
    <col min="14683" max="14683" width="13.109375" style="107" customWidth="1"/>
    <col min="14684" max="14684" width="8.77734375" style="107"/>
    <col min="14685" max="14685" width="9.88671875" style="107" customWidth="1"/>
    <col min="14686" max="14689" width="8.77734375" style="107"/>
    <col min="14690" max="14690" width="8.5546875" style="107" customWidth="1"/>
    <col min="14691" max="14691" width="30.33203125" style="107" customWidth="1"/>
    <col min="14692" max="14692" width="9" style="107" bestFit="1" customWidth="1"/>
    <col min="14693" max="14693" width="8.77734375" style="107"/>
    <col min="14694" max="14694" width="5.88671875" style="107" customWidth="1"/>
    <col min="14695" max="14695" width="6.88671875" style="107" customWidth="1"/>
    <col min="14696" max="14696" width="23.88671875" style="107" customWidth="1"/>
    <col min="14697" max="14703" width="8.77734375" style="107"/>
    <col min="14704" max="14704" width="9" style="107" bestFit="1" customWidth="1"/>
    <col min="14705" max="14706" width="8.77734375" style="107"/>
    <col min="14707" max="14707" width="32.88671875" style="107" customWidth="1"/>
    <col min="14708" max="14708" width="16.6640625" style="107" customWidth="1"/>
    <col min="14709" max="14709" width="10.21875" style="107" customWidth="1"/>
    <col min="14710" max="14710" width="12.44140625" style="107" customWidth="1"/>
    <col min="14711" max="14711" width="10" style="107" bestFit="1" customWidth="1"/>
    <col min="14712" max="14712" width="8.77734375" style="107"/>
    <col min="14713" max="14713" width="9" style="107" bestFit="1" customWidth="1"/>
    <col min="14714" max="14715" width="8.77734375" style="107"/>
    <col min="14716" max="14716" width="11.6640625" style="107" customWidth="1"/>
    <col min="14717" max="14717" width="8.77734375" style="107"/>
    <col min="14718" max="14718" width="28.77734375" style="107" customWidth="1"/>
    <col min="14719" max="14719" width="12.33203125" style="107" customWidth="1"/>
    <col min="14720" max="14720" width="11.21875" style="107" customWidth="1"/>
    <col min="14721" max="14848" width="8.77734375" style="107"/>
    <col min="14849" max="14849" width="5.6640625" style="107" customWidth="1"/>
    <col min="14850" max="14850" width="26.5546875" style="107" customWidth="1"/>
    <col min="14851" max="14851" width="11.44140625" style="107" customWidth="1"/>
    <col min="14852" max="14852" width="7.44140625" style="107" customWidth="1"/>
    <col min="14853" max="14853" width="8.5546875" style="107" customWidth="1"/>
    <col min="14854" max="14854" width="12.33203125" style="107" customWidth="1"/>
    <col min="14855" max="14855" width="11.77734375" style="107" customWidth="1"/>
    <col min="14856" max="14856" width="8.21875" style="107" customWidth="1"/>
    <col min="14857" max="14857" width="12" style="107" customWidth="1"/>
    <col min="14858" max="14858" width="8.77734375" style="107" customWidth="1"/>
    <col min="14859" max="14859" width="11.109375" style="107" customWidth="1"/>
    <col min="14860" max="14860" width="12.88671875" style="107" customWidth="1"/>
    <col min="14861" max="14861" width="12.5546875" style="107" customWidth="1"/>
    <col min="14862" max="14862" width="9.6640625" style="107" customWidth="1"/>
    <col min="14863" max="14863" width="9.88671875" style="107" customWidth="1"/>
    <col min="14864" max="14864" width="11.33203125" style="107" customWidth="1"/>
    <col min="14865" max="14865" width="11.5546875" style="107" customWidth="1"/>
    <col min="14866" max="14866" width="11.6640625" style="107" customWidth="1"/>
    <col min="14867" max="14867" width="10.33203125" style="107" customWidth="1"/>
    <col min="14868" max="14868" width="11.77734375" style="107" customWidth="1"/>
    <col min="14869" max="14869" width="12.109375" style="107" customWidth="1"/>
    <col min="14870" max="14870" width="11" style="107" customWidth="1"/>
    <col min="14871" max="14871" width="12.109375" style="107" customWidth="1"/>
    <col min="14872" max="14872" width="10.5546875" style="107" customWidth="1"/>
    <col min="14873" max="14873" width="9.88671875" style="107" customWidth="1"/>
    <col min="14874" max="14874" width="10.77734375" style="107" customWidth="1"/>
    <col min="14875" max="14875" width="9.77734375" style="107" customWidth="1"/>
    <col min="14876" max="14876" width="11.21875" style="107" customWidth="1"/>
    <col min="14877" max="14877" width="10.33203125" style="107" customWidth="1"/>
    <col min="14878" max="14878" width="11.88671875" style="107" customWidth="1"/>
    <col min="14879" max="14879" width="8.77734375" style="107"/>
    <col min="14880" max="14880" width="13.88671875" style="107" customWidth="1"/>
    <col min="14881" max="14881" width="10.88671875" style="107" customWidth="1"/>
    <col min="14882" max="14882" width="11.44140625" style="107" customWidth="1"/>
    <col min="14883" max="14883" width="11.77734375" style="107" customWidth="1"/>
    <col min="14884" max="14884" width="11.109375" style="107" customWidth="1"/>
    <col min="14885" max="14885" width="10.88671875" style="107" customWidth="1"/>
    <col min="14886" max="14889" width="8.77734375" style="107"/>
    <col min="14890" max="14890" width="11.44140625" style="107" bestFit="1" customWidth="1"/>
    <col min="14891" max="14891" width="10.21875" style="107" customWidth="1"/>
    <col min="14892" max="14892" width="11.5546875" style="107" customWidth="1"/>
    <col min="14893" max="14893" width="12.109375" style="107" customWidth="1"/>
    <col min="14894" max="14894" width="13.21875" style="107" customWidth="1"/>
    <col min="14895" max="14895" width="14.109375" style="107" customWidth="1"/>
    <col min="14896" max="14896" width="11.77734375" style="107" customWidth="1"/>
    <col min="14897" max="14897" width="9.6640625" style="107" customWidth="1"/>
    <col min="14898" max="14901" width="8.77734375" style="107"/>
    <col min="14902" max="14902" width="28.77734375" style="107" customWidth="1"/>
    <col min="14903" max="14903" width="11.77734375" style="107" customWidth="1"/>
    <col min="14904" max="14904" width="10" style="107" customWidth="1"/>
    <col min="14905" max="14905" width="10.44140625" style="107" customWidth="1"/>
    <col min="14906" max="14907" width="8.77734375" style="107"/>
    <col min="14908" max="14908" width="9.33203125" style="107" customWidth="1"/>
    <col min="14909" max="14909" width="18.44140625" style="107" customWidth="1"/>
    <col min="14910" max="14910" width="11" style="107" customWidth="1"/>
    <col min="14911" max="14911" width="9.5546875" style="107" customWidth="1"/>
    <col min="14912" max="14912" width="10.6640625" style="107" customWidth="1"/>
    <col min="14913" max="14913" width="9.88671875" style="107" customWidth="1"/>
    <col min="14914" max="14914" width="11.44140625" style="107" customWidth="1"/>
    <col min="14915" max="14915" width="9.88671875" style="107" customWidth="1"/>
    <col min="14916" max="14916" width="10" style="107" customWidth="1"/>
    <col min="14917" max="14917" width="6.77734375" style="107" customWidth="1"/>
    <col min="14918" max="14918" width="12.5546875" style="107" customWidth="1"/>
    <col min="14919" max="14919" width="9.5546875" style="107" customWidth="1"/>
    <col min="14920" max="14920" width="10.33203125" style="107" customWidth="1"/>
    <col min="14921" max="14921" width="7.77734375" style="107" customWidth="1"/>
    <col min="14922" max="14922" width="7.21875" style="107" customWidth="1"/>
    <col min="14923" max="14923" width="17.6640625" style="107" customWidth="1"/>
    <col min="14924" max="14924" width="8.77734375" style="107" customWidth="1"/>
    <col min="14925" max="14925" width="13.109375" style="107" bestFit="1" customWidth="1"/>
    <col min="14926" max="14926" width="13.77734375" style="107" customWidth="1"/>
    <col min="14927" max="14928" width="8.77734375" style="107"/>
    <col min="14929" max="14929" width="9" style="107" bestFit="1" customWidth="1"/>
    <col min="14930" max="14938" width="8.77734375" style="107"/>
    <col min="14939" max="14939" width="13.109375" style="107" customWidth="1"/>
    <col min="14940" max="14940" width="8.77734375" style="107"/>
    <col min="14941" max="14941" width="9.88671875" style="107" customWidth="1"/>
    <col min="14942" max="14945" width="8.77734375" style="107"/>
    <col min="14946" max="14946" width="8.5546875" style="107" customWidth="1"/>
    <col min="14947" max="14947" width="30.33203125" style="107" customWidth="1"/>
    <col min="14948" max="14948" width="9" style="107" bestFit="1" customWidth="1"/>
    <col min="14949" max="14949" width="8.77734375" style="107"/>
    <col min="14950" max="14950" width="5.88671875" style="107" customWidth="1"/>
    <col min="14951" max="14951" width="6.88671875" style="107" customWidth="1"/>
    <col min="14952" max="14952" width="23.88671875" style="107" customWidth="1"/>
    <col min="14953" max="14959" width="8.77734375" style="107"/>
    <col min="14960" max="14960" width="9" style="107" bestFit="1" customWidth="1"/>
    <col min="14961" max="14962" width="8.77734375" style="107"/>
    <col min="14963" max="14963" width="32.88671875" style="107" customWidth="1"/>
    <col min="14964" max="14964" width="16.6640625" style="107" customWidth="1"/>
    <col min="14965" max="14965" width="10.21875" style="107" customWidth="1"/>
    <col min="14966" max="14966" width="12.44140625" style="107" customWidth="1"/>
    <col min="14967" max="14967" width="10" style="107" bestFit="1" customWidth="1"/>
    <col min="14968" max="14968" width="8.77734375" style="107"/>
    <col min="14969" max="14969" width="9" style="107" bestFit="1" customWidth="1"/>
    <col min="14970" max="14971" width="8.77734375" style="107"/>
    <col min="14972" max="14972" width="11.6640625" style="107" customWidth="1"/>
    <col min="14973" max="14973" width="8.77734375" style="107"/>
    <col min="14974" max="14974" width="28.77734375" style="107" customWidth="1"/>
    <col min="14975" max="14975" width="12.33203125" style="107" customWidth="1"/>
    <col min="14976" max="14976" width="11.21875" style="107" customWidth="1"/>
    <col min="14977" max="15104" width="8.77734375" style="107"/>
    <col min="15105" max="15105" width="5.6640625" style="107" customWidth="1"/>
    <col min="15106" max="15106" width="26.5546875" style="107" customWidth="1"/>
    <col min="15107" max="15107" width="11.44140625" style="107" customWidth="1"/>
    <col min="15108" max="15108" width="7.44140625" style="107" customWidth="1"/>
    <col min="15109" max="15109" width="8.5546875" style="107" customWidth="1"/>
    <col min="15110" max="15110" width="12.33203125" style="107" customWidth="1"/>
    <col min="15111" max="15111" width="11.77734375" style="107" customWidth="1"/>
    <col min="15112" max="15112" width="8.21875" style="107" customWidth="1"/>
    <col min="15113" max="15113" width="12" style="107" customWidth="1"/>
    <col min="15114" max="15114" width="8.77734375" style="107" customWidth="1"/>
    <col min="15115" max="15115" width="11.109375" style="107" customWidth="1"/>
    <col min="15116" max="15116" width="12.88671875" style="107" customWidth="1"/>
    <col min="15117" max="15117" width="12.5546875" style="107" customWidth="1"/>
    <col min="15118" max="15118" width="9.6640625" style="107" customWidth="1"/>
    <col min="15119" max="15119" width="9.88671875" style="107" customWidth="1"/>
    <col min="15120" max="15120" width="11.33203125" style="107" customWidth="1"/>
    <col min="15121" max="15121" width="11.5546875" style="107" customWidth="1"/>
    <col min="15122" max="15122" width="11.6640625" style="107" customWidth="1"/>
    <col min="15123" max="15123" width="10.33203125" style="107" customWidth="1"/>
    <col min="15124" max="15124" width="11.77734375" style="107" customWidth="1"/>
    <col min="15125" max="15125" width="12.109375" style="107" customWidth="1"/>
    <col min="15126" max="15126" width="11" style="107" customWidth="1"/>
    <col min="15127" max="15127" width="12.109375" style="107" customWidth="1"/>
    <col min="15128" max="15128" width="10.5546875" style="107" customWidth="1"/>
    <col min="15129" max="15129" width="9.88671875" style="107" customWidth="1"/>
    <col min="15130" max="15130" width="10.77734375" style="107" customWidth="1"/>
    <col min="15131" max="15131" width="9.77734375" style="107" customWidth="1"/>
    <col min="15132" max="15132" width="11.21875" style="107" customWidth="1"/>
    <col min="15133" max="15133" width="10.33203125" style="107" customWidth="1"/>
    <col min="15134" max="15134" width="11.88671875" style="107" customWidth="1"/>
    <col min="15135" max="15135" width="8.77734375" style="107"/>
    <col min="15136" max="15136" width="13.88671875" style="107" customWidth="1"/>
    <col min="15137" max="15137" width="10.88671875" style="107" customWidth="1"/>
    <col min="15138" max="15138" width="11.44140625" style="107" customWidth="1"/>
    <col min="15139" max="15139" width="11.77734375" style="107" customWidth="1"/>
    <col min="15140" max="15140" width="11.109375" style="107" customWidth="1"/>
    <col min="15141" max="15141" width="10.88671875" style="107" customWidth="1"/>
    <col min="15142" max="15145" width="8.77734375" style="107"/>
    <col min="15146" max="15146" width="11.44140625" style="107" bestFit="1" customWidth="1"/>
    <col min="15147" max="15147" width="10.21875" style="107" customWidth="1"/>
    <col min="15148" max="15148" width="11.5546875" style="107" customWidth="1"/>
    <col min="15149" max="15149" width="12.109375" style="107" customWidth="1"/>
    <col min="15150" max="15150" width="13.21875" style="107" customWidth="1"/>
    <col min="15151" max="15151" width="14.109375" style="107" customWidth="1"/>
    <col min="15152" max="15152" width="11.77734375" style="107" customWidth="1"/>
    <col min="15153" max="15153" width="9.6640625" style="107" customWidth="1"/>
    <col min="15154" max="15157" width="8.77734375" style="107"/>
    <col min="15158" max="15158" width="28.77734375" style="107" customWidth="1"/>
    <col min="15159" max="15159" width="11.77734375" style="107" customWidth="1"/>
    <col min="15160" max="15160" width="10" style="107" customWidth="1"/>
    <col min="15161" max="15161" width="10.44140625" style="107" customWidth="1"/>
    <col min="15162" max="15163" width="8.77734375" style="107"/>
    <col min="15164" max="15164" width="9.33203125" style="107" customWidth="1"/>
    <col min="15165" max="15165" width="18.44140625" style="107" customWidth="1"/>
    <col min="15166" max="15166" width="11" style="107" customWidth="1"/>
    <col min="15167" max="15167" width="9.5546875" style="107" customWidth="1"/>
    <col min="15168" max="15168" width="10.6640625" style="107" customWidth="1"/>
    <col min="15169" max="15169" width="9.88671875" style="107" customWidth="1"/>
    <col min="15170" max="15170" width="11.44140625" style="107" customWidth="1"/>
    <col min="15171" max="15171" width="9.88671875" style="107" customWidth="1"/>
    <col min="15172" max="15172" width="10" style="107" customWidth="1"/>
    <col min="15173" max="15173" width="6.77734375" style="107" customWidth="1"/>
    <col min="15174" max="15174" width="12.5546875" style="107" customWidth="1"/>
    <col min="15175" max="15175" width="9.5546875" style="107" customWidth="1"/>
    <col min="15176" max="15176" width="10.33203125" style="107" customWidth="1"/>
    <col min="15177" max="15177" width="7.77734375" style="107" customWidth="1"/>
    <col min="15178" max="15178" width="7.21875" style="107" customWidth="1"/>
    <col min="15179" max="15179" width="17.6640625" style="107" customWidth="1"/>
    <col min="15180" max="15180" width="8.77734375" style="107" customWidth="1"/>
    <col min="15181" max="15181" width="13.109375" style="107" bestFit="1" customWidth="1"/>
    <col min="15182" max="15182" width="13.77734375" style="107" customWidth="1"/>
    <col min="15183" max="15184" width="8.77734375" style="107"/>
    <col min="15185" max="15185" width="9" style="107" bestFit="1" customWidth="1"/>
    <col min="15186" max="15194" width="8.77734375" style="107"/>
    <col min="15195" max="15195" width="13.109375" style="107" customWidth="1"/>
    <col min="15196" max="15196" width="8.77734375" style="107"/>
    <col min="15197" max="15197" width="9.88671875" style="107" customWidth="1"/>
    <col min="15198" max="15201" width="8.77734375" style="107"/>
    <col min="15202" max="15202" width="8.5546875" style="107" customWidth="1"/>
    <col min="15203" max="15203" width="30.33203125" style="107" customWidth="1"/>
    <col min="15204" max="15204" width="9" style="107" bestFit="1" customWidth="1"/>
    <col min="15205" max="15205" width="8.77734375" style="107"/>
    <col min="15206" max="15206" width="5.88671875" style="107" customWidth="1"/>
    <col min="15207" max="15207" width="6.88671875" style="107" customWidth="1"/>
    <col min="15208" max="15208" width="23.88671875" style="107" customWidth="1"/>
    <col min="15209" max="15215" width="8.77734375" style="107"/>
    <col min="15216" max="15216" width="9" style="107" bestFit="1" customWidth="1"/>
    <col min="15217" max="15218" width="8.77734375" style="107"/>
    <col min="15219" max="15219" width="32.88671875" style="107" customWidth="1"/>
    <col min="15220" max="15220" width="16.6640625" style="107" customWidth="1"/>
    <col min="15221" max="15221" width="10.21875" style="107" customWidth="1"/>
    <col min="15222" max="15222" width="12.44140625" style="107" customWidth="1"/>
    <col min="15223" max="15223" width="10" style="107" bestFit="1" customWidth="1"/>
    <col min="15224" max="15224" width="8.77734375" style="107"/>
    <col min="15225" max="15225" width="9" style="107" bestFit="1" customWidth="1"/>
    <col min="15226" max="15227" width="8.77734375" style="107"/>
    <col min="15228" max="15228" width="11.6640625" style="107" customWidth="1"/>
    <col min="15229" max="15229" width="8.77734375" style="107"/>
    <col min="15230" max="15230" width="28.77734375" style="107" customWidth="1"/>
    <col min="15231" max="15231" width="12.33203125" style="107" customWidth="1"/>
    <col min="15232" max="15232" width="11.21875" style="107" customWidth="1"/>
    <col min="15233" max="15360" width="8.77734375" style="107"/>
    <col min="15361" max="15361" width="5.6640625" style="107" customWidth="1"/>
    <col min="15362" max="15362" width="26.5546875" style="107" customWidth="1"/>
    <col min="15363" max="15363" width="11.44140625" style="107" customWidth="1"/>
    <col min="15364" max="15364" width="7.44140625" style="107" customWidth="1"/>
    <col min="15365" max="15365" width="8.5546875" style="107" customWidth="1"/>
    <col min="15366" max="15366" width="12.33203125" style="107" customWidth="1"/>
    <col min="15367" max="15367" width="11.77734375" style="107" customWidth="1"/>
    <col min="15368" max="15368" width="8.21875" style="107" customWidth="1"/>
    <col min="15369" max="15369" width="12" style="107" customWidth="1"/>
    <col min="15370" max="15370" width="8.77734375" style="107" customWidth="1"/>
    <col min="15371" max="15371" width="11.109375" style="107" customWidth="1"/>
    <col min="15372" max="15372" width="12.88671875" style="107" customWidth="1"/>
    <col min="15373" max="15373" width="12.5546875" style="107" customWidth="1"/>
    <col min="15374" max="15374" width="9.6640625" style="107" customWidth="1"/>
    <col min="15375" max="15375" width="9.88671875" style="107" customWidth="1"/>
    <col min="15376" max="15376" width="11.33203125" style="107" customWidth="1"/>
    <col min="15377" max="15377" width="11.5546875" style="107" customWidth="1"/>
    <col min="15378" max="15378" width="11.6640625" style="107" customWidth="1"/>
    <col min="15379" max="15379" width="10.33203125" style="107" customWidth="1"/>
    <col min="15380" max="15380" width="11.77734375" style="107" customWidth="1"/>
    <col min="15381" max="15381" width="12.109375" style="107" customWidth="1"/>
    <col min="15382" max="15382" width="11" style="107" customWidth="1"/>
    <col min="15383" max="15383" width="12.109375" style="107" customWidth="1"/>
    <col min="15384" max="15384" width="10.5546875" style="107" customWidth="1"/>
    <col min="15385" max="15385" width="9.88671875" style="107" customWidth="1"/>
    <col min="15386" max="15386" width="10.77734375" style="107" customWidth="1"/>
    <col min="15387" max="15387" width="9.77734375" style="107" customWidth="1"/>
    <col min="15388" max="15388" width="11.21875" style="107" customWidth="1"/>
    <col min="15389" max="15389" width="10.33203125" style="107" customWidth="1"/>
    <col min="15390" max="15390" width="11.88671875" style="107" customWidth="1"/>
    <col min="15391" max="15391" width="8.77734375" style="107"/>
    <col min="15392" max="15392" width="13.88671875" style="107" customWidth="1"/>
    <col min="15393" max="15393" width="10.88671875" style="107" customWidth="1"/>
    <col min="15394" max="15394" width="11.44140625" style="107" customWidth="1"/>
    <col min="15395" max="15395" width="11.77734375" style="107" customWidth="1"/>
    <col min="15396" max="15396" width="11.109375" style="107" customWidth="1"/>
    <col min="15397" max="15397" width="10.88671875" style="107" customWidth="1"/>
    <col min="15398" max="15401" width="8.77734375" style="107"/>
    <col min="15402" max="15402" width="11.44140625" style="107" bestFit="1" customWidth="1"/>
    <col min="15403" max="15403" width="10.21875" style="107" customWidth="1"/>
    <col min="15404" max="15404" width="11.5546875" style="107" customWidth="1"/>
    <col min="15405" max="15405" width="12.109375" style="107" customWidth="1"/>
    <col min="15406" max="15406" width="13.21875" style="107" customWidth="1"/>
    <col min="15407" max="15407" width="14.109375" style="107" customWidth="1"/>
    <col min="15408" max="15408" width="11.77734375" style="107" customWidth="1"/>
    <col min="15409" max="15409" width="9.6640625" style="107" customWidth="1"/>
    <col min="15410" max="15413" width="8.77734375" style="107"/>
    <col min="15414" max="15414" width="28.77734375" style="107" customWidth="1"/>
    <col min="15415" max="15415" width="11.77734375" style="107" customWidth="1"/>
    <col min="15416" max="15416" width="10" style="107" customWidth="1"/>
    <col min="15417" max="15417" width="10.44140625" style="107" customWidth="1"/>
    <col min="15418" max="15419" width="8.77734375" style="107"/>
    <col min="15420" max="15420" width="9.33203125" style="107" customWidth="1"/>
    <col min="15421" max="15421" width="18.44140625" style="107" customWidth="1"/>
    <col min="15422" max="15422" width="11" style="107" customWidth="1"/>
    <col min="15423" max="15423" width="9.5546875" style="107" customWidth="1"/>
    <col min="15424" max="15424" width="10.6640625" style="107" customWidth="1"/>
    <col min="15425" max="15425" width="9.88671875" style="107" customWidth="1"/>
    <col min="15426" max="15426" width="11.44140625" style="107" customWidth="1"/>
    <col min="15427" max="15427" width="9.88671875" style="107" customWidth="1"/>
    <col min="15428" max="15428" width="10" style="107" customWidth="1"/>
    <col min="15429" max="15429" width="6.77734375" style="107" customWidth="1"/>
    <col min="15430" max="15430" width="12.5546875" style="107" customWidth="1"/>
    <col min="15431" max="15431" width="9.5546875" style="107" customWidth="1"/>
    <col min="15432" max="15432" width="10.33203125" style="107" customWidth="1"/>
    <col min="15433" max="15433" width="7.77734375" style="107" customWidth="1"/>
    <col min="15434" max="15434" width="7.21875" style="107" customWidth="1"/>
    <col min="15435" max="15435" width="17.6640625" style="107" customWidth="1"/>
    <col min="15436" max="15436" width="8.77734375" style="107" customWidth="1"/>
    <col min="15437" max="15437" width="13.109375" style="107" bestFit="1" customWidth="1"/>
    <col min="15438" max="15438" width="13.77734375" style="107" customWidth="1"/>
    <col min="15439" max="15440" width="8.77734375" style="107"/>
    <col min="15441" max="15441" width="9" style="107" bestFit="1" customWidth="1"/>
    <col min="15442" max="15450" width="8.77734375" style="107"/>
    <col min="15451" max="15451" width="13.109375" style="107" customWidth="1"/>
    <col min="15452" max="15452" width="8.77734375" style="107"/>
    <col min="15453" max="15453" width="9.88671875" style="107" customWidth="1"/>
    <col min="15454" max="15457" width="8.77734375" style="107"/>
    <col min="15458" max="15458" width="8.5546875" style="107" customWidth="1"/>
    <col min="15459" max="15459" width="30.33203125" style="107" customWidth="1"/>
    <col min="15460" max="15460" width="9" style="107" bestFit="1" customWidth="1"/>
    <col min="15461" max="15461" width="8.77734375" style="107"/>
    <col min="15462" max="15462" width="5.88671875" style="107" customWidth="1"/>
    <col min="15463" max="15463" width="6.88671875" style="107" customWidth="1"/>
    <col min="15464" max="15464" width="23.88671875" style="107" customWidth="1"/>
    <col min="15465" max="15471" width="8.77734375" style="107"/>
    <col min="15472" max="15472" width="9" style="107" bestFit="1" customWidth="1"/>
    <col min="15473" max="15474" width="8.77734375" style="107"/>
    <col min="15475" max="15475" width="32.88671875" style="107" customWidth="1"/>
    <col min="15476" max="15476" width="16.6640625" style="107" customWidth="1"/>
    <col min="15477" max="15477" width="10.21875" style="107" customWidth="1"/>
    <col min="15478" max="15478" width="12.44140625" style="107" customWidth="1"/>
    <col min="15479" max="15479" width="10" style="107" bestFit="1" customWidth="1"/>
    <col min="15480" max="15480" width="8.77734375" style="107"/>
    <col min="15481" max="15481" width="9" style="107" bestFit="1" customWidth="1"/>
    <col min="15482" max="15483" width="8.77734375" style="107"/>
    <col min="15484" max="15484" width="11.6640625" style="107" customWidth="1"/>
    <col min="15485" max="15485" width="8.77734375" style="107"/>
    <col min="15486" max="15486" width="28.77734375" style="107" customWidth="1"/>
    <col min="15487" max="15487" width="12.33203125" style="107" customWidth="1"/>
    <col min="15488" max="15488" width="11.21875" style="107" customWidth="1"/>
    <col min="15489" max="15616" width="8.77734375" style="107"/>
    <col min="15617" max="15617" width="5.6640625" style="107" customWidth="1"/>
    <col min="15618" max="15618" width="26.5546875" style="107" customWidth="1"/>
    <col min="15619" max="15619" width="11.44140625" style="107" customWidth="1"/>
    <col min="15620" max="15620" width="7.44140625" style="107" customWidth="1"/>
    <col min="15621" max="15621" width="8.5546875" style="107" customWidth="1"/>
    <col min="15622" max="15622" width="12.33203125" style="107" customWidth="1"/>
    <col min="15623" max="15623" width="11.77734375" style="107" customWidth="1"/>
    <col min="15624" max="15624" width="8.21875" style="107" customWidth="1"/>
    <col min="15625" max="15625" width="12" style="107" customWidth="1"/>
    <col min="15626" max="15626" width="8.77734375" style="107" customWidth="1"/>
    <col min="15627" max="15627" width="11.109375" style="107" customWidth="1"/>
    <col min="15628" max="15628" width="12.88671875" style="107" customWidth="1"/>
    <col min="15629" max="15629" width="12.5546875" style="107" customWidth="1"/>
    <col min="15630" max="15630" width="9.6640625" style="107" customWidth="1"/>
    <col min="15631" max="15631" width="9.88671875" style="107" customWidth="1"/>
    <col min="15632" max="15632" width="11.33203125" style="107" customWidth="1"/>
    <col min="15633" max="15633" width="11.5546875" style="107" customWidth="1"/>
    <col min="15634" max="15634" width="11.6640625" style="107" customWidth="1"/>
    <col min="15635" max="15635" width="10.33203125" style="107" customWidth="1"/>
    <col min="15636" max="15636" width="11.77734375" style="107" customWidth="1"/>
    <col min="15637" max="15637" width="12.109375" style="107" customWidth="1"/>
    <col min="15638" max="15638" width="11" style="107" customWidth="1"/>
    <col min="15639" max="15639" width="12.109375" style="107" customWidth="1"/>
    <col min="15640" max="15640" width="10.5546875" style="107" customWidth="1"/>
    <col min="15641" max="15641" width="9.88671875" style="107" customWidth="1"/>
    <col min="15642" max="15642" width="10.77734375" style="107" customWidth="1"/>
    <col min="15643" max="15643" width="9.77734375" style="107" customWidth="1"/>
    <col min="15644" max="15644" width="11.21875" style="107" customWidth="1"/>
    <col min="15645" max="15645" width="10.33203125" style="107" customWidth="1"/>
    <col min="15646" max="15646" width="11.88671875" style="107" customWidth="1"/>
    <col min="15647" max="15647" width="8.77734375" style="107"/>
    <col min="15648" max="15648" width="13.88671875" style="107" customWidth="1"/>
    <col min="15649" max="15649" width="10.88671875" style="107" customWidth="1"/>
    <col min="15650" max="15650" width="11.44140625" style="107" customWidth="1"/>
    <col min="15651" max="15651" width="11.77734375" style="107" customWidth="1"/>
    <col min="15652" max="15652" width="11.109375" style="107" customWidth="1"/>
    <col min="15653" max="15653" width="10.88671875" style="107" customWidth="1"/>
    <col min="15654" max="15657" width="8.77734375" style="107"/>
    <col min="15658" max="15658" width="11.44140625" style="107" bestFit="1" customWidth="1"/>
    <col min="15659" max="15659" width="10.21875" style="107" customWidth="1"/>
    <col min="15660" max="15660" width="11.5546875" style="107" customWidth="1"/>
    <col min="15661" max="15661" width="12.109375" style="107" customWidth="1"/>
    <col min="15662" max="15662" width="13.21875" style="107" customWidth="1"/>
    <col min="15663" max="15663" width="14.109375" style="107" customWidth="1"/>
    <col min="15664" max="15664" width="11.77734375" style="107" customWidth="1"/>
    <col min="15665" max="15665" width="9.6640625" style="107" customWidth="1"/>
    <col min="15666" max="15669" width="8.77734375" style="107"/>
    <col min="15670" max="15670" width="28.77734375" style="107" customWidth="1"/>
    <col min="15671" max="15671" width="11.77734375" style="107" customWidth="1"/>
    <col min="15672" max="15672" width="10" style="107" customWidth="1"/>
    <col min="15673" max="15673" width="10.44140625" style="107" customWidth="1"/>
    <col min="15674" max="15675" width="8.77734375" style="107"/>
    <col min="15676" max="15676" width="9.33203125" style="107" customWidth="1"/>
    <col min="15677" max="15677" width="18.44140625" style="107" customWidth="1"/>
    <col min="15678" max="15678" width="11" style="107" customWidth="1"/>
    <col min="15679" max="15679" width="9.5546875" style="107" customWidth="1"/>
    <col min="15680" max="15680" width="10.6640625" style="107" customWidth="1"/>
    <col min="15681" max="15681" width="9.88671875" style="107" customWidth="1"/>
    <col min="15682" max="15682" width="11.44140625" style="107" customWidth="1"/>
    <col min="15683" max="15683" width="9.88671875" style="107" customWidth="1"/>
    <col min="15684" max="15684" width="10" style="107" customWidth="1"/>
    <col min="15685" max="15685" width="6.77734375" style="107" customWidth="1"/>
    <col min="15686" max="15686" width="12.5546875" style="107" customWidth="1"/>
    <col min="15687" max="15687" width="9.5546875" style="107" customWidth="1"/>
    <col min="15688" max="15688" width="10.33203125" style="107" customWidth="1"/>
    <col min="15689" max="15689" width="7.77734375" style="107" customWidth="1"/>
    <col min="15690" max="15690" width="7.21875" style="107" customWidth="1"/>
    <col min="15691" max="15691" width="17.6640625" style="107" customWidth="1"/>
    <col min="15692" max="15692" width="8.77734375" style="107" customWidth="1"/>
    <col min="15693" max="15693" width="13.109375" style="107" bestFit="1" customWidth="1"/>
    <col min="15694" max="15694" width="13.77734375" style="107" customWidth="1"/>
    <col min="15695" max="15696" width="8.77734375" style="107"/>
    <col min="15697" max="15697" width="9" style="107" bestFit="1" customWidth="1"/>
    <col min="15698" max="15706" width="8.77734375" style="107"/>
    <col min="15707" max="15707" width="13.109375" style="107" customWidth="1"/>
    <col min="15708" max="15708" width="8.77734375" style="107"/>
    <col min="15709" max="15709" width="9.88671875" style="107" customWidth="1"/>
    <col min="15710" max="15713" width="8.77734375" style="107"/>
    <col min="15714" max="15714" width="8.5546875" style="107" customWidth="1"/>
    <col min="15715" max="15715" width="30.33203125" style="107" customWidth="1"/>
    <col min="15716" max="15716" width="9" style="107" bestFit="1" customWidth="1"/>
    <col min="15717" max="15717" width="8.77734375" style="107"/>
    <col min="15718" max="15718" width="5.88671875" style="107" customWidth="1"/>
    <col min="15719" max="15719" width="6.88671875" style="107" customWidth="1"/>
    <col min="15720" max="15720" width="23.88671875" style="107" customWidth="1"/>
    <col min="15721" max="15727" width="8.77734375" style="107"/>
    <col min="15728" max="15728" width="9" style="107" bestFit="1" customWidth="1"/>
    <col min="15729" max="15730" width="8.77734375" style="107"/>
    <col min="15731" max="15731" width="32.88671875" style="107" customWidth="1"/>
    <col min="15732" max="15732" width="16.6640625" style="107" customWidth="1"/>
    <col min="15733" max="15733" width="10.21875" style="107" customWidth="1"/>
    <col min="15734" max="15734" width="12.44140625" style="107" customWidth="1"/>
    <col min="15735" max="15735" width="10" style="107" bestFit="1" customWidth="1"/>
    <col min="15736" max="15736" width="8.77734375" style="107"/>
    <col min="15737" max="15737" width="9" style="107" bestFit="1" customWidth="1"/>
    <col min="15738" max="15739" width="8.77734375" style="107"/>
    <col min="15740" max="15740" width="11.6640625" style="107" customWidth="1"/>
    <col min="15741" max="15741" width="8.77734375" style="107"/>
    <col min="15742" max="15742" width="28.77734375" style="107" customWidth="1"/>
    <col min="15743" max="15743" width="12.33203125" style="107" customWidth="1"/>
    <col min="15744" max="15744" width="11.21875" style="107" customWidth="1"/>
    <col min="15745" max="15872" width="8.77734375" style="107"/>
    <col min="15873" max="15873" width="5.6640625" style="107" customWidth="1"/>
    <col min="15874" max="15874" width="26.5546875" style="107" customWidth="1"/>
    <col min="15875" max="15875" width="11.44140625" style="107" customWidth="1"/>
    <col min="15876" max="15876" width="7.44140625" style="107" customWidth="1"/>
    <col min="15877" max="15877" width="8.5546875" style="107" customWidth="1"/>
    <col min="15878" max="15878" width="12.33203125" style="107" customWidth="1"/>
    <col min="15879" max="15879" width="11.77734375" style="107" customWidth="1"/>
    <col min="15880" max="15880" width="8.21875" style="107" customWidth="1"/>
    <col min="15881" max="15881" width="12" style="107" customWidth="1"/>
    <col min="15882" max="15882" width="8.77734375" style="107" customWidth="1"/>
    <col min="15883" max="15883" width="11.109375" style="107" customWidth="1"/>
    <col min="15884" max="15884" width="12.88671875" style="107" customWidth="1"/>
    <col min="15885" max="15885" width="12.5546875" style="107" customWidth="1"/>
    <col min="15886" max="15886" width="9.6640625" style="107" customWidth="1"/>
    <col min="15887" max="15887" width="9.88671875" style="107" customWidth="1"/>
    <col min="15888" max="15888" width="11.33203125" style="107" customWidth="1"/>
    <col min="15889" max="15889" width="11.5546875" style="107" customWidth="1"/>
    <col min="15890" max="15890" width="11.6640625" style="107" customWidth="1"/>
    <col min="15891" max="15891" width="10.33203125" style="107" customWidth="1"/>
    <col min="15892" max="15892" width="11.77734375" style="107" customWidth="1"/>
    <col min="15893" max="15893" width="12.109375" style="107" customWidth="1"/>
    <col min="15894" max="15894" width="11" style="107" customWidth="1"/>
    <col min="15895" max="15895" width="12.109375" style="107" customWidth="1"/>
    <col min="15896" max="15896" width="10.5546875" style="107" customWidth="1"/>
    <col min="15897" max="15897" width="9.88671875" style="107" customWidth="1"/>
    <col min="15898" max="15898" width="10.77734375" style="107" customWidth="1"/>
    <col min="15899" max="15899" width="9.77734375" style="107" customWidth="1"/>
    <col min="15900" max="15900" width="11.21875" style="107" customWidth="1"/>
    <col min="15901" max="15901" width="10.33203125" style="107" customWidth="1"/>
    <col min="15902" max="15902" width="11.88671875" style="107" customWidth="1"/>
    <col min="15903" max="15903" width="8.77734375" style="107"/>
    <col min="15904" max="15904" width="13.88671875" style="107" customWidth="1"/>
    <col min="15905" max="15905" width="10.88671875" style="107" customWidth="1"/>
    <col min="15906" max="15906" width="11.44140625" style="107" customWidth="1"/>
    <col min="15907" max="15907" width="11.77734375" style="107" customWidth="1"/>
    <col min="15908" max="15908" width="11.109375" style="107" customWidth="1"/>
    <col min="15909" max="15909" width="10.88671875" style="107" customWidth="1"/>
    <col min="15910" max="15913" width="8.77734375" style="107"/>
    <col min="15914" max="15914" width="11.44140625" style="107" bestFit="1" customWidth="1"/>
    <col min="15915" max="15915" width="10.21875" style="107" customWidth="1"/>
    <col min="15916" max="15916" width="11.5546875" style="107" customWidth="1"/>
    <col min="15917" max="15917" width="12.109375" style="107" customWidth="1"/>
    <col min="15918" max="15918" width="13.21875" style="107" customWidth="1"/>
    <col min="15919" max="15919" width="14.109375" style="107" customWidth="1"/>
    <col min="15920" max="15920" width="11.77734375" style="107" customWidth="1"/>
    <col min="15921" max="15921" width="9.6640625" style="107" customWidth="1"/>
    <col min="15922" max="15925" width="8.77734375" style="107"/>
    <col min="15926" max="15926" width="28.77734375" style="107" customWidth="1"/>
    <col min="15927" max="15927" width="11.77734375" style="107" customWidth="1"/>
    <col min="15928" max="15928" width="10" style="107" customWidth="1"/>
    <col min="15929" max="15929" width="10.44140625" style="107" customWidth="1"/>
    <col min="15930" max="15931" width="8.77734375" style="107"/>
    <col min="15932" max="15932" width="9.33203125" style="107" customWidth="1"/>
    <col min="15933" max="15933" width="18.44140625" style="107" customWidth="1"/>
    <col min="15934" max="15934" width="11" style="107" customWidth="1"/>
    <col min="15935" max="15935" width="9.5546875" style="107" customWidth="1"/>
    <col min="15936" max="15936" width="10.6640625" style="107" customWidth="1"/>
    <col min="15937" max="15937" width="9.88671875" style="107" customWidth="1"/>
    <col min="15938" max="15938" width="11.44140625" style="107" customWidth="1"/>
    <col min="15939" max="15939" width="9.88671875" style="107" customWidth="1"/>
    <col min="15940" max="15940" width="10" style="107" customWidth="1"/>
    <col min="15941" max="15941" width="6.77734375" style="107" customWidth="1"/>
    <col min="15942" max="15942" width="12.5546875" style="107" customWidth="1"/>
    <col min="15943" max="15943" width="9.5546875" style="107" customWidth="1"/>
    <col min="15944" max="15944" width="10.33203125" style="107" customWidth="1"/>
    <col min="15945" max="15945" width="7.77734375" style="107" customWidth="1"/>
    <col min="15946" max="15946" width="7.21875" style="107" customWidth="1"/>
    <col min="15947" max="15947" width="17.6640625" style="107" customWidth="1"/>
    <col min="15948" max="15948" width="8.77734375" style="107" customWidth="1"/>
    <col min="15949" max="15949" width="13.109375" style="107" bestFit="1" customWidth="1"/>
    <col min="15950" max="15950" width="13.77734375" style="107" customWidth="1"/>
    <col min="15951" max="15952" width="8.77734375" style="107"/>
    <col min="15953" max="15953" width="9" style="107" bestFit="1" customWidth="1"/>
    <col min="15954" max="15962" width="8.77734375" style="107"/>
    <col min="15963" max="15963" width="13.109375" style="107" customWidth="1"/>
    <col min="15964" max="15964" width="8.77734375" style="107"/>
    <col min="15965" max="15965" width="9.88671875" style="107" customWidth="1"/>
    <col min="15966" max="15969" width="8.77734375" style="107"/>
    <col min="15970" max="15970" width="8.5546875" style="107" customWidth="1"/>
    <col min="15971" max="15971" width="30.33203125" style="107" customWidth="1"/>
    <col min="15972" max="15972" width="9" style="107" bestFit="1" customWidth="1"/>
    <col min="15973" max="15973" width="8.77734375" style="107"/>
    <col min="15974" max="15974" width="5.88671875" style="107" customWidth="1"/>
    <col min="15975" max="15975" width="6.88671875" style="107" customWidth="1"/>
    <col min="15976" max="15976" width="23.88671875" style="107" customWidth="1"/>
    <col min="15977" max="15983" width="8.77734375" style="107"/>
    <col min="15984" max="15984" width="9" style="107" bestFit="1" customWidth="1"/>
    <col min="15985" max="15986" width="8.77734375" style="107"/>
    <col min="15987" max="15987" width="32.88671875" style="107" customWidth="1"/>
    <col min="15988" max="15988" width="16.6640625" style="107" customWidth="1"/>
    <col min="15989" max="15989" width="10.21875" style="107" customWidth="1"/>
    <col min="15990" max="15990" width="12.44140625" style="107" customWidth="1"/>
    <col min="15991" max="15991" width="10" style="107" bestFit="1" customWidth="1"/>
    <col min="15992" max="15992" width="8.77734375" style="107"/>
    <col min="15993" max="15993" width="9" style="107" bestFit="1" customWidth="1"/>
    <col min="15994" max="15995" width="8.77734375" style="107"/>
    <col min="15996" max="15996" width="11.6640625" style="107" customWidth="1"/>
    <col min="15997" max="15997" width="8.77734375" style="107"/>
    <col min="15998" max="15998" width="28.77734375" style="107" customWidth="1"/>
    <col min="15999" max="15999" width="12.33203125" style="107" customWidth="1"/>
    <col min="16000" max="16000" width="11.21875" style="107" customWidth="1"/>
    <col min="16001" max="16128" width="8.77734375" style="107"/>
    <col min="16129" max="16129" width="5.6640625" style="107" customWidth="1"/>
    <col min="16130" max="16130" width="26.5546875" style="107" customWidth="1"/>
    <col min="16131" max="16131" width="11.44140625" style="107" customWidth="1"/>
    <col min="16132" max="16132" width="7.44140625" style="107" customWidth="1"/>
    <col min="16133" max="16133" width="8.5546875" style="107" customWidth="1"/>
    <col min="16134" max="16134" width="12.33203125" style="107" customWidth="1"/>
    <col min="16135" max="16135" width="11.77734375" style="107" customWidth="1"/>
    <col min="16136" max="16136" width="8.21875" style="107" customWidth="1"/>
    <col min="16137" max="16137" width="12" style="107" customWidth="1"/>
    <col min="16138" max="16138" width="8.77734375" style="107" customWidth="1"/>
    <col min="16139" max="16139" width="11.109375" style="107" customWidth="1"/>
    <col min="16140" max="16140" width="12.88671875" style="107" customWidth="1"/>
    <col min="16141" max="16141" width="12.5546875" style="107" customWidth="1"/>
    <col min="16142" max="16142" width="9.6640625" style="107" customWidth="1"/>
    <col min="16143" max="16143" width="9.88671875" style="107" customWidth="1"/>
    <col min="16144" max="16144" width="11.33203125" style="107" customWidth="1"/>
    <col min="16145" max="16145" width="11.5546875" style="107" customWidth="1"/>
    <col min="16146" max="16146" width="11.6640625" style="107" customWidth="1"/>
    <col min="16147" max="16147" width="10.33203125" style="107" customWidth="1"/>
    <col min="16148" max="16148" width="11.77734375" style="107" customWidth="1"/>
    <col min="16149" max="16149" width="12.109375" style="107" customWidth="1"/>
    <col min="16150" max="16150" width="11" style="107" customWidth="1"/>
    <col min="16151" max="16151" width="12.109375" style="107" customWidth="1"/>
    <col min="16152" max="16152" width="10.5546875" style="107" customWidth="1"/>
    <col min="16153" max="16153" width="9.88671875" style="107" customWidth="1"/>
    <col min="16154" max="16154" width="10.77734375" style="107" customWidth="1"/>
    <col min="16155" max="16155" width="9.77734375" style="107" customWidth="1"/>
    <col min="16156" max="16156" width="11.21875" style="107" customWidth="1"/>
    <col min="16157" max="16157" width="10.33203125" style="107" customWidth="1"/>
    <col min="16158" max="16158" width="11.88671875" style="107" customWidth="1"/>
    <col min="16159" max="16159" width="8.77734375" style="107"/>
    <col min="16160" max="16160" width="13.88671875" style="107" customWidth="1"/>
    <col min="16161" max="16161" width="10.88671875" style="107" customWidth="1"/>
    <col min="16162" max="16162" width="11.44140625" style="107" customWidth="1"/>
    <col min="16163" max="16163" width="11.77734375" style="107" customWidth="1"/>
    <col min="16164" max="16164" width="11.109375" style="107" customWidth="1"/>
    <col min="16165" max="16165" width="10.88671875" style="107" customWidth="1"/>
    <col min="16166" max="16169" width="8.77734375" style="107"/>
    <col min="16170" max="16170" width="11.44140625" style="107" bestFit="1" customWidth="1"/>
    <col min="16171" max="16171" width="10.21875" style="107" customWidth="1"/>
    <col min="16172" max="16172" width="11.5546875" style="107" customWidth="1"/>
    <col min="16173" max="16173" width="12.109375" style="107" customWidth="1"/>
    <col min="16174" max="16174" width="13.21875" style="107" customWidth="1"/>
    <col min="16175" max="16175" width="14.109375" style="107" customWidth="1"/>
    <col min="16176" max="16176" width="11.77734375" style="107" customWidth="1"/>
    <col min="16177" max="16177" width="9.6640625" style="107" customWidth="1"/>
    <col min="16178" max="16181" width="8.77734375" style="107"/>
    <col min="16182" max="16182" width="28.77734375" style="107" customWidth="1"/>
    <col min="16183" max="16183" width="11.77734375" style="107" customWidth="1"/>
    <col min="16184" max="16184" width="10" style="107" customWidth="1"/>
    <col min="16185" max="16185" width="10.44140625" style="107" customWidth="1"/>
    <col min="16186" max="16187" width="8.77734375" style="107"/>
    <col min="16188" max="16188" width="9.33203125" style="107" customWidth="1"/>
    <col min="16189" max="16189" width="18.44140625" style="107" customWidth="1"/>
    <col min="16190" max="16190" width="11" style="107" customWidth="1"/>
    <col min="16191" max="16191" width="9.5546875" style="107" customWidth="1"/>
    <col min="16192" max="16192" width="10.6640625" style="107" customWidth="1"/>
    <col min="16193" max="16193" width="9.88671875" style="107" customWidth="1"/>
    <col min="16194" max="16194" width="11.44140625" style="107" customWidth="1"/>
    <col min="16195" max="16195" width="9.88671875" style="107" customWidth="1"/>
    <col min="16196" max="16196" width="10" style="107" customWidth="1"/>
    <col min="16197" max="16197" width="6.77734375" style="107" customWidth="1"/>
    <col min="16198" max="16198" width="12.5546875" style="107" customWidth="1"/>
    <col min="16199" max="16199" width="9.5546875" style="107" customWidth="1"/>
    <col min="16200" max="16200" width="10.33203125" style="107" customWidth="1"/>
    <col min="16201" max="16201" width="7.77734375" style="107" customWidth="1"/>
    <col min="16202" max="16202" width="7.21875" style="107" customWidth="1"/>
    <col min="16203" max="16203" width="17.6640625" style="107" customWidth="1"/>
    <col min="16204" max="16204" width="8.77734375" style="107" customWidth="1"/>
    <col min="16205" max="16205" width="13.109375" style="107" bestFit="1" customWidth="1"/>
    <col min="16206" max="16206" width="13.77734375" style="107" customWidth="1"/>
    <col min="16207" max="16208" width="8.77734375" style="107"/>
    <col min="16209" max="16209" width="9" style="107" bestFit="1" customWidth="1"/>
    <col min="16210" max="16218" width="8.77734375" style="107"/>
    <col min="16219" max="16219" width="13.109375" style="107" customWidth="1"/>
    <col min="16220" max="16220" width="8.77734375" style="107"/>
    <col min="16221" max="16221" width="9.88671875" style="107" customWidth="1"/>
    <col min="16222" max="16225" width="8.77734375" style="107"/>
    <col min="16226" max="16226" width="8.5546875" style="107" customWidth="1"/>
    <col min="16227" max="16227" width="30.33203125" style="107" customWidth="1"/>
    <col min="16228" max="16228" width="9" style="107" bestFit="1" customWidth="1"/>
    <col min="16229" max="16229" width="8.77734375" style="107"/>
    <col min="16230" max="16230" width="5.88671875" style="107" customWidth="1"/>
    <col min="16231" max="16231" width="6.88671875" style="107" customWidth="1"/>
    <col min="16232" max="16232" width="23.88671875" style="107" customWidth="1"/>
    <col min="16233" max="16239" width="8.77734375" style="107"/>
    <col min="16240" max="16240" width="9" style="107" bestFit="1" customWidth="1"/>
    <col min="16241" max="16242" width="8.77734375" style="107"/>
    <col min="16243" max="16243" width="32.88671875" style="107" customWidth="1"/>
    <col min="16244" max="16244" width="16.6640625" style="107" customWidth="1"/>
    <col min="16245" max="16245" width="10.21875" style="107" customWidth="1"/>
    <col min="16246" max="16246" width="12.44140625" style="107" customWidth="1"/>
    <col min="16247" max="16247" width="10" style="107" bestFit="1" customWidth="1"/>
    <col min="16248" max="16248" width="8.77734375" style="107"/>
    <col min="16249" max="16249" width="9" style="107" bestFit="1" customWidth="1"/>
    <col min="16250" max="16251" width="8.77734375" style="107"/>
    <col min="16252" max="16252" width="11.6640625" style="107" customWidth="1"/>
    <col min="16253" max="16253" width="8.77734375" style="107"/>
    <col min="16254" max="16254" width="28.77734375" style="107" customWidth="1"/>
    <col min="16255" max="16255" width="12.33203125" style="107" customWidth="1"/>
    <col min="16256" max="16256" width="11.21875" style="107" customWidth="1"/>
    <col min="16257" max="16384" width="8.77734375" style="107"/>
  </cols>
  <sheetData>
    <row r="1" spans="2:3" s="108" customFormat="1" x14ac:dyDescent="0.2"/>
    <row r="2" spans="2:3" s="108" customFormat="1" x14ac:dyDescent="0.2">
      <c r="B2" s="734"/>
      <c r="C2" s="731" t="s">
        <v>153</v>
      </c>
    </row>
    <row r="3" spans="2:3" s="108" customFormat="1" ht="17.25" x14ac:dyDescent="0.2">
      <c r="B3" s="735" t="s">
        <v>650</v>
      </c>
      <c r="C3" s="108" t="e">
        <f>C22</f>
        <v>#REF!</v>
      </c>
    </row>
    <row r="4" spans="2:3" s="108" customFormat="1" ht="17.25" x14ac:dyDescent="0.2">
      <c r="B4" s="735" t="s">
        <v>652</v>
      </c>
      <c r="C4" s="108" t="e">
        <f>C24</f>
        <v>#REF!</v>
      </c>
    </row>
    <row r="5" spans="2:3" s="108" customFormat="1" ht="17.25" x14ac:dyDescent="0.2">
      <c r="B5" s="735" t="s">
        <v>653</v>
      </c>
      <c r="C5" s="108" t="e">
        <f>C25</f>
        <v>#REF!</v>
      </c>
    </row>
    <row r="6" spans="2:3" s="108" customFormat="1" ht="17.25" x14ac:dyDescent="0.2">
      <c r="B6" s="735" t="s">
        <v>654</v>
      </c>
      <c r="C6" s="108" t="e">
        <f>C26</f>
        <v>#REF!</v>
      </c>
    </row>
    <row r="7" spans="2:3" s="108" customFormat="1" ht="17.25" x14ac:dyDescent="0.2">
      <c r="B7" s="735" t="s">
        <v>656</v>
      </c>
      <c r="C7" s="108" t="e">
        <f t="shared" ref="C7:C9" si="0">C28</f>
        <v>#REF!</v>
      </c>
    </row>
    <row r="8" spans="2:3" s="108" customFormat="1" ht="17.25" x14ac:dyDescent="0.2">
      <c r="B8" s="735" t="s">
        <v>657</v>
      </c>
      <c r="C8" s="108" t="e">
        <f t="shared" si="0"/>
        <v>#REF!</v>
      </c>
    </row>
    <row r="9" spans="2:3" s="108" customFormat="1" ht="17.25" x14ac:dyDescent="0.2">
      <c r="B9" s="735" t="s">
        <v>24</v>
      </c>
      <c r="C9" s="108" t="e">
        <f t="shared" si="0"/>
        <v>#REF!</v>
      </c>
    </row>
    <row r="10" spans="2:3" s="108" customFormat="1" ht="17.25" x14ac:dyDescent="0.2">
      <c r="B10" s="735" t="s">
        <v>658</v>
      </c>
      <c r="C10" s="108" t="e">
        <f t="shared" ref="C10:C11" si="1">C31</f>
        <v>#REF!</v>
      </c>
    </row>
    <row r="11" spans="2:3" s="108" customFormat="1" ht="17.25" x14ac:dyDescent="0.2">
      <c r="B11" s="735" t="s">
        <v>659</v>
      </c>
      <c r="C11" s="108" t="e">
        <f t="shared" si="1"/>
        <v>#REF!</v>
      </c>
    </row>
    <row r="12" spans="2:3" s="108" customFormat="1" x14ac:dyDescent="0.2"/>
    <row r="13" spans="2:3" s="108" customFormat="1" x14ac:dyDescent="0.2"/>
    <row r="14" spans="2:3" s="108" customFormat="1" x14ac:dyDescent="0.2"/>
    <row r="15" spans="2:3" s="108" customFormat="1" x14ac:dyDescent="0.2"/>
    <row r="16" spans="2:3" s="108" customFormat="1" x14ac:dyDescent="0.2"/>
    <row r="17" spans="2:3" s="108" customFormat="1" x14ac:dyDescent="0.2"/>
    <row r="18" spans="2:3" s="108" customFormat="1" x14ac:dyDescent="0.2"/>
    <row r="19" spans="2:3" s="108" customFormat="1" x14ac:dyDescent="0.2"/>
    <row r="20" spans="2:3" s="108" customFormat="1" x14ac:dyDescent="0.2"/>
    <row r="21" spans="2:3" s="108" customFormat="1" x14ac:dyDescent="0.2">
      <c r="B21" s="107"/>
      <c r="C21" s="733" t="s">
        <v>153</v>
      </c>
    </row>
    <row r="22" spans="2:3" s="108" customFormat="1" ht="17.25" x14ac:dyDescent="0.2">
      <c r="B22" s="732" t="s">
        <v>650</v>
      </c>
      <c r="C22" s="107" t="e">
        <f>#REF!/100+#REF!/100</f>
        <v>#REF!</v>
      </c>
    </row>
    <row r="23" spans="2:3" s="108" customFormat="1" ht="17.25" x14ac:dyDescent="0.2">
      <c r="B23" s="732" t="s">
        <v>651</v>
      </c>
      <c r="C23" s="107"/>
    </row>
    <row r="24" spans="2:3" s="108" customFormat="1" ht="17.25" x14ac:dyDescent="0.2">
      <c r="B24" s="732" t="s">
        <v>652</v>
      </c>
      <c r="C24" s="772" t="e">
        <f>#REF!/100</f>
        <v>#REF!</v>
      </c>
    </row>
    <row r="25" spans="2:3" s="108" customFormat="1" ht="17.25" x14ac:dyDescent="0.2">
      <c r="B25" s="732" t="s">
        <v>653</v>
      </c>
      <c r="C25" s="107" t="e">
        <f>#REF!/100</f>
        <v>#REF!</v>
      </c>
    </row>
    <row r="26" spans="2:3" s="108" customFormat="1" ht="17.25" x14ac:dyDescent="0.2">
      <c r="B26" s="732" t="s">
        <v>654</v>
      </c>
      <c r="C26" s="107" t="e">
        <f>#REF!/100</f>
        <v>#REF!</v>
      </c>
    </row>
    <row r="27" spans="2:3" s="108" customFormat="1" ht="17.25" x14ac:dyDescent="0.2">
      <c r="B27" s="732" t="s">
        <v>655</v>
      </c>
      <c r="C27" s="107"/>
    </row>
    <row r="28" spans="2:3" s="108" customFormat="1" ht="17.25" x14ac:dyDescent="0.2">
      <c r="B28" s="732" t="s">
        <v>656</v>
      </c>
      <c r="C28" s="107" t="e">
        <f>#REF!/100</f>
        <v>#REF!</v>
      </c>
    </row>
    <row r="29" spans="2:3" s="108" customFormat="1" ht="17.25" x14ac:dyDescent="0.2">
      <c r="B29" s="732" t="s">
        <v>657</v>
      </c>
      <c r="C29" s="107" t="e">
        <f>#REF!/100</f>
        <v>#REF!</v>
      </c>
    </row>
    <row r="30" spans="2:3" s="108" customFormat="1" ht="17.25" x14ac:dyDescent="0.2">
      <c r="B30" s="732" t="s">
        <v>24</v>
      </c>
      <c r="C30" s="107" t="e">
        <f>#REF!/100</f>
        <v>#REF!</v>
      </c>
    </row>
    <row r="31" spans="2:3" s="108" customFormat="1" ht="17.25" x14ac:dyDescent="0.2">
      <c r="B31" s="732" t="s">
        <v>658</v>
      </c>
      <c r="C31" s="107" t="e">
        <f>#REF!/100</f>
        <v>#REF!</v>
      </c>
    </row>
    <row r="32" spans="2:3" s="108" customFormat="1" ht="17.25" x14ac:dyDescent="0.2">
      <c r="B32" s="732" t="s">
        <v>659</v>
      </c>
      <c r="C32" s="107" t="e">
        <f>#REF!/100</f>
        <v>#REF!</v>
      </c>
    </row>
    <row r="33" s="108" customFormat="1" x14ac:dyDescent="0.2"/>
    <row r="34" s="108" customFormat="1" x14ac:dyDescent="0.2"/>
    <row r="35" s="108" customFormat="1" x14ac:dyDescent="0.2"/>
    <row r="36" s="108" customFormat="1" x14ac:dyDescent="0.2"/>
    <row r="37" s="108" customFormat="1" x14ac:dyDescent="0.2"/>
    <row r="38" s="108" customFormat="1" x14ac:dyDescent="0.2"/>
    <row r="39" s="108" customFormat="1" x14ac:dyDescent="0.2"/>
    <row r="40" s="108" customFormat="1" x14ac:dyDescent="0.2"/>
    <row r="41" s="108" customFormat="1" x14ac:dyDescent="0.2"/>
    <row r="42" s="108" customFormat="1" x14ac:dyDescent="0.2"/>
    <row r="43" s="108" customFormat="1" x14ac:dyDescent="0.2"/>
    <row r="44" s="108" customFormat="1" x14ac:dyDescent="0.2"/>
    <row r="45" s="108" customFormat="1" x14ac:dyDescent="0.2"/>
    <row r="46" s="108" customFormat="1" x14ac:dyDescent="0.2"/>
    <row r="47" s="108" customFormat="1" x14ac:dyDescent="0.2"/>
    <row r="48" s="108" customFormat="1" x14ac:dyDescent="0.2"/>
    <row r="49" s="108" customFormat="1" x14ac:dyDescent="0.2"/>
    <row r="50" s="108" customFormat="1" x14ac:dyDescent="0.2"/>
    <row r="51" s="108" customFormat="1" x14ac:dyDescent="0.2"/>
    <row r="52" s="108" customFormat="1" x14ac:dyDescent="0.2"/>
    <row r="53" s="108" customFormat="1" x14ac:dyDescent="0.2"/>
    <row r="54" s="108" customFormat="1" x14ac:dyDescent="0.2"/>
    <row r="55" s="108" customFormat="1" x14ac:dyDescent="0.2"/>
    <row r="56" s="108" customFormat="1" x14ac:dyDescent="0.2"/>
    <row r="57" s="108" customFormat="1" x14ac:dyDescent="0.2"/>
    <row r="58" s="108" customFormat="1" x14ac:dyDescent="0.2"/>
    <row r="59" s="108" customFormat="1" x14ac:dyDescent="0.2"/>
    <row r="60" s="108" customFormat="1" x14ac:dyDescent="0.2"/>
    <row r="61" s="108" customFormat="1" x14ac:dyDescent="0.2"/>
    <row r="62" s="108" customFormat="1" x14ac:dyDescent="0.2"/>
    <row r="63" s="108" customFormat="1" x14ac:dyDescent="0.2"/>
    <row r="64" s="108" customFormat="1" x14ac:dyDescent="0.2"/>
    <row r="65" s="108" customFormat="1" x14ac:dyDescent="0.2"/>
    <row r="66" s="108" customFormat="1" x14ac:dyDescent="0.2"/>
    <row r="67" s="108" customFormat="1" x14ac:dyDescent="0.2"/>
    <row r="68" s="108" customFormat="1" x14ac:dyDescent="0.2"/>
    <row r="69" s="108" customFormat="1" x14ac:dyDescent="0.2"/>
    <row r="70" s="108" customFormat="1" x14ac:dyDescent="0.2"/>
    <row r="71" s="108" customFormat="1" x14ac:dyDescent="0.2"/>
    <row r="72" s="108" customFormat="1" x14ac:dyDescent="0.2"/>
    <row r="73" s="108" customFormat="1" x14ac:dyDescent="0.2"/>
    <row r="74" s="108" customFormat="1" x14ac:dyDescent="0.2"/>
    <row r="75" s="108" customFormat="1" x14ac:dyDescent="0.2"/>
    <row r="76" s="108" customFormat="1" x14ac:dyDescent="0.2"/>
    <row r="77" s="108" customFormat="1" x14ac:dyDescent="0.2"/>
    <row r="78" s="108" customFormat="1" x14ac:dyDescent="0.2"/>
    <row r="79" s="108" customFormat="1" x14ac:dyDescent="0.2"/>
    <row r="80" s="108" customFormat="1" x14ac:dyDescent="0.2"/>
    <row r="81" s="108" customFormat="1" x14ac:dyDescent="0.2"/>
    <row r="82" s="108" customFormat="1" x14ac:dyDescent="0.2"/>
    <row r="83" s="108" customFormat="1" x14ac:dyDescent="0.2"/>
    <row r="84" s="108" customFormat="1" x14ac:dyDescent="0.2"/>
    <row r="85" s="108" customFormat="1" x14ac:dyDescent="0.2"/>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vt:i4>
      </vt:variant>
    </vt:vector>
  </HeadingPairs>
  <TitlesOfParts>
    <vt:vector size="18" baseType="lpstr">
      <vt:lpstr>Basic</vt:lpstr>
      <vt:lpstr>GM</vt:lpstr>
      <vt:lpstr>cash flow</vt:lpstr>
      <vt:lpstr>FA</vt:lpstr>
      <vt:lpstr>CTE Rate</vt:lpstr>
      <vt:lpstr>MoM</vt:lpstr>
      <vt:lpstr>Pkg Cost</vt:lpstr>
      <vt:lpstr>Pi Chart</vt:lpstr>
      <vt:lpstr>Pie Chart</vt:lpstr>
      <vt:lpstr>Scope change from R0</vt:lpstr>
      <vt:lpstr>Civil scope change from R0</vt:lpstr>
      <vt:lpstr>PBE_Pkg-1</vt:lpstr>
      <vt:lpstr>'Civil scope change from R0'!Print_Area</vt:lpstr>
      <vt:lpstr>'CTE Rate'!Print_Area</vt:lpstr>
      <vt:lpstr>FA!Print_Area</vt:lpstr>
      <vt:lpstr>MoM!Print_Area</vt:lpstr>
      <vt:lpstr>'PBE_Pkg-1'!Print_Area</vt:lpstr>
      <vt:lpstr>'Scope change from R0'!Print_Area</vt:lpstr>
    </vt:vector>
  </TitlesOfParts>
  <Company>CET Sub Centre Bhilai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PC-3</dc:creator>
  <cp:lastModifiedBy>Manoj Mishra</cp:lastModifiedBy>
  <cp:lastPrinted>2023-09-02T04:18:10Z</cp:lastPrinted>
  <dcterms:created xsi:type="dcterms:W3CDTF">2001-02-20T07:04:51Z</dcterms:created>
  <dcterms:modified xsi:type="dcterms:W3CDTF">2026-02-09T06:34:21Z</dcterms:modified>
</cp:coreProperties>
</file>